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drawings/drawing1.xml" ContentType="application/vnd.openxmlformats-officedocument.drawing+xml"/>
  <Override PartName="/xl/pivotTables/pivotTable7.xml" ContentType="application/vnd.openxmlformats-officedocument.spreadsheetml.pivot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bookViews>
    <workbookView xWindow="0" yWindow="0" windowWidth="23040" windowHeight="9072" tabRatio="925" firstSheet="1" activeTab="2"/>
  </bookViews>
  <sheets>
    <sheet name="database_2024" sheetId="15" state="hidden" r:id="rId1"/>
    <sheet name="database_versenyek2026" sheetId="1" r:id="rId2"/>
    <sheet name="klubok rangsora" sheetId="13" r:id="rId3"/>
    <sheet name="klubok_kata_kumite" sheetId="16" r:id="rId4"/>
    <sheet name="klubok versenyenként" sheetId="19" r:id="rId5"/>
    <sheet name="klubok_utánpótlás_felnőtt" sheetId="18" r:id="rId6"/>
    <sheet name="Egyéni sorrend kategóriánként" sheetId="20" r:id="rId7"/>
    <sheet name="egyéni felnőtt_u.p." sheetId="12" r:id="rId8"/>
    <sheet name="segéd" sheetId="2" r:id="rId9"/>
    <sheet name="kategóriák" sheetId="9" r:id="rId10"/>
    <sheet name="szabályzat" sheetId="5" r:id="rId11"/>
    <sheet name="how to do" sheetId="6" state="hidden" r:id="rId12"/>
  </sheets>
  <definedNames>
    <definedName name="_xlnm._FilterDatabase" localSheetId="0" hidden="1">database_2024!$A$1:$T$1118</definedName>
    <definedName name="_xlnm._FilterDatabase" localSheetId="1" hidden="1">database_versenyek2026!$A$1:$V$1572</definedName>
  </definedNames>
  <calcPr calcId="191029"/>
  <pivotCaches>
    <pivotCache cacheId="0" r:id="rId13"/>
    <pivotCache cacheId="1" r:id="rId14"/>
    <pivotCache cacheId="2" r:id="rId15"/>
    <pivotCache cacheId="3" r:id="rId16"/>
    <pivotCache cacheId="4" r:id="rId1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281" i="1" l="1"/>
  <c r="L1280" i="1"/>
  <c r="L1279" i="1"/>
  <c r="L1278" i="1"/>
  <c r="L1277" i="1"/>
  <c r="L1276" i="1"/>
  <c r="L1275" i="1"/>
  <c r="L1274" i="1"/>
  <c r="L1273" i="1"/>
  <c r="L1272" i="1"/>
  <c r="L1271" i="1"/>
  <c r="L1270" i="1"/>
  <c r="L1269" i="1"/>
  <c r="L1268" i="1"/>
  <c r="L1267" i="1"/>
  <c r="L1266" i="1"/>
  <c r="L1265" i="1"/>
  <c r="L1264" i="1"/>
  <c r="L1263" i="1"/>
  <c r="L1262" i="1"/>
  <c r="L1261" i="1"/>
  <c r="L1260" i="1"/>
  <c r="S1281" i="1"/>
  <c r="Q1281" i="1"/>
  <c r="S1263" i="1"/>
  <c r="Q1263" i="1"/>
  <c r="S1262" i="1"/>
  <c r="Q1262" i="1"/>
  <c r="Q1260" i="1"/>
  <c r="S1260" i="1"/>
  <c r="Q1261" i="1"/>
  <c r="S1261" i="1"/>
  <c r="Q1264" i="1"/>
  <c r="S1264" i="1"/>
  <c r="Q1265" i="1"/>
  <c r="S1265" i="1"/>
  <c r="Q1266" i="1"/>
  <c r="S1266" i="1"/>
  <c r="Q1267" i="1"/>
  <c r="S1267" i="1"/>
  <c r="Q1268" i="1"/>
  <c r="S1268" i="1"/>
  <c r="Q1269" i="1"/>
  <c r="S1269" i="1"/>
  <c r="Q1270" i="1"/>
  <c r="S1270" i="1"/>
  <c r="Q1271" i="1"/>
  <c r="S1271" i="1"/>
  <c r="Q1272" i="1"/>
  <c r="S1272" i="1"/>
  <c r="Q1273" i="1"/>
  <c r="S1273" i="1"/>
  <c r="Q1274" i="1"/>
  <c r="S1274" i="1"/>
  <c r="Q1275" i="1"/>
  <c r="S1275" i="1"/>
  <c r="Q1276" i="1"/>
  <c r="S1276" i="1"/>
  <c r="Q1277" i="1"/>
  <c r="S1277" i="1"/>
  <c r="Q1278" i="1"/>
  <c r="S1278" i="1"/>
  <c r="Q1279" i="1"/>
  <c r="S1279" i="1"/>
  <c r="Q1280" i="1"/>
  <c r="S1280" i="1"/>
  <c r="L1065" i="1"/>
  <c r="K1065" i="1"/>
  <c r="S1065" i="1" s="1"/>
  <c r="J1065" i="1"/>
  <c r="Q1065" i="1" s="1"/>
  <c r="H1065" i="1"/>
  <c r="G1065" i="1"/>
  <c r="E1065" i="1"/>
  <c r="D1065" i="1"/>
  <c r="L1162" i="1" l="1"/>
  <c r="K1162" i="1"/>
  <c r="S1162" i="1" s="1"/>
  <c r="J1162" i="1"/>
  <c r="I1162" i="1"/>
  <c r="H1162" i="1"/>
  <c r="G1162" i="1"/>
  <c r="E1162" i="1"/>
  <c r="D1162" i="1"/>
  <c r="L1132" i="1"/>
  <c r="K1132" i="1"/>
  <c r="S1132" i="1" s="1"/>
  <c r="J1132" i="1"/>
  <c r="I1132" i="1"/>
  <c r="H1132" i="1"/>
  <c r="G1132" i="1"/>
  <c r="E1132" i="1"/>
  <c r="D1132" i="1"/>
  <c r="L576" i="1"/>
  <c r="K576" i="1"/>
  <c r="S576" i="1" s="1"/>
  <c r="J576" i="1"/>
  <c r="I576" i="1"/>
  <c r="H576" i="1"/>
  <c r="G576" i="1"/>
  <c r="E576" i="1"/>
  <c r="D576" i="1"/>
  <c r="L575" i="1"/>
  <c r="K575" i="1"/>
  <c r="S575" i="1" s="1"/>
  <c r="J575" i="1"/>
  <c r="I575" i="1"/>
  <c r="H575" i="1"/>
  <c r="G575" i="1"/>
  <c r="E575" i="1"/>
  <c r="D575" i="1"/>
  <c r="L568" i="1"/>
  <c r="K568" i="1"/>
  <c r="S568" i="1" s="1"/>
  <c r="J568" i="1"/>
  <c r="I568" i="1"/>
  <c r="H568" i="1"/>
  <c r="G568" i="1"/>
  <c r="E568" i="1"/>
  <c r="D568" i="1"/>
  <c r="L532" i="1"/>
  <c r="K532" i="1"/>
  <c r="S532" i="1" s="1"/>
  <c r="J532" i="1"/>
  <c r="I532" i="1"/>
  <c r="H532" i="1"/>
  <c r="G532" i="1"/>
  <c r="E532" i="1"/>
  <c r="D532" i="1"/>
  <c r="L501" i="1"/>
  <c r="K501" i="1"/>
  <c r="S501" i="1" s="1"/>
  <c r="J501" i="1"/>
  <c r="I501" i="1"/>
  <c r="H501" i="1"/>
  <c r="G501" i="1"/>
  <c r="E501" i="1"/>
  <c r="D501" i="1"/>
  <c r="L452" i="1"/>
  <c r="S452" i="1"/>
  <c r="Q452" i="1"/>
  <c r="H452" i="1"/>
  <c r="G452" i="1"/>
  <c r="E452" i="1"/>
  <c r="D452" i="1"/>
  <c r="L390" i="1"/>
  <c r="K390" i="1"/>
  <c r="S390" i="1" s="1"/>
  <c r="H390" i="1"/>
  <c r="G390" i="1"/>
  <c r="E390" i="1"/>
  <c r="D390" i="1"/>
  <c r="S387" i="1"/>
  <c r="Q387" i="1"/>
  <c r="L387" i="1"/>
  <c r="H387" i="1"/>
  <c r="G387" i="1"/>
  <c r="E387" i="1"/>
  <c r="D387" i="1"/>
  <c r="L356" i="1"/>
  <c r="K356" i="1"/>
  <c r="S356" i="1" s="1"/>
  <c r="J356" i="1"/>
  <c r="I356" i="1"/>
  <c r="H356" i="1"/>
  <c r="G356" i="1"/>
  <c r="E356" i="1"/>
  <c r="D356" i="1"/>
  <c r="S459" i="1"/>
  <c r="L459" i="1"/>
  <c r="Q459" i="1"/>
  <c r="H459" i="1"/>
  <c r="G459" i="1"/>
  <c r="E459" i="1"/>
  <c r="D459" i="1"/>
  <c r="L320" i="1"/>
  <c r="K320" i="1"/>
  <c r="S320" i="1" s="1"/>
  <c r="J320" i="1"/>
  <c r="I320" i="1"/>
  <c r="H320" i="1"/>
  <c r="G320" i="1"/>
  <c r="E320" i="1"/>
  <c r="D320" i="1"/>
  <c r="Q1162" i="1" l="1"/>
  <c r="Q501" i="1"/>
  <c r="Q575" i="1"/>
  <c r="Q1132" i="1"/>
  <c r="Q576" i="1"/>
  <c r="Q568" i="1"/>
  <c r="Q532" i="1"/>
  <c r="Q356" i="1"/>
  <c r="Q390" i="1"/>
  <c r="Q320" i="1"/>
  <c r="L300" i="1" l="1"/>
  <c r="K300" i="1"/>
  <c r="S300" i="1" s="1"/>
  <c r="J300" i="1"/>
  <c r="I300" i="1"/>
  <c r="H300" i="1"/>
  <c r="G300" i="1"/>
  <c r="E300" i="1"/>
  <c r="D300" i="1"/>
  <c r="L313" i="1"/>
  <c r="K313" i="1"/>
  <c r="S313" i="1" s="1"/>
  <c r="J313" i="1"/>
  <c r="I313" i="1"/>
  <c r="H313" i="1"/>
  <c r="G313" i="1"/>
  <c r="E313" i="1"/>
  <c r="D313" i="1"/>
  <c r="L281" i="1"/>
  <c r="K281" i="1"/>
  <c r="S281" i="1" s="1"/>
  <c r="J281" i="1"/>
  <c r="I281" i="1"/>
  <c r="H281" i="1"/>
  <c r="G281" i="1"/>
  <c r="E281" i="1"/>
  <c r="D281" i="1"/>
  <c r="L204" i="1"/>
  <c r="K204" i="1"/>
  <c r="S204" i="1" s="1"/>
  <c r="J204" i="1"/>
  <c r="I204" i="1"/>
  <c r="H204" i="1"/>
  <c r="G204" i="1"/>
  <c r="E204" i="1"/>
  <c r="D204" i="1"/>
  <c r="L186" i="1"/>
  <c r="K186" i="1"/>
  <c r="S186" i="1" s="1"/>
  <c r="J186" i="1"/>
  <c r="I186" i="1"/>
  <c r="H186" i="1"/>
  <c r="G186" i="1"/>
  <c r="E186" i="1"/>
  <c r="D186" i="1"/>
  <c r="L141" i="1"/>
  <c r="K141" i="1"/>
  <c r="S141" i="1" s="1"/>
  <c r="J141" i="1"/>
  <c r="I141" i="1"/>
  <c r="H141" i="1"/>
  <c r="G141" i="1"/>
  <c r="E141" i="1"/>
  <c r="D141" i="1"/>
  <c r="L1259" i="1"/>
  <c r="K1259" i="1"/>
  <c r="S1259" i="1" s="1"/>
  <c r="J1259" i="1"/>
  <c r="I1259" i="1"/>
  <c r="H1259" i="1"/>
  <c r="G1259" i="1"/>
  <c r="L1258" i="1"/>
  <c r="K1258" i="1"/>
  <c r="S1258" i="1" s="1"/>
  <c r="J1258" i="1"/>
  <c r="I1258" i="1"/>
  <c r="H1258" i="1"/>
  <c r="G1258" i="1"/>
  <c r="L1257" i="1"/>
  <c r="K1257" i="1"/>
  <c r="S1257" i="1" s="1"/>
  <c r="J1257" i="1"/>
  <c r="I1257" i="1"/>
  <c r="H1257" i="1"/>
  <c r="G1257" i="1"/>
  <c r="L1256" i="1"/>
  <c r="K1256" i="1"/>
  <c r="S1256" i="1" s="1"/>
  <c r="J1256" i="1"/>
  <c r="I1256" i="1"/>
  <c r="H1256" i="1"/>
  <c r="G1256" i="1"/>
  <c r="L1255" i="1"/>
  <c r="K1255" i="1"/>
  <c r="S1255" i="1" s="1"/>
  <c r="J1255" i="1"/>
  <c r="I1255" i="1"/>
  <c r="H1255" i="1"/>
  <c r="G1255" i="1"/>
  <c r="L1254" i="1"/>
  <c r="K1254" i="1"/>
  <c r="S1254" i="1" s="1"/>
  <c r="J1254" i="1"/>
  <c r="I1254" i="1"/>
  <c r="H1254" i="1"/>
  <c r="G1254" i="1"/>
  <c r="L1253" i="1"/>
  <c r="K1253" i="1"/>
  <c r="S1253" i="1" s="1"/>
  <c r="J1253" i="1"/>
  <c r="I1253" i="1"/>
  <c r="H1253" i="1"/>
  <c r="G1253" i="1"/>
  <c r="L1252" i="1"/>
  <c r="K1252" i="1"/>
  <c r="S1252" i="1" s="1"/>
  <c r="J1252" i="1"/>
  <c r="I1252" i="1"/>
  <c r="H1252" i="1"/>
  <c r="G1252" i="1"/>
  <c r="L1251" i="1"/>
  <c r="K1251" i="1"/>
  <c r="S1251" i="1" s="1"/>
  <c r="J1251" i="1"/>
  <c r="I1251" i="1"/>
  <c r="H1251" i="1"/>
  <c r="G1251" i="1"/>
  <c r="L1250" i="1"/>
  <c r="K1250" i="1"/>
  <c r="S1250" i="1" s="1"/>
  <c r="J1250" i="1"/>
  <c r="I1250" i="1"/>
  <c r="H1250" i="1"/>
  <c r="G1250" i="1"/>
  <c r="L1249" i="1"/>
  <c r="K1249" i="1"/>
  <c r="S1249" i="1" s="1"/>
  <c r="J1249" i="1"/>
  <c r="I1249" i="1"/>
  <c r="H1249" i="1"/>
  <c r="G1249" i="1"/>
  <c r="L1248" i="1"/>
  <c r="K1248" i="1"/>
  <c r="S1248" i="1" s="1"/>
  <c r="J1248" i="1"/>
  <c r="I1248" i="1"/>
  <c r="H1248" i="1"/>
  <c r="G1248" i="1"/>
  <c r="L1247" i="1"/>
  <c r="K1247" i="1"/>
  <c r="S1247" i="1" s="1"/>
  <c r="J1247" i="1"/>
  <c r="I1247" i="1"/>
  <c r="H1247" i="1"/>
  <c r="G1247" i="1"/>
  <c r="L1246" i="1"/>
  <c r="K1246" i="1"/>
  <c r="S1246" i="1" s="1"/>
  <c r="J1246" i="1"/>
  <c r="I1246" i="1"/>
  <c r="H1246" i="1"/>
  <c r="G1246" i="1"/>
  <c r="L1245" i="1"/>
  <c r="K1245" i="1"/>
  <c r="S1245" i="1" s="1"/>
  <c r="J1245" i="1"/>
  <c r="I1245" i="1"/>
  <c r="H1245" i="1"/>
  <c r="G1245" i="1"/>
  <c r="L1244" i="1"/>
  <c r="K1244" i="1"/>
  <c r="S1244" i="1" s="1"/>
  <c r="J1244" i="1"/>
  <c r="I1244" i="1"/>
  <c r="H1244" i="1"/>
  <c r="G1244" i="1"/>
  <c r="L1243" i="1"/>
  <c r="K1243" i="1"/>
  <c r="S1243" i="1" s="1"/>
  <c r="J1243" i="1"/>
  <c r="I1243" i="1"/>
  <c r="H1243" i="1"/>
  <c r="G1243" i="1"/>
  <c r="L1242" i="1"/>
  <c r="K1242" i="1"/>
  <c r="S1242" i="1" s="1"/>
  <c r="J1242" i="1"/>
  <c r="I1242" i="1"/>
  <c r="H1242" i="1"/>
  <c r="G1242" i="1"/>
  <c r="L1241" i="1"/>
  <c r="K1241" i="1"/>
  <c r="S1241" i="1" s="1"/>
  <c r="J1241" i="1"/>
  <c r="I1241" i="1"/>
  <c r="H1241" i="1"/>
  <c r="G1241" i="1"/>
  <c r="L1240" i="1"/>
  <c r="K1240" i="1"/>
  <c r="S1240" i="1" s="1"/>
  <c r="J1240" i="1"/>
  <c r="I1240" i="1"/>
  <c r="H1240" i="1"/>
  <c r="G1240" i="1"/>
  <c r="L1239" i="1"/>
  <c r="K1239" i="1"/>
  <c r="S1239" i="1" s="1"/>
  <c r="J1239" i="1"/>
  <c r="I1239" i="1"/>
  <c r="H1239" i="1"/>
  <c r="G1239" i="1"/>
  <c r="L1238" i="1"/>
  <c r="K1238" i="1"/>
  <c r="S1238" i="1" s="1"/>
  <c r="J1238" i="1"/>
  <c r="I1238" i="1"/>
  <c r="H1238" i="1"/>
  <c r="G1238" i="1"/>
  <c r="L1237" i="1"/>
  <c r="K1237" i="1"/>
  <c r="J1237" i="1"/>
  <c r="I1237" i="1"/>
  <c r="H1237" i="1"/>
  <c r="G1237" i="1"/>
  <c r="L1236" i="1"/>
  <c r="K1236" i="1"/>
  <c r="S1236" i="1" s="1"/>
  <c r="J1236" i="1"/>
  <c r="I1236" i="1"/>
  <c r="H1236" i="1"/>
  <c r="G1236" i="1"/>
  <c r="L1235" i="1"/>
  <c r="K1235" i="1"/>
  <c r="S1235" i="1" s="1"/>
  <c r="J1235" i="1"/>
  <c r="I1235" i="1"/>
  <c r="H1235" i="1"/>
  <c r="G1235" i="1"/>
  <c r="L1234" i="1"/>
  <c r="K1234" i="1"/>
  <c r="S1234" i="1" s="1"/>
  <c r="J1234" i="1"/>
  <c r="I1234" i="1"/>
  <c r="H1234" i="1"/>
  <c r="G1234" i="1"/>
  <c r="L1233" i="1"/>
  <c r="K1233" i="1"/>
  <c r="S1233" i="1" s="1"/>
  <c r="J1233" i="1"/>
  <c r="I1233" i="1"/>
  <c r="H1233" i="1"/>
  <c r="G1233" i="1"/>
  <c r="L1232" i="1"/>
  <c r="K1232" i="1"/>
  <c r="S1232" i="1" s="1"/>
  <c r="J1232" i="1"/>
  <c r="I1232" i="1"/>
  <c r="H1232" i="1"/>
  <c r="G1232" i="1"/>
  <c r="L1231" i="1"/>
  <c r="K1231" i="1"/>
  <c r="S1231" i="1" s="1"/>
  <c r="J1231" i="1"/>
  <c r="I1231" i="1"/>
  <c r="H1231" i="1"/>
  <c r="G1231" i="1"/>
  <c r="L1230" i="1"/>
  <c r="K1230" i="1"/>
  <c r="S1230" i="1" s="1"/>
  <c r="J1230" i="1"/>
  <c r="I1230" i="1"/>
  <c r="H1230" i="1"/>
  <c r="G1230" i="1"/>
  <c r="L1229" i="1"/>
  <c r="K1229" i="1"/>
  <c r="S1229" i="1" s="1"/>
  <c r="J1229" i="1"/>
  <c r="I1229" i="1"/>
  <c r="H1229" i="1"/>
  <c r="G1229" i="1"/>
  <c r="L1228" i="1"/>
  <c r="K1228" i="1"/>
  <c r="S1228" i="1" s="1"/>
  <c r="J1228" i="1"/>
  <c r="I1228" i="1"/>
  <c r="H1228" i="1"/>
  <c r="G1228" i="1"/>
  <c r="L1227" i="1"/>
  <c r="K1227" i="1"/>
  <c r="J1227" i="1"/>
  <c r="I1227" i="1"/>
  <c r="H1227" i="1"/>
  <c r="G1227" i="1"/>
  <c r="L1226" i="1"/>
  <c r="K1226" i="1"/>
  <c r="S1226" i="1" s="1"/>
  <c r="J1226" i="1"/>
  <c r="I1226" i="1"/>
  <c r="H1226" i="1"/>
  <c r="G1226" i="1"/>
  <c r="L1225" i="1"/>
  <c r="K1225" i="1"/>
  <c r="S1225" i="1" s="1"/>
  <c r="J1225" i="1"/>
  <c r="I1225" i="1"/>
  <c r="H1225" i="1"/>
  <c r="G1225" i="1"/>
  <c r="L1224" i="1"/>
  <c r="K1224" i="1"/>
  <c r="S1224" i="1" s="1"/>
  <c r="J1224" i="1"/>
  <c r="I1224" i="1"/>
  <c r="H1224" i="1"/>
  <c r="G1224" i="1"/>
  <c r="L1223" i="1"/>
  <c r="K1223" i="1"/>
  <c r="S1223" i="1" s="1"/>
  <c r="J1223" i="1"/>
  <c r="I1223" i="1"/>
  <c r="H1223" i="1"/>
  <c r="G1223" i="1"/>
  <c r="L1222" i="1"/>
  <c r="K1222" i="1"/>
  <c r="S1222" i="1" s="1"/>
  <c r="J1222" i="1"/>
  <c r="I1222" i="1"/>
  <c r="H1222" i="1"/>
  <c r="G1222" i="1"/>
  <c r="L1221" i="1"/>
  <c r="K1221" i="1"/>
  <c r="J1221" i="1"/>
  <c r="I1221" i="1"/>
  <c r="H1221" i="1"/>
  <c r="G1221" i="1"/>
  <c r="L1220" i="1"/>
  <c r="K1220" i="1"/>
  <c r="S1220" i="1" s="1"/>
  <c r="J1220" i="1"/>
  <c r="I1220" i="1"/>
  <c r="H1220" i="1"/>
  <c r="G1220" i="1"/>
  <c r="L1219" i="1"/>
  <c r="K1219" i="1"/>
  <c r="J1219" i="1"/>
  <c r="I1219" i="1"/>
  <c r="H1219" i="1"/>
  <c r="G1219" i="1"/>
  <c r="L1218" i="1"/>
  <c r="K1218" i="1"/>
  <c r="S1218" i="1" s="1"/>
  <c r="J1218" i="1"/>
  <c r="I1218" i="1"/>
  <c r="H1218" i="1"/>
  <c r="G1218" i="1"/>
  <c r="L1217" i="1"/>
  <c r="K1217" i="1"/>
  <c r="J1217" i="1"/>
  <c r="I1217" i="1"/>
  <c r="H1217" i="1"/>
  <c r="G1217" i="1"/>
  <c r="L1216" i="1"/>
  <c r="K1216" i="1"/>
  <c r="S1216" i="1" s="1"/>
  <c r="J1216" i="1"/>
  <c r="I1216" i="1"/>
  <c r="H1216" i="1"/>
  <c r="G1216" i="1"/>
  <c r="L1215" i="1"/>
  <c r="K1215" i="1"/>
  <c r="J1215" i="1"/>
  <c r="I1215" i="1"/>
  <c r="H1215" i="1"/>
  <c r="G1215" i="1"/>
  <c r="L1214" i="1"/>
  <c r="K1214" i="1"/>
  <c r="S1214" i="1" s="1"/>
  <c r="J1214" i="1"/>
  <c r="I1214" i="1"/>
  <c r="H1214" i="1"/>
  <c r="G1214" i="1"/>
  <c r="L1213" i="1"/>
  <c r="K1213" i="1"/>
  <c r="S1213" i="1" s="1"/>
  <c r="J1213" i="1"/>
  <c r="I1213" i="1"/>
  <c r="H1213" i="1"/>
  <c r="G1213" i="1"/>
  <c r="L1212" i="1"/>
  <c r="K1212" i="1"/>
  <c r="S1212" i="1" s="1"/>
  <c r="J1212" i="1"/>
  <c r="I1212" i="1"/>
  <c r="H1212" i="1"/>
  <c r="G1212" i="1"/>
  <c r="L1211" i="1"/>
  <c r="K1211" i="1"/>
  <c r="S1211" i="1" s="1"/>
  <c r="J1211" i="1"/>
  <c r="I1211" i="1"/>
  <c r="H1211" i="1"/>
  <c r="G1211" i="1"/>
  <c r="L1210" i="1"/>
  <c r="K1210" i="1"/>
  <c r="S1210" i="1" s="1"/>
  <c r="J1210" i="1"/>
  <c r="I1210" i="1"/>
  <c r="H1210" i="1"/>
  <c r="G1210" i="1"/>
  <c r="L1209" i="1"/>
  <c r="K1209" i="1"/>
  <c r="S1209" i="1" s="1"/>
  <c r="J1209" i="1"/>
  <c r="I1209" i="1"/>
  <c r="H1209" i="1"/>
  <c r="G1209" i="1"/>
  <c r="L1208" i="1"/>
  <c r="K1208" i="1"/>
  <c r="S1208" i="1" s="1"/>
  <c r="J1208" i="1"/>
  <c r="I1208" i="1"/>
  <c r="H1208" i="1"/>
  <c r="G1208" i="1"/>
  <c r="L1207" i="1"/>
  <c r="K1207" i="1"/>
  <c r="S1207" i="1" s="1"/>
  <c r="J1207" i="1"/>
  <c r="I1207" i="1"/>
  <c r="H1207" i="1"/>
  <c r="G1207" i="1"/>
  <c r="L1206" i="1"/>
  <c r="K1206" i="1"/>
  <c r="S1206" i="1" s="1"/>
  <c r="J1206" i="1"/>
  <c r="I1206" i="1"/>
  <c r="H1206" i="1"/>
  <c r="G1206" i="1"/>
  <c r="L1205" i="1"/>
  <c r="K1205" i="1"/>
  <c r="S1205" i="1" s="1"/>
  <c r="J1205" i="1"/>
  <c r="I1205" i="1"/>
  <c r="H1205" i="1"/>
  <c r="G1205" i="1"/>
  <c r="L1204" i="1"/>
  <c r="K1204" i="1"/>
  <c r="S1204" i="1" s="1"/>
  <c r="J1204" i="1"/>
  <c r="I1204" i="1"/>
  <c r="H1204" i="1"/>
  <c r="G1204" i="1"/>
  <c r="L1203" i="1"/>
  <c r="K1203" i="1"/>
  <c r="S1203" i="1" s="1"/>
  <c r="J1203" i="1"/>
  <c r="I1203" i="1"/>
  <c r="H1203" i="1"/>
  <c r="G1203" i="1"/>
  <c r="L1202" i="1"/>
  <c r="K1202" i="1"/>
  <c r="S1202" i="1" s="1"/>
  <c r="J1202" i="1"/>
  <c r="I1202" i="1"/>
  <c r="H1202" i="1"/>
  <c r="G1202" i="1"/>
  <c r="L1201" i="1"/>
  <c r="K1201" i="1"/>
  <c r="S1201" i="1" s="1"/>
  <c r="J1201" i="1"/>
  <c r="I1201" i="1"/>
  <c r="H1201" i="1"/>
  <c r="G1201" i="1"/>
  <c r="L1200" i="1"/>
  <c r="K1200" i="1"/>
  <c r="S1200" i="1" s="1"/>
  <c r="J1200" i="1"/>
  <c r="I1200" i="1"/>
  <c r="H1200" i="1"/>
  <c r="G1200" i="1"/>
  <c r="L1199" i="1"/>
  <c r="K1199" i="1"/>
  <c r="S1199" i="1" s="1"/>
  <c r="J1199" i="1"/>
  <c r="I1199" i="1"/>
  <c r="H1199" i="1"/>
  <c r="G1199" i="1"/>
  <c r="L1198" i="1"/>
  <c r="K1198" i="1"/>
  <c r="S1198" i="1" s="1"/>
  <c r="J1198" i="1"/>
  <c r="I1198" i="1"/>
  <c r="H1198" i="1"/>
  <c r="G1198" i="1"/>
  <c r="L1197" i="1"/>
  <c r="K1197" i="1"/>
  <c r="J1197" i="1"/>
  <c r="I1197" i="1"/>
  <c r="H1197" i="1"/>
  <c r="G1197" i="1"/>
  <c r="L1196" i="1"/>
  <c r="K1196" i="1"/>
  <c r="S1196" i="1" s="1"/>
  <c r="J1196" i="1"/>
  <c r="I1196" i="1"/>
  <c r="H1196" i="1"/>
  <c r="G1196" i="1"/>
  <c r="L1195" i="1"/>
  <c r="K1195" i="1"/>
  <c r="S1195" i="1" s="1"/>
  <c r="J1195" i="1"/>
  <c r="I1195" i="1"/>
  <c r="H1195" i="1"/>
  <c r="G1195" i="1"/>
  <c r="L1194" i="1"/>
  <c r="K1194" i="1"/>
  <c r="S1194" i="1" s="1"/>
  <c r="J1194" i="1"/>
  <c r="I1194" i="1"/>
  <c r="H1194" i="1"/>
  <c r="G1194" i="1"/>
  <c r="L1193" i="1"/>
  <c r="K1193" i="1"/>
  <c r="S1193" i="1" s="1"/>
  <c r="J1193" i="1"/>
  <c r="I1193" i="1"/>
  <c r="H1193" i="1"/>
  <c r="G1193" i="1"/>
  <c r="L1192" i="1"/>
  <c r="K1192" i="1"/>
  <c r="S1192" i="1" s="1"/>
  <c r="J1192" i="1"/>
  <c r="I1192" i="1"/>
  <c r="H1192" i="1"/>
  <c r="G1192" i="1"/>
  <c r="L1191" i="1"/>
  <c r="K1191" i="1"/>
  <c r="S1191" i="1" s="1"/>
  <c r="J1191" i="1"/>
  <c r="I1191" i="1"/>
  <c r="H1191" i="1"/>
  <c r="G1191" i="1"/>
  <c r="L1190" i="1"/>
  <c r="K1190" i="1"/>
  <c r="S1190" i="1" s="1"/>
  <c r="J1190" i="1"/>
  <c r="I1190" i="1"/>
  <c r="H1190" i="1"/>
  <c r="G1190" i="1"/>
  <c r="L1189" i="1"/>
  <c r="K1189" i="1"/>
  <c r="S1189" i="1" s="1"/>
  <c r="J1189" i="1"/>
  <c r="I1189" i="1"/>
  <c r="H1189" i="1"/>
  <c r="G1189" i="1"/>
  <c r="L1188" i="1"/>
  <c r="K1188" i="1"/>
  <c r="S1188" i="1" s="1"/>
  <c r="J1188" i="1"/>
  <c r="I1188" i="1"/>
  <c r="H1188" i="1"/>
  <c r="G1188" i="1"/>
  <c r="L1187" i="1"/>
  <c r="K1187" i="1"/>
  <c r="S1187" i="1" s="1"/>
  <c r="J1187" i="1"/>
  <c r="I1187" i="1"/>
  <c r="H1187" i="1"/>
  <c r="G1187" i="1"/>
  <c r="L1186" i="1"/>
  <c r="K1186" i="1"/>
  <c r="S1186" i="1" s="1"/>
  <c r="J1186" i="1"/>
  <c r="I1186" i="1"/>
  <c r="H1186" i="1"/>
  <c r="G1186" i="1"/>
  <c r="L1185" i="1"/>
  <c r="K1185" i="1"/>
  <c r="S1185" i="1" s="1"/>
  <c r="J1185" i="1"/>
  <c r="I1185" i="1"/>
  <c r="H1185" i="1"/>
  <c r="G1185" i="1"/>
  <c r="L1184" i="1"/>
  <c r="K1184" i="1"/>
  <c r="S1184" i="1" s="1"/>
  <c r="J1184" i="1"/>
  <c r="I1184" i="1"/>
  <c r="H1184" i="1"/>
  <c r="G1184" i="1"/>
  <c r="L1183" i="1"/>
  <c r="K1183" i="1"/>
  <c r="S1183" i="1" s="1"/>
  <c r="J1183" i="1"/>
  <c r="I1183" i="1"/>
  <c r="H1183" i="1"/>
  <c r="G1183" i="1"/>
  <c r="L1182" i="1"/>
  <c r="K1182" i="1"/>
  <c r="S1182" i="1" s="1"/>
  <c r="J1182" i="1"/>
  <c r="I1182" i="1"/>
  <c r="H1182" i="1"/>
  <c r="G1182" i="1"/>
  <c r="L1181" i="1"/>
  <c r="K1181" i="1"/>
  <c r="S1181" i="1" s="1"/>
  <c r="J1181" i="1"/>
  <c r="I1181" i="1"/>
  <c r="H1181" i="1"/>
  <c r="G1181" i="1"/>
  <c r="L1180" i="1"/>
  <c r="K1180" i="1"/>
  <c r="S1180" i="1" s="1"/>
  <c r="J1180" i="1"/>
  <c r="I1180" i="1"/>
  <c r="H1180" i="1"/>
  <c r="G1180" i="1"/>
  <c r="L1179" i="1"/>
  <c r="K1179" i="1"/>
  <c r="S1179" i="1" s="1"/>
  <c r="J1179" i="1"/>
  <c r="I1179" i="1"/>
  <c r="H1179" i="1"/>
  <c r="G1179" i="1"/>
  <c r="L1178" i="1"/>
  <c r="K1178" i="1"/>
  <c r="S1178" i="1" s="1"/>
  <c r="J1178" i="1"/>
  <c r="I1178" i="1"/>
  <c r="H1178" i="1"/>
  <c r="G1178" i="1"/>
  <c r="L1177" i="1"/>
  <c r="K1177" i="1"/>
  <c r="S1177" i="1" s="1"/>
  <c r="J1177" i="1"/>
  <c r="I1177" i="1"/>
  <c r="H1177" i="1"/>
  <c r="G1177" i="1"/>
  <c r="L1176" i="1"/>
  <c r="K1176" i="1"/>
  <c r="S1176" i="1" s="1"/>
  <c r="J1176" i="1"/>
  <c r="I1176" i="1"/>
  <c r="H1176" i="1"/>
  <c r="G1176" i="1"/>
  <c r="L1175" i="1"/>
  <c r="K1175" i="1"/>
  <c r="S1175" i="1" s="1"/>
  <c r="J1175" i="1"/>
  <c r="I1175" i="1"/>
  <c r="H1175" i="1"/>
  <c r="G1175" i="1"/>
  <c r="L1174" i="1"/>
  <c r="K1174" i="1"/>
  <c r="S1174" i="1" s="1"/>
  <c r="J1174" i="1"/>
  <c r="I1174" i="1"/>
  <c r="H1174" i="1"/>
  <c r="G1174" i="1"/>
  <c r="L1173" i="1"/>
  <c r="K1173" i="1"/>
  <c r="S1173" i="1" s="1"/>
  <c r="J1173" i="1"/>
  <c r="I1173" i="1"/>
  <c r="H1173" i="1"/>
  <c r="G1173" i="1"/>
  <c r="L1172" i="1"/>
  <c r="K1172" i="1"/>
  <c r="S1172" i="1" s="1"/>
  <c r="J1172" i="1"/>
  <c r="I1172" i="1"/>
  <c r="H1172" i="1"/>
  <c r="G1172" i="1"/>
  <c r="L1171" i="1"/>
  <c r="K1171" i="1"/>
  <c r="S1171" i="1" s="1"/>
  <c r="J1171" i="1"/>
  <c r="I1171" i="1"/>
  <c r="H1171" i="1"/>
  <c r="G1171" i="1"/>
  <c r="L1170" i="1"/>
  <c r="K1170" i="1"/>
  <c r="S1170" i="1" s="1"/>
  <c r="J1170" i="1"/>
  <c r="I1170" i="1"/>
  <c r="H1170" i="1"/>
  <c r="G1170" i="1"/>
  <c r="L1169" i="1"/>
  <c r="K1169" i="1"/>
  <c r="S1169" i="1" s="1"/>
  <c r="J1169" i="1"/>
  <c r="I1169" i="1"/>
  <c r="H1169" i="1"/>
  <c r="G1169" i="1"/>
  <c r="L1168" i="1"/>
  <c r="K1168" i="1"/>
  <c r="S1168" i="1" s="1"/>
  <c r="J1168" i="1"/>
  <c r="I1168" i="1"/>
  <c r="H1168" i="1"/>
  <c r="G1168" i="1"/>
  <c r="L1167" i="1"/>
  <c r="K1167" i="1"/>
  <c r="S1167" i="1" s="1"/>
  <c r="J1167" i="1"/>
  <c r="I1167" i="1"/>
  <c r="H1167" i="1"/>
  <c r="G1167" i="1"/>
  <c r="L1166" i="1"/>
  <c r="K1166" i="1"/>
  <c r="S1166" i="1" s="1"/>
  <c r="J1166" i="1"/>
  <c r="I1166" i="1"/>
  <c r="H1166" i="1"/>
  <c r="G1166" i="1"/>
  <c r="L1165" i="1"/>
  <c r="K1165" i="1"/>
  <c r="S1165" i="1" s="1"/>
  <c r="J1165" i="1"/>
  <c r="I1165" i="1"/>
  <c r="H1165" i="1"/>
  <c r="G1165" i="1"/>
  <c r="L1164" i="1"/>
  <c r="K1164" i="1"/>
  <c r="S1164" i="1" s="1"/>
  <c r="J1164" i="1"/>
  <c r="I1164" i="1"/>
  <c r="H1164" i="1"/>
  <c r="G1164" i="1"/>
  <c r="L1163" i="1"/>
  <c r="S1163" i="1"/>
  <c r="H1163" i="1"/>
  <c r="G1163" i="1"/>
  <c r="L1161" i="1"/>
  <c r="K1161" i="1"/>
  <c r="S1161" i="1" s="1"/>
  <c r="J1161" i="1"/>
  <c r="I1161" i="1"/>
  <c r="H1161" i="1"/>
  <c r="G1161" i="1"/>
  <c r="L1160" i="1"/>
  <c r="K1160" i="1"/>
  <c r="S1160" i="1" s="1"/>
  <c r="J1160" i="1"/>
  <c r="I1160" i="1"/>
  <c r="H1160" i="1"/>
  <c r="G1160" i="1"/>
  <c r="L1159" i="1"/>
  <c r="K1159" i="1"/>
  <c r="S1159" i="1" s="1"/>
  <c r="J1159" i="1"/>
  <c r="I1159" i="1"/>
  <c r="H1159" i="1"/>
  <c r="G1159" i="1"/>
  <c r="L1158" i="1"/>
  <c r="K1158" i="1"/>
  <c r="S1158" i="1" s="1"/>
  <c r="J1158" i="1"/>
  <c r="I1158" i="1"/>
  <c r="H1158" i="1"/>
  <c r="G1158" i="1"/>
  <c r="L1157" i="1"/>
  <c r="K1157" i="1"/>
  <c r="S1157" i="1" s="1"/>
  <c r="J1157" i="1"/>
  <c r="I1157" i="1"/>
  <c r="H1157" i="1"/>
  <c r="G1157" i="1"/>
  <c r="L1156" i="1"/>
  <c r="K1156" i="1"/>
  <c r="S1156" i="1" s="1"/>
  <c r="J1156" i="1"/>
  <c r="I1156" i="1"/>
  <c r="H1156" i="1"/>
  <c r="G1156" i="1"/>
  <c r="L1155" i="1"/>
  <c r="K1155" i="1"/>
  <c r="S1155" i="1" s="1"/>
  <c r="J1155" i="1"/>
  <c r="I1155" i="1"/>
  <c r="H1155" i="1"/>
  <c r="G1155" i="1"/>
  <c r="L1154" i="1"/>
  <c r="K1154" i="1"/>
  <c r="S1154" i="1" s="1"/>
  <c r="J1154" i="1"/>
  <c r="I1154" i="1"/>
  <c r="H1154" i="1"/>
  <c r="G1154" i="1"/>
  <c r="L1153" i="1"/>
  <c r="K1153" i="1"/>
  <c r="S1153" i="1" s="1"/>
  <c r="J1153" i="1"/>
  <c r="I1153" i="1"/>
  <c r="H1153" i="1"/>
  <c r="G1153" i="1"/>
  <c r="L1152" i="1"/>
  <c r="K1152" i="1"/>
  <c r="S1152" i="1" s="1"/>
  <c r="J1152" i="1"/>
  <c r="I1152" i="1"/>
  <c r="H1152" i="1"/>
  <c r="G1152" i="1"/>
  <c r="L1151" i="1"/>
  <c r="K1151" i="1"/>
  <c r="S1151" i="1" s="1"/>
  <c r="J1151" i="1"/>
  <c r="I1151" i="1"/>
  <c r="H1151" i="1"/>
  <c r="G1151" i="1"/>
  <c r="L1150" i="1"/>
  <c r="K1150" i="1"/>
  <c r="S1150" i="1" s="1"/>
  <c r="J1150" i="1"/>
  <c r="I1150" i="1"/>
  <c r="H1150" i="1"/>
  <c r="G1150" i="1"/>
  <c r="L1149" i="1"/>
  <c r="K1149" i="1"/>
  <c r="S1149" i="1" s="1"/>
  <c r="J1149" i="1"/>
  <c r="I1149" i="1"/>
  <c r="H1149" i="1"/>
  <c r="G1149" i="1"/>
  <c r="L1148" i="1"/>
  <c r="K1148" i="1"/>
  <c r="S1148" i="1" s="1"/>
  <c r="J1148" i="1"/>
  <c r="I1148" i="1"/>
  <c r="H1148" i="1"/>
  <c r="G1148" i="1"/>
  <c r="L1147" i="1"/>
  <c r="K1147" i="1"/>
  <c r="S1147" i="1" s="1"/>
  <c r="J1147" i="1"/>
  <c r="I1147" i="1"/>
  <c r="H1147" i="1"/>
  <c r="G1147" i="1"/>
  <c r="L1146" i="1"/>
  <c r="K1146" i="1"/>
  <c r="S1146" i="1" s="1"/>
  <c r="J1146" i="1"/>
  <c r="I1146" i="1"/>
  <c r="H1146" i="1"/>
  <c r="G1146" i="1"/>
  <c r="L1145" i="1"/>
  <c r="K1145" i="1"/>
  <c r="S1145" i="1" s="1"/>
  <c r="J1145" i="1"/>
  <c r="I1145" i="1"/>
  <c r="H1145" i="1"/>
  <c r="G1145" i="1"/>
  <c r="L1144" i="1"/>
  <c r="K1144" i="1"/>
  <c r="S1144" i="1" s="1"/>
  <c r="J1144" i="1"/>
  <c r="I1144" i="1"/>
  <c r="H1144" i="1"/>
  <c r="G1144" i="1"/>
  <c r="L1143" i="1"/>
  <c r="K1143" i="1"/>
  <c r="S1143" i="1" s="1"/>
  <c r="J1143" i="1"/>
  <c r="I1143" i="1"/>
  <c r="H1143" i="1"/>
  <c r="G1143" i="1"/>
  <c r="L1142" i="1"/>
  <c r="K1142" i="1"/>
  <c r="S1142" i="1" s="1"/>
  <c r="J1142" i="1"/>
  <c r="I1142" i="1"/>
  <c r="H1142" i="1"/>
  <c r="G1142" i="1"/>
  <c r="L1141" i="1"/>
  <c r="K1141" i="1"/>
  <c r="S1141" i="1" s="1"/>
  <c r="J1141" i="1"/>
  <c r="I1141" i="1"/>
  <c r="H1141" i="1"/>
  <c r="G1141" i="1"/>
  <c r="L1140" i="1"/>
  <c r="K1140" i="1"/>
  <c r="S1140" i="1" s="1"/>
  <c r="J1140" i="1"/>
  <c r="I1140" i="1"/>
  <c r="H1140" i="1"/>
  <c r="G1140" i="1"/>
  <c r="L1139" i="1"/>
  <c r="K1139" i="1"/>
  <c r="S1139" i="1" s="1"/>
  <c r="J1139" i="1"/>
  <c r="I1139" i="1"/>
  <c r="H1139" i="1"/>
  <c r="G1139" i="1"/>
  <c r="L1138" i="1"/>
  <c r="K1138" i="1"/>
  <c r="S1138" i="1" s="1"/>
  <c r="J1138" i="1"/>
  <c r="I1138" i="1"/>
  <c r="H1138" i="1"/>
  <c r="G1138" i="1"/>
  <c r="L1137" i="1"/>
  <c r="K1137" i="1"/>
  <c r="S1137" i="1" s="1"/>
  <c r="J1137" i="1"/>
  <c r="I1137" i="1"/>
  <c r="H1137" i="1"/>
  <c r="G1137" i="1"/>
  <c r="L1136" i="1"/>
  <c r="K1136" i="1"/>
  <c r="J1136" i="1"/>
  <c r="I1136" i="1"/>
  <c r="H1136" i="1"/>
  <c r="G1136" i="1"/>
  <c r="L1135" i="1"/>
  <c r="K1135" i="1"/>
  <c r="S1135" i="1" s="1"/>
  <c r="J1135" i="1"/>
  <c r="I1135" i="1"/>
  <c r="H1135" i="1"/>
  <c r="G1135" i="1"/>
  <c r="L1134" i="1"/>
  <c r="K1134" i="1"/>
  <c r="S1134" i="1" s="1"/>
  <c r="J1134" i="1"/>
  <c r="I1134" i="1"/>
  <c r="H1134" i="1"/>
  <c r="G1134" i="1"/>
  <c r="L1133" i="1"/>
  <c r="S1133" i="1"/>
  <c r="H1133" i="1"/>
  <c r="G1133" i="1"/>
  <c r="L1131" i="1"/>
  <c r="K1131" i="1"/>
  <c r="S1131" i="1" s="1"/>
  <c r="J1131" i="1"/>
  <c r="I1131" i="1"/>
  <c r="H1131" i="1"/>
  <c r="G1131" i="1"/>
  <c r="L1130" i="1"/>
  <c r="K1130" i="1"/>
  <c r="S1130" i="1" s="1"/>
  <c r="J1130" i="1"/>
  <c r="I1130" i="1"/>
  <c r="H1130" i="1"/>
  <c r="G1130" i="1"/>
  <c r="L1129" i="1"/>
  <c r="K1129" i="1"/>
  <c r="S1129" i="1" s="1"/>
  <c r="J1129" i="1"/>
  <c r="I1129" i="1"/>
  <c r="H1129" i="1"/>
  <c r="G1129" i="1"/>
  <c r="L1128" i="1"/>
  <c r="K1128" i="1"/>
  <c r="S1128" i="1" s="1"/>
  <c r="J1128" i="1"/>
  <c r="I1128" i="1"/>
  <c r="H1128" i="1"/>
  <c r="G1128" i="1"/>
  <c r="L1127" i="1"/>
  <c r="K1127" i="1"/>
  <c r="S1127" i="1" s="1"/>
  <c r="J1127" i="1"/>
  <c r="I1127" i="1"/>
  <c r="H1127" i="1"/>
  <c r="G1127" i="1"/>
  <c r="L1126" i="1"/>
  <c r="K1126" i="1"/>
  <c r="S1126" i="1" s="1"/>
  <c r="J1126" i="1"/>
  <c r="I1126" i="1"/>
  <c r="H1126" i="1"/>
  <c r="G1126" i="1"/>
  <c r="L1125" i="1"/>
  <c r="K1125" i="1"/>
  <c r="S1125" i="1" s="1"/>
  <c r="J1125" i="1"/>
  <c r="I1125" i="1"/>
  <c r="H1125" i="1"/>
  <c r="G1125" i="1"/>
  <c r="L1124" i="1"/>
  <c r="K1124" i="1"/>
  <c r="S1124" i="1" s="1"/>
  <c r="J1124" i="1"/>
  <c r="I1124" i="1"/>
  <c r="H1124" i="1"/>
  <c r="G1124" i="1"/>
  <c r="L1123" i="1"/>
  <c r="K1123" i="1"/>
  <c r="S1123" i="1" s="1"/>
  <c r="J1123" i="1"/>
  <c r="I1123" i="1"/>
  <c r="H1123" i="1"/>
  <c r="G1123" i="1"/>
  <c r="L1122" i="1"/>
  <c r="K1122" i="1"/>
  <c r="S1122" i="1" s="1"/>
  <c r="J1122" i="1"/>
  <c r="I1122" i="1"/>
  <c r="H1122" i="1"/>
  <c r="G1122" i="1"/>
  <c r="L1121" i="1"/>
  <c r="K1121" i="1"/>
  <c r="S1121" i="1" s="1"/>
  <c r="J1121" i="1"/>
  <c r="I1121" i="1"/>
  <c r="H1121" i="1"/>
  <c r="G1121" i="1"/>
  <c r="L1120" i="1"/>
  <c r="K1120" i="1"/>
  <c r="S1120" i="1" s="1"/>
  <c r="J1120" i="1"/>
  <c r="I1120" i="1"/>
  <c r="H1120" i="1"/>
  <c r="G1120" i="1"/>
  <c r="L1119" i="1"/>
  <c r="K1119" i="1"/>
  <c r="S1119" i="1" s="1"/>
  <c r="J1119" i="1"/>
  <c r="I1119" i="1"/>
  <c r="H1119" i="1"/>
  <c r="G1119" i="1"/>
  <c r="L1118" i="1"/>
  <c r="K1118" i="1"/>
  <c r="S1118" i="1" s="1"/>
  <c r="J1118" i="1"/>
  <c r="I1118" i="1"/>
  <c r="H1118" i="1"/>
  <c r="G1118" i="1"/>
  <c r="L1117" i="1"/>
  <c r="K1117" i="1"/>
  <c r="S1117" i="1" s="1"/>
  <c r="J1117" i="1"/>
  <c r="I1117" i="1"/>
  <c r="H1117" i="1"/>
  <c r="G1117" i="1"/>
  <c r="L1116" i="1"/>
  <c r="K1116" i="1"/>
  <c r="S1116" i="1" s="1"/>
  <c r="J1116" i="1"/>
  <c r="I1116" i="1"/>
  <c r="H1116" i="1"/>
  <c r="G1116" i="1"/>
  <c r="L1115" i="1"/>
  <c r="K1115" i="1"/>
  <c r="S1115" i="1" s="1"/>
  <c r="J1115" i="1"/>
  <c r="I1115" i="1"/>
  <c r="H1115" i="1"/>
  <c r="G1115" i="1"/>
  <c r="L1114" i="1"/>
  <c r="K1114" i="1"/>
  <c r="S1114" i="1" s="1"/>
  <c r="J1114" i="1"/>
  <c r="I1114" i="1"/>
  <c r="H1114" i="1"/>
  <c r="G1114" i="1"/>
  <c r="L1113" i="1"/>
  <c r="K1113" i="1"/>
  <c r="S1113" i="1" s="1"/>
  <c r="J1113" i="1"/>
  <c r="I1113" i="1"/>
  <c r="H1113" i="1"/>
  <c r="G1113" i="1"/>
  <c r="L1112" i="1"/>
  <c r="K1112" i="1"/>
  <c r="S1112" i="1" s="1"/>
  <c r="J1112" i="1"/>
  <c r="I1112" i="1"/>
  <c r="H1112" i="1"/>
  <c r="G1112" i="1"/>
  <c r="L1111" i="1"/>
  <c r="K1111" i="1"/>
  <c r="S1111" i="1" s="1"/>
  <c r="J1111" i="1"/>
  <c r="I1111" i="1"/>
  <c r="H1111" i="1"/>
  <c r="G1111" i="1"/>
  <c r="L1110" i="1"/>
  <c r="K1110" i="1"/>
  <c r="S1110" i="1" s="1"/>
  <c r="J1110" i="1"/>
  <c r="I1110" i="1"/>
  <c r="H1110" i="1"/>
  <c r="G1110" i="1"/>
  <c r="L1109" i="1"/>
  <c r="K1109" i="1"/>
  <c r="S1109" i="1" s="1"/>
  <c r="J1109" i="1"/>
  <c r="I1109" i="1"/>
  <c r="H1109" i="1"/>
  <c r="G1109" i="1"/>
  <c r="L1108" i="1"/>
  <c r="K1108" i="1"/>
  <c r="S1108" i="1" s="1"/>
  <c r="J1108" i="1"/>
  <c r="I1108" i="1"/>
  <c r="H1108" i="1"/>
  <c r="G1108" i="1"/>
  <c r="L1107" i="1"/>
  <c r="K1107" i="1"/>
  <c r="S1107" i="1" s="1"/>
  <c r="J1107" i="1"/>
  <c r="I1107" i="1"/>
  <c r="H1107" i="1"/>
  <c r="G1107" i="1"/>
  <c r="L1106" i="1"/>
  <c r="K1106" i="1"/>
  <c r="S1106" i="1" s="1"/>
  <c r="J1106" i="1"/>
  <c r="I1106" i="1"/>
  <c r="H1106" i="1"/>
  <c r="G1106" i="1"/>
  <c r="L1105" i="1"/>
  <c r="K1105" i="1"/>
  <c r="S1105" i="1" s="1"/>
  <c r="J1105" i="1"/>
  <c r="I1105" i="1"/>
  <c r="H1105" i="1"/>
  <c r="G1105" i="1"/>
  <c r="L1104" i="1"/>
  <c r="K1104" i="1"/>
  <c r="S1104" i="1" s="1"/>
  <c r="J1104" i="1"/>
  <c r="I1104" i="1"/>
  <c r="H1104" i="1"/>
  <c r="G1104" i="1"/>
  <c r="L1103" i="1"/>
  <c r="K1103" i="1"/>
  <c r="S1103" i="1" s="1"/>
  <c r="J1103" i="1"/>
  <c r="I1103" i="1"/>
  <c r="H1103" i="1"/>
  <c r="G1103" i="1"/>
  <c r="L1102" i="1"/>
  <c r="K1102" i="1"/>
  <c r="S1102" i="1" s="1"/>
  <c r="J1102" i="1"/>
  <c r="I1102" i="1"/>
  <c r="H1102" i="1"/>
  <c r="G1102" i="1"/>
  <c r="L1101" i="1"/>
  <c r="K1101" i="1"/>
  <c r="S1101" i="1" s="1"/>
  <c r="J1101" i="1"/>
  <c r="I1101" i="1"/>
  <c r="H1101" i="1"/>
  <c r="G1101" i="1"/>
  <c r="L1100" i="1"/>
  <c r="K1100" i="1"/>
  <c r="S1100" i="1" s="1"/>
  <c r="J1100" i="1"/>
  <c r="I1100" i="1"/>
  <c r="H1100" i="1"/>
  <c r="G1100" i="1"/>
  <c r="L1099" i="1"/>
  <c r="K1099" i="1"/>
  <c r="S1099" i="1" s="1"/>
  <c r="J1099" i="1"/>
  <c r="I1099" i="1"/>
  <c r="H1099" i="1"/>
  <c r="G1099" i="1"/>
  <c r="L1098" i="1"/>
  <c r="K1098" i="1"/>
  <c r="S1098" i="1" s="1"/>
  <c r="J1098" i="1"/>
  <c r="I1098" i="1"/>
  <c r="H1098" i="1"/>
  <c r="G1098" i="1"/>
  <c r="L1097" i="1"/>
  <c r="K1097" i="1"/>
  <c r="S1097" i="1" s="1"/>
  <c r="J1097" i="1"/>
  <c r="I1097" i="1"/>
  <c r="H1097" i="1"/>
  <c r="G1097" i="1"/>
  <c r="L1096" i="1"/>
  <c r="K1096" i="1"/>
  <c r="S1096" i="1" s="1"/>
  <c r="J1096" i="1"/>
  <c r="I1096" i="1"/>
  <c r="H1096" i="1"/>
  <c r="G1096" i="1"/>
  <c r="L1095" i="1"/>
  <c r="K1095" i="1"/>
  <c r="S1095" i="1" s="1"/>
  <c r="J1095" i="1"/>
  <c r="I1095" i="1"/>
  <c r="H1095" i="1"/>
  <c r="G1095" i="1"/>
  <c r="L1094" i="1"/>
  <c r="K1094" i="1"/>
  <c r="S1094" i="1" s="1"/>
  <c r="J1094" i="1"/>
  <c r="I1094" i="1"/>
  <c r="H1094" i="1"/>
  <c r="G1094" i="1"/>
  <c r="L1093" i="1"/>
  <c r="K1093" i="1"/>
  <c r="S1093" i="1" s="1"/>
  <c r="J1093" i="1"/>
  <c r="I1093" i="1"/>
  <c r="H1093" i="1"/>
  <c r="G1093" i="1"/>
  <c r="L1092" i="1"/>
  <c r="K1092" i="1"/>
  <c r="S1092" i="1" s="1"/>
  <c r="J1092" i="1"/>
  <c r="I1092" i="1"/>
  <c r="H1092" i="1"/>
  <c r="G1092" i="1"/>
  <c r="L1091" i="1"/>
  <c r="K1091" i="1"/>
  <c r="S1091" i="1" s="1"/>
  <c r="J1091" i="1"/>
  <c r="I1091" i="1"/>
  <c r="H1091" i="1"/>
  <c r="G1091" i="1"/>
  <c r="L1090" i="1"/>
  <c r="K1090" i="1"/>
  <c r="S1090" i="1" s="1"/>
  <c r="J1090" i="1"/>
  <c r="I1090" i="1"/>
  <c r="H1090" i="1"/>
  <c r="G1090" i="1"/>
  <c r="L1089" i="1"/>
  <c r="K1089" i="1"/>
  <c r="S1089" i="1" s="1"/>
  <c r="J1089" i="1"/>
  <c r="I1089" i="1"/>
  <c r="H1089" i="1"/>
  <c r="G1089" i="1"/>
  <c r="L1088" i="1"/>
  <c r="K1088" i="1"/>
  <c r="S1088" i="1" s="1"/>
  <c r="J1088" i="1"/>
  <c r="I1088" i="1"/>
  <c r="H1088" i="1"/>
  <c r="G1088" i="1"/>
  <c r="L1087" i="1"/>
  <c r="K1087" i="1"/>
  <c r="S1087" i="1" s="1"/>
  <c r="J1087" i="1"/>
  <c r="I1087" i="1"/>
  <c r="H1087" i="1"/>
  <c r="G1087" i="1"/>
  <c r="L1086" i="1"/>
  <c r="K1086" i="1"/>
  <c r="S1086" i="1" s="1"/>
  <c r="J1086" i="1"/>
  <c r="I1086" i="1"/>
  <c r="H1086" i="1"/>
  <c r="G1086" i="1"/>
  <c r="L1085" i="1"/>
  <c r="K1085" i="1"/>
  <c r="S1085" i="1" s="1"/>
  <c r="J1085" i="1"/>
  <c r="I1085" i="1"/>
  <c r="H1085" i="1"/>
  <c r="G1085" i="1"/>
  <c r="L1084" i="1"/>
  <c r="K1084" i="1"/>
  <c r="S1084" i="1" s="1"/>
  <c r="J1084" i="1"/>
  <c r="I1084" i="1"/>
  <c r="H1084" i="1"/>
  <c r="G1084" i="1"/>
  <c r="L1083" i="1"/>
  <c r="K1083" i="1"/>
  <c r="S1083" i="1" s="1"/>
  <c r="J1083" i="1"/>
  <c r="I1083" i="1"/>
  <c r="H1083" i="1"/>
  <c r="G1083" i="1"/>
  <c r="L1082" i="1"/>
  <c r="K1082" i="1"/>
  <c r="S1082" i="1" s="1"/>
  <c r="J1082" i="1"/>
  <c r="I1082" i="1"/>
  <c r="H1082" i="1"/>
  <c r="G1082" i="1"/>
  <c r="L1081" i="1"/>
  <c r="K1081" i="1"/>
  <c r="S1081" i="1" s="1"/>
  <c r="J1081" i="1"/>
  <c r="I1081" i="1"/>
  <c r="H1081" i="1"/>
  <c r="G1081" i="1"/>
  <c r="L1080" i="1"/>
  <c r="K1080" i="1"/>
  <c r="S1080" i="1" s="1"/>
  <c r="J1080" i="1"/>
  <c r="I1080" i="1"/>
  <c r="H1080" i="1"/>
  <c r="G1080" i="1"/>
  <c r="L1079" i="1"/>
  <c r="K1079" i="1"/>
  <c r="S1079" i="1" s="1"/>
  <c r="J1079" i="1"/>
  <c r="I1079" i="1"/>
  <c r="H1079" i="1"/>
  <c r="G1079" i="1"/>
  <c r="L1078" i="1"/>
  <c r="K1078" i="1"/>
  <c r="S1078" i="1" s="1"/>
  <c r="J1078" i="1"/>
  <c r="I1078" i="1"/>
  <c r="H1078" i="1"/>
  <c r="G1078" i="1"/>
  <c r="L1077" i="1"/>
  <c r="K1077" i="1"/>
  <c r="S1077" i="1" s="1"/>
  <c r="J1077" i="1"/>
  <c r="I1077" i="1"/>
  <c r="H1077" i="1"/>
  <c r="G1077" i="1"/>
  <c r="L1076" i="1"/>
  <c r="K1076" i="1"/>
  <c r="S1076" i="1" s="1"/>
  <c r="J1076" i="1"/>
  <c r="I1076" i="1"/>
  <c r="H1076" i="1"/>
  <c r="G1076" i="1"/>
  <c r="L1075" i="1"/>
  <c r="K1075" i="1"/>
  <c r="S1075" i="1" s="1"/>
  <c r="J1075" i="1"/>
  <c r="I1075" i="1"/>
  <c r="H1075" i="1"/>
  <c r="G1075" i="1"/>
  <c r="L1074" i="1"/>
  <c r="K1074" i="1"/>
  <c r="S1074" i="1" s="1"/>
  <c r="J1074" i="1"/>
  <c r="I1074" i="1"/>
  <c r="H1074" i="1"/>
  <c r="G1074" i="1"/>
  <c r="L1073" i="1"/>
  <c r="K1073" i="1"/>
  <c r="S1073" i="1" s="1"/>
  <c r="J1073" i="1"/>
  <c r="I1073" i="1"/>
  <c r="H1073" i="1"/>
  <c r="G1073" i="1"/>
  <c r="L1072" i="1"/>
  <c r="K1072" i="1"/>
  <c r="S1072" i="1" s="1"/>
  <c r="J1072" i="1"/>
  <c r="I1072" i="1"/>
  <c r="H1072" i="1"/>
  <c r="G1072" i="1"/>
  <c r="L1071" i="1"/>
  <c r="K1071" i="1"/>
  <c r="S1071" i="1" s="1"/>
  <c r="J1071" i="1"/>
  <c r="I1071" i="1"/>
  <c r="H1071" i="1"/>
  <c r="G1071" i="1"/>
  <c r="L1062" i="1"/>
  <c r="K1062" i="1"/>
  <c r="S1062" i="1" s="1"/>
  <c r="J1062" i="1"/>
  <c r="I1062" i="1"/>
  <c r="H1062" i="1"/>
  <c r="G1062" i="1"/>
  <c r="L1061" i="1"/>
  <c r="K1061" i="1"/>
  <c r="S1061" i="1" s="1"/>
  <c r="J1061" i="1"/>
  <c r="I1061" i="1"/>
  <c r="H1061" i="1"/>
  <c r="G1061" i="1"/>
  <c r="L1060" i="1"/>
  <c r="K1060" i="1"/>
  <c r="S1060" i="1" s="1"/>
  <c r="J1060" i="1"/>
  <c r="I1060" i="1"/>
  <c r="H1060" i="1"/>
  <c r="G1060" i="1"/>
  <c r="L1052" i="1"/>
  <c r="K1052" i="1"/>
  <c r="S1052" i="1" s="1"/>
  <c r="J1052" i="1"/>
  <c r="I1052" i="1"/>
  <c r="H1052" i="1"/>
  <c r="G1052" i="1"/>
  <c r="L1049" i="1"/>
  <c r="K1049" i="1"/>
  <c r="S1049" i="1" s="1"/>
  <c r="J1049" i="1"/>
  <c r="I1049" i="1"/>
  <c r="H1049" i="1"/>
  <c r="G1049" i="1"/>
  <c r="L1033" i="1"/>
  <c r="K1033" i="1"/>
  <c r="S1033" i="1" s="1"/>
  <c r="J1033" i="1"/>
  <c r="H1033" i="1"/>
  <c r="G1033" i="1"/>
  <c r="L1031" i="1"/>
  <c r="K1031" i="1"/>
  <c r="S1031" i="1" s="1"/>
  <c r="J1031" i="1"/>
  <c r="I1031" i="1"/>
  <c r="H1031" i="1"/>
  <c r="G1031" i="1"/>
  <c r="L1025" i="1"/>
  <c r="K1025" i="1"/>
  <c r="S1025" i="1" s="1"/>
  <c r="J1025" i="1"/>
  <c r="I1025" i="1"/>
  <c r="H1025" i="1"/>
  <c r="G1025" i="1"/>
  <c r="L1019" i="1"/>
  <c r="K1019" i="1"/>
  <c r="S1019" i="1" s="1"/>
  <c r="J1019" i="1"/>
  <c r="I1019" i="1"/>
  <c r="H1019" i="1"/>
  <c r="G1019" i="1"/>
  <c r="L1070" i="1"/>
  <c r="K1070" i="1"/>
  <c r="S1070" i="1" s="1"/>
  <c r="J1070" i="1"/>
  <c r="I1070" i="1"/>
  <c r="H1070" i="1"/>
  <c r="G1070" i="1"/>
  <c r="L1004" i="1"/>
  <c r="K1004" i="1"/>
  <c r="S1004" i="1" s="1"/>
  <c r="J1004" i="1"/>
  <c r="I1004" i="1"/>
  <c r="H1004" i="1"/>
  <c r="G1004" i="1"/>
  <c r="L1069" i="1"/>
  <c r="K1069" i="1"/>
  <c r="S1069" i="1" s="1"/>
  <c r="J1069" i="1"/>
  <c r="I1069" i="1"/>
  <c r="H1069" i="1"/>
  <c r="G1069" i="1"/>
  <c r="L1068" i="1"/>
  <c r="K1068" i="1"/>
  <c r="S1068" i="1" s="1"/>
  <c r="J1068" i="1"/>
  <c r="I1068" i="1"/>
  <c r="H1068" i="1"/>
  <c r="G1068" i="1"/>
  <c r="L1067" i="1"/>
  <c r="K1067" i="1"/>
  <c r="S1067" i="1" s="1"/>
  <c r="J1067" i="1"/>
  <c r="I1067" i="1"/>
  <c r="H1067" i="1"/>
  <c r="G1067" i="1"/>
  <c r="L1066" i="1"/>
  <c r="K1066" i="1"/>
  <c r="S1066" i="1" s="1"/>
  <c r="J1066" i="1"/>
  <c r="H1066" i="1"/>
  <c r="G1066" i="1"/>
  <c r="L1064" i="1"/>
  <c r="K1064" i="1"/>
  <c r="S1064" i="1" s="1"/>
  <c r="J1064" i="1"/>
  <c r="I1064" i="1"/>
  <c r="H1064" i="1"/>
  <c r="G1064" i="1"/>
  <c r="L1063" i="1"/>
  <c r="K1063" i="1"/>
  <c r="S1063" i="1" s="1"/>
  <c r="J1063" i="1"/>
  <c r="I1063" i="1"/>
  <c r="H1063" i="1"/>
  <c r="G1063" i="1"/>
  <c r="L1059" i="1"/>
  <c r="K1059" i="1"/>
  <c r="S1059" i="1" s="1"/>
  <c r="J1059" i="1"/>
  <c r="I1059" i="1"/>
  <c r="H1059" i="1"/>
  <c r="G1059" i="1"/>
  <c r="L1058" i="1"/>
  <c r="K1058" i="1"/>
  <c r="S1058" i="1" s="1"/>
  <c r="J1058" i="1"/>
  <c r="I1058" i="1"/>
  <c r="H1058" i="1"/>
  <c r="G1058" i="1"/>
  <c r="L1057" i="1"/>
  <c r="K1057" i="1"/>
  <c r="S1057" i="1" s="1"/>
  <c r="J1057" i="1"/>
  <c r="I1057" i="1"/>
  <c r="H1057" i="1"/>
  <c r="G1057" i="1"/>
  <c r="L1056" i="1"/>
  <c r="K1056" i="1"/>
  <c r="S1056" i="1" s="1"/>
  <c r="J1056" i="1"/>
  <c r="I1056" i="1"/>
  <c r="H1056" i="1"/>
  <c r="G1056" i="1"/>
  <c r="L1055" i="1"/>
  <c r="K1055" i="1"/>
  <c r="S1055" i="1" s="1"/>
  <c r="J1055" i="1"/>
  <c r="I1055" i="1"/>
  <c r="H1055" i="1"/>
  <c r="G1055" i="1"/>
  <c r="L1054" i="1"/>
  <c r="K1054" i="1"/>
  <c r="S1054" i="1" s="1"/>
  <c r="J1054" i="1"/>
  <c r="I1054" i="1"/>
  <c r="H1054" i="1"/>
  <c r="G1054" i="1"/>
  <c r="L1053" i="1"/>
  <c r="K1053" i="1"/>
  <c r="S1053" i="1" s="1"/>
  <c r="J1053" i="1"/>
  <c r="H1053" i="1"/>
  <c r="G1053" i="1"/>
  <c r="L1051" i="1"/>
  <c r="K1051" i="1"/>
  <c r="S1051" i="1" s="1"/>
  <c r="J1051" i="1"/>
  <c r="I1051" i="1"/>
  <c r="H1051" i="1"/>
  <c r="G1051" i="1"/>
  <c r="L1050" i="1"/>
  <c r="K1050" i="1"/>
  <c r="S1050" i="1" s="1"/>
  <c r="J1050" i="1"/>
  <c r="I1050" i="1"/>
  <c r="H1050" i="1"/>
  <c r="G1050" i="1"/>
  <c r="L1048" i="1"/>
  <c r="K1048" i="1"/>
  <c r="S1048" i="1" s="1"/>
  <c r="J1048" i="1"/>
  <c r="I1048" i="1"/>
  <c r="H1048" i="1"/>
  <c r="G1048" i="1"/>
  <c r="L1047" i="1"/>
  <c r="K1047" i="1"/>
  <c r="S1047" i="1" s="1"/>
  <c r="J1047" i="1"/>
  <c r="I1047" i="1"/>
  <c r="H1047" i="1"/>
  <c r="G1047" i="1"/>
  <c r="L1046" i="1"/>
  <c r="K1046" i="1"/>
  <c r="S1046" i="1" s="1"/>
  <c r="J1046" i="1"/>
  <c r="I1046" i="1"/>
  <c r="H1046" i="1"/>
  <c r="G1046" i="1"/>
  <c r="L1045" i="1"/>
  <c r="K1045" i="1"/>
  <c r="S1045" i="1" s="1"/>
  <c r="J1045" i="1"/>
  <c r="I1045" i="1"/>
  <c r="H1045" i="1"/>
  <c r="G1045" i="1"/>
  <c r="L1044" i="1"/>
  <c r="K1044" i="1"/>
  <c r="S1044" i="1" s="1"/>
  <c r="J1044" i="1"/>
  <c r="I1044" i="1"/>
  <c r="H1044" i="1"/>
  <c r="G1044" i="1"/>
  <c r="L1043" i="1"/>
  <c r="K1043" i="1"/>
  <c r="S1043" i="1" s="1"/>
  <c r="J1043" i="1"/>
  <c r="I1043" i="1"/>
  <c r="H1043" i="1"/>
  <c r="G1043" i="1"/>
  <c r="L1042" i="1"/>
  <c r="K1042" i="1"/>
  <c r="S1042" i="1" s="1"/>
  <c r="J1042" i="1"/>
  <c r="I1042" i="1"/>
  <c r="H1042" i="1"/>
  <c r="G1042" i="1"/>
  <c r="L1041" i="1"/>
  <c r="K1041" i="1"/>
  <c r="S1041" i="1" s="1"/>
  <c r="J1041" i="1"/>
  <c r="I1041" i="1"/>
  <c r="H1041" i="1"/>
  <c r="G1041" i="1"/>
  <c r="L1040" i="1"/>
  <c r="K1040" i="1"/>
  <c r="S1040" i="1" s="1"/>
  <c r="J1040" i="1"/>
  <c r="I1040" i="1"/>
  <c r="H1040" i="1"/>
  <c r="G1040" i="1"/>
  <c r="L1039" i="1"/>
  <c r="K1039" i="1"/>
  <c r="S1039" i="1" s="1"/>
  <c r="J1039" i="1"/>
  <c r="I1039" i="1"/>
  <c r="H1039" i="1"/>
  <c r="G1039" i="1"/>
  <c r="L1038" i="1"/>
  <c r="K1038" i="1"/>
  <c r="S1038" i="1" s="1"/>
  <c r="J1038" i="1"/>
  <c r="I1038" i="1"/>
  <c r="H1038" i="1"/>
  <c r="G1038" i="1"/>
  <c r="L1037" i="1"/>
  <c r="K1037" i="1"/>
  <c r="S1037" i="1" s="1"/>
  <c r="J1037" i="1"/>
  <c r="I1037" i="1"/>
  <c r="H1037" i="1"/>
  <c r="G1037" i="1"/>
  <c r="L1036" i="1"/>
  <c r="K1036" i="1"/>
  <c r="S1036" i="1" s="1"/>
  <c r="J1036" i="1"/>
  <c r="I1036" i="1"/>
  <c r="H1036" i="1"/>
  <c r="G1036" i="1"/>
  <c r="L1035" i="1"/>
  <c r="K1035" i="1"/>
  <c r="S1035" i="1" s="1"/>
  <c r="J1035" i="1"/>
  <c r="I1035" i="1"/>
  <c r="H1035" i="1"/>
  <c r="G1035" i="1"/>
  <c r="L1034" i="1"/>
  <c r="K1034" i="1"/>
  <c r="S1034" i="1" s="1"/>
  <c r="J1034" i="1"/>
  <c r="H1034" i="1"/>
  <c r="G1034" i="1"/>
  <c r="L1032" i="1"/>
  <c r="K1032" i="1"/>
  <c r="S1032" i="1" s="1"/>
  <c r="J1032" i="1"/>
  <c r="H1032" i="1"/>
  <c r="G1032" i="1"/>
  <c r="L1030" i="1"/>
  <c r="K1030" i="1"/>
  <c r="S1030" i="1" s="1"/>
  <c r="J1030" i="1"/>
  <c r="I1030" i="1"/>
  <c r="H1030" i="1"/>
  <c r="G1030" i="1"/>
  <c r="L1029" i="1"/>
  <c r="K1029" i="1"/>
  <c r="S1029" i="1" s="1"/>
  <c r="J1029" i="1"/>
  <c r="I1029" i="1"/>
  <c r="H1029" i="1"/>
  <c r="G1029" i="1"/>
  <c r="L1028" i="1"/>
  <c r="K1028" i="1"/>
  <c r="S1028" i="1" s="1"/>
  <c r="J1028" i="1"/>
  <c r="I1028" i="1"/>
  <c r="H1028" i="1"/>
  <c r="G1028" i="1"/>
  <c r="L1027" i="1"/>
  <c r="K1027" i="1"/>
  <c r="S1027" i="1" s="1"/>
  <c r="J1027" i="1"/>
  <c r="I1027" i="1"/>
  <c r="H1027" i="1"/>
  <c r="G1027" i="1"/>
  <c r="L1026" i="1"/>
  <c r="K1026" i="1"/>
  <c r="S1026" i="1" s="1"/>
  <c r="J1026" i="1"/>
  <c r="I1026" i="1"/>
  <c r="H1026" i="1"/>
  <c r="G1026" i="1"/>
  <c r="L1024" i="1"/>
  <c r="K1024" i="1"/>
  <c r="S1024" i="1" s="1"/>
  <c r="J1024" i="1"/>
  <c r="I1024" i="1"/>
  <c r="H1024" i="1"/>
  <c r="G1024" i="1"/>
  <c r="L1023" i="1"/>
  <c r="K1023" i="1"/>
  <c r="S1023" i="1" s="1"/>
  <c r="J1023" i="1"/>
  <c r="I1023" i="1"/>
  <c r="H1023" i="1"/>
  <c r="G1023" i="1"/>
  <c r="L1022" i="1"/>
  <c r="K1022" i="1"/>
  <c r="S1022" i="1" s="1"/>
  <c r="J1022" i="1"/>
  <c r="I1022" i="1"/>
  <c r="H1022" i="1"/>
  <c r="G1022" i="1"/>
  <c r="L1021" i="1"/>
  <c r="K1021" i="1"/>
  <c r="S1021" i="1" s="1"/>
  <c r="J1021" i="1"/>
  <c r="I1021" i="1"/>
  <c r="H1021" i="1"/>
  <c r="G1021" i="1"/>
  <c r="L1020" i="1"/>
  <c r="K1020" i="1"/>
  <c r="S1020" i="1" s="1"/>
  <c r="J1020" i="1"/>
  <c r="I1020" i="1"/>
  <c r="H1020" i="1"/>
  <c r="G1020" i="1"/>
  <c r="L1018" i="1"/>
  <c r="K1018" i="1"/>
  <c r="S1018" i="1" s="1"/>
  <c r="J1018" i="1"/>
  <c r="I1018" i="1"/>
  <c r="H1018" i="1"/>
  <c r="G1018" i="1"/>
  <c r="L1017" i="1"/>
  <c r="K1017" i="1"/>
  <c r="S1017" i="1" s="1"/>
  <c r="J1017" i="1"/>
  <c r="I1017" i="1"/>
  <c r="H1017" i="1"/>
  <c r="G1017" i="1"/>
  <c r="L1016" i="1"/>
  <c r="K1016" i="1"/>
  <c r="S1016" i="1" s="1"/>
  <c r="J1016" i="1"/>
  <c r="I1016" i="1"/>
  <c r="H1016" i="1"/>
  <c r="G1016" i="1"/>
  <c r="L1015" i="1"/>
  <c r="K1015" i="1"/>
  <c r="S1015" i="1" s="1"/>
  <c r="J1015" i="1"/>
  <c r="I1015" i="1"/>
  <c r="H1015" i="1"/>
  <c r="G1015" i="1"/>
  <c r="L1014" i="1"/>
  <c r="K1014" i="1"/>
  <c r="S1014" i="1" s="1"/>
  <c r="J1014" i="1"/>
  <c r="I1014" i="1"/>
  <c r="H1014" i="1"/>
  <c r="G1014" i="1"/>
  <c r="L1013" i="1"/>
  <c r="K1013" i="1"/>
  <c r="S1013" i="1" s="1"/>
  <c r="J1013" i="1"/>
  <c r="I1013" i="1"/>
  <c r="H1013" i="1"/>
  <c r="G1013" i="1"/>
  <c r="L1012" i="1"/>
  <c r="K1012" i="1"/>
  <c r="S1012" i="1" s="1"/>
  <c r="J1012" i="1"/>
  <c r="I1012" i="1"/>
  <c r="H1012" i="1"/>
  <c r="G1012" i="1"/>
  <c r="L1011" i="1"/>
  <c r="K1011" i="1"/>
  <c r="S1011" i="1" s="1"/>
  <c r="J1011" i="1"/>
  <c r="I1011" i="1"/>
  <c r="H1011" i="1"/>
  <c r="G1011" i="1"/>
  <c r="L1010" i="1"/>
  <c r="K1010" i="1"/>
  <c r="S1010" i="1" s="1"/>
  <c r="J1010" i="1"/>
  <c r="I1010" i="1"/>
  <c r="H1010" i="1"/>
  <c r="G1010" i="1"/>
  <c r="L1009" i="1"/>
  <c r="K1009" i="1"/>
  <c r="S1009" i="1" s="1"/>
  <c r="J1009" i="1"/>
  <c r="I1009" i="1"/>
  <c r="H1009" i="1"/>
  <c r="G1009" i="1"/>
  <c r="L1008" i="1"/>
  <c r="K1008" i="1"/>
  <c r="S1008" i="1" s="1"/>
  <c r="J1008" i="1"/>
  <c r="I1008" i="1"/>
  <c r="H1008" i="1"/>
  <c r="G1008" i="1"/>
  <c r="L1007" i="1"/>
  <c r="K1007" i="1"/>
  <c r="S1007" i="1" s="1"/>
  <c r="J1007" i="1"/>
  <c r="I1007" i="1"/>
  <c r="H1007" i="1"/>
  <c r="G1007" i="1"/>
  <c r="L1006" i="1"/>
  <c r="K1006" i="1"/>
  <c r="S1006" i="1" s="1"/>
  <c r="J1006" i="1"/>
  <c r="I1006" i="1"/>
  <c r="H1006" i="1"/>
  <c r="G1006" i="1"/>
  <c r="L1005" i="1"/>
  <c r="K1005" i="1"/>
  <c r="S1005" i="1" s="1"/>
  <c r="J1005" i="1"/>
  <c r="I1005" i="1"/>
  <c r="H1005" i="1"/>
  <c r="G1005" i="1"/>
  <c r="L1003" i="1"/>
  <c r="K1003" i="1"/>
  <c r="S1003" i="1" s="1"/>
  <c r="J1003" i="1"/>
  <c r="I1003" i="1"/>
  <c r="H1003" i="1"/>
  <c r="G1003" i="1"/>
  <c r="L1002" i="1"/>
  <c r="K1002" i="1"/>
  <c r="S1002" i="1" s="1"/>
  <c r="J1002" i="1"/>
  <c r="I1002" i="1"/>
  <c r="H1002" i="1"/>
  <c r="G1002" i="1"/>
  <c r="L1001" i="1"/>
  <c r="K1001" i="1"/>
  <c r="S1001" i="1" s="1"/>
  <c r="J1001" i="1"/>
  <c r="I1001" i="1"/>
  <c r="H1001" i="1"/>
  <c r="G1001" i="1"/>
  <c r="L1000" i="1"/>
  <c r="K1000" i="1"/>
  <c r="S1000" i="1" s="1"/>
  <c r="J1000" i="1"/>
  <c r="I1000" i="1"/>
  <c r="H1000" i="1"/>
  <c r="G1000" i="1"/>
  <c r="L999" i="1"/>
  <c r="K999" i="1"/>
  <c r="S999" i="1" s="1"/>
  <c r="J999" i="1"/>
  <c r="I999" i="1"/>
  <c r="H999" i="1"/>
  <c r="G999" i="1"/>
  <c r="L998" i="1"/>
  <c r="K998" i="1"/>
  <c r="S998" i="1" s="1"/>
  <c r="J998" i="1"/>
  <c r="I998" i="1"/>
  <c r="H998" i="1"/>
  <c r="G998" i="1"/>
  <c r="L997" i="1"/>
  <c r="K997" i="1"/>
  <c r="S997" i="1" s="1"/>
  <c r="J997" i="1"/>
  <c r="I997" i="1"/>
  <c r="H997" i="1"/>
  <c r="G997" i="1"/>
  <c r="L996" i="1"/>
  <c r="K996" i="1"/>
  <c r="S996" i="1" s="1"/>
  <c r="J996" i="1"/>
  <c r="I996" i="1"/>
  <c r="H996" i="1"/>
  <c r="G996" i="1"/>
  <c r="L995" i="1"/>
  <c r="K995" i="1"/>
  <c r="S995" i="1" s="1"/>
  <c r="J995" i="1"/>
  <c r="I995" i="1"/>
  <c r="H995" i="1"/>
  <c r="G995" i="1"/>
  <c r="L994" i="1"/>
  <c r="K994" i="1"/>
  <c r="S994" i="1" s="1"/>
  <c r="J994" i="1"/>
  <c r="I994" i="1"/>
  <c r="H994" i="1"/>
  <c r="G994" i="1"/>
  <c r="L993" i="1"/>
  <c r="K993" i="1"/>
  <c r="S993" i="1" s="1"/>
  <c r="J993" i="1"/>
  <c r="I993" i="1"/>
  <c r="H993" i="1"/>
  <c r="G993" i="1"/>
  <c r="L992" i="1"/>
  <c r="K992" i="1"/>
  <c r="S992" i="1" s="1"/>
  <c r="J992" i="1"/>
  <c r="I992" i="1"/>
  <c r="H992" i="1"/>
  <c r="G992" i="1"/>
  <c r="L991" i="1"/>
  <c r="K991" i="1"/>
  <c r="S991" i="1" s="1"/>
  <c r="J991" i="1"/>
  <c r="I991" i="1"/>
  <c r="H991" i="1"/>
  <c r="G991" i="1"/>
  <c r="L990" i="1"/>
  <c r="K990" i="1"/>
  <c r="S990" i="1" s="1"/>
  <c r="J990" i="1"/>
  <c r="I990" i="1"/>
  <c r="H990" i="1"/>
  <c r="G990" i="1"/>
  <c r="L989" i="1"/>
  <c r="K989" i="1"/>
  <c r="S989" i="1" s="1"/>
  <c r="J989" i="1"/>
  <c r="I989" i="1"/>
  <c r="H989" i="1"/>
  <c r="G989" i="1"/>
  <c r="L988" i="1"/>
  <c r="K988" i="1"/>
  <c r="S988" i="1" s="1"/>
  <c r="J988" i="1"/>
  <c r="I988" i="1"/>
  <c r="H988" i="1"/>
  <c r="G988" i="1"/>
  <c r="L987" i="1"/>
  <c r="K987" i="1"/>
  <c r="S987" i="1" s="1"/>
  <c r="J987" i="1"/>
  <c r="I987" i="1"/>
  <c r="H987" i="1"/>
  <c r="G987" i="1"/>
  <c r="L985" i="1"/>
  <c r="K985" i="1"/>
  <c r="S985" i="1" s="1"/>
  <c r="J985" i="1"/>
  <c r="H985" i="1"/>
  <c r="G985" i="1"/>
  <c r="L986" i="1"/>
  <c r="K986" i="1"/>
  <c r="S986" i="1" s="1"/>
  <c r="J986" i="1"/>
  <c r="H986" i="1"/>
  <c r="G986" i="1"/>
  <c r="L984" i="1"/>
  <c r="K984" i="1"/>
  <c r="S984" i="1" s="1"/>
  <c r="J984" i="1"/>
  <c r="I984" i="1"/>
  <c r="H984" i="1"/>
  <c r="G984" i="1"/>
  <c r="L983" i="1"/>
  <c r="K983" i="1"/>
  <c r="S983" i="1" s="1"/>
  <c r="J983" i="1"/>
  <c r="I983" i="1"/>
  <c r="H983" i="1"/>
  <c r="G983" i="1"/>
  <c r="L982" i="1"/>
  <c r="K982" i="1"/>
  <c r="S982" i="1" s="1"/>
  <c r="J982" i="1"/>
  <c r="I982" i="1"/>
  <c r="H982" i="1"/>
  <c r="G982" i="1"/>
  <c r="L981" i="1"/>
  <c r="K981" i="1"/>
  <c r="S981" i="1" s="1"/>
  <c r="J981" i="1"/>
  <c r="I981" i="1"/>
  <c r="H981" i="1"/>
  <c r="G981" i="1"/>
  <c r="L980" i="1"/>
  <c r="K980" i="1"/>
  <c r="S980" i="1" s="1"/>
  <c r="J980" i="1"/>
  <c r="I980" i="1"/>
  <c r="H980" i="1"/>
  <c r="G980" i="1"/>
  <c r="L979" i="1"/>
  <c r="K979" i="1"/>
  <c r="S979" i="1" s="1"/>
  <c r="J979" i="1"/>
  <c r="I979" i="1"/>
  <c r="H979" i="1"/>
  <c r="G979" i="1"/>
  <c r="L978" i="1"/>
  <c r="K978" i="1"/>
  <c r="S978" i="1" s="1"/>
  <c r="J978" i="1"/>
  <c r="I978" i="1"/>
  <c r="H978" i="1"/>
  <c r="G978" i="1"/>
  <c r="L977" i="1"/>
  <c r="K977" i="1"/>
  <c r="S977" i="1" s="1"/>
  <c r="J977" i="1"/>
  <c r="I977" i="1"/>
  <c r="H977" i="1"/>
  <c r="G977" i="1"/>
  <c r="L976" i="1"/>
  <c r="K976" i="1"/>
  <c r="S976" i="1" s="1"/>
  <c r="J976" i="1"/>
  <c r="I976" i="1"/>
  <c r="H976" i="1"/>
  <c r="G976" i="1"/>
  <c r="L975" i="1"/>
  <c r="K975" i="1"/>
  <c r="S975" i="1" s="1"/>
  <c r="J975" i="1"/>
  <c r="I975" i="1"/>
  <c r="H975" i="1"/>
  <c r="G975" i="1"/>
  <c r="L974" i="1"/>
  <c r="K974" i="1"/>
  <c r="S974" i="1" s="1"/>
  <c r="J974" i="1"/>
  <c r="I974" i="1"/>
  <c r="H974" i="1"/>
  <c r="G974" i="1"/>
  <c r="L973" i="1"/>
  <c r="K973" i="1"/>
  <c r="S973" i="1" s="1"/>
  <c r="J973" i="1"/>
  <c r="I973" i="1"/>
  <c r="H973" i="1"/>
  <c r="G973" i="1"/>
  <c r="L972" i="1"/>
  <c r="K972" i="1"/>
  <c r="S972" i="1" s="1"/>
  <c r="J972" i="1"/>
  <c r="I972" i="1"/>
  <c r="H972" i="1"/>
  <c r="G972" i="1"/>
  <c r="L971" i="1"/>
  <c r="K971" i="1"/>
  <c r="S971" i="1" s="1"/>
  <c r="J971" i="1"/>
  <c r="I971" i="1"/>
  <c r="H971" i="1"/>
  <c r="G971" i="1"/>
  <c r="L970" i="1"/>
  <c r="K970" i="1"/>
  <c r="S970" i="1" s="1"/>
  <c r="J970" i="1"/>
  <c r="I970" i="1"/>
  <c r="H970" i="1"/>
  <c r="G970" i="1"/>
  <c r="L969" i="1"/>
  <c r="K969" i="1"/>
  <c r="S969" i="1" s="1"/>
  <c r="J969" i="1"/>
  <c r="I969" i="1"/>
  <c r="H969" i="1"/>
  <c r="G969" i="1"/>
  <c r="L968" i="1"/>
  <c r="K968" i="1"/>
  <c r="S968" i="1" s="1"/>
  <c r="J968" i="1"/>
  <c r="I968" i="1"/>
  <c r="H968" i="1"/>
  <c r="G968" i="1"/>
  <c r="L967" i="1"/>
  <c r="K967" i="1"/>
  <c r="S967" i="1" s="1"/>
  <c r="J967" i="1"/>
  <c r="I967" i="1"/>
  <c r="H967" i="1"/>
  <c r="G967" i="1"/>
  <c r="L966" i="1"/>
  <c r="K966" i="1"/>
  <c r="S966" i="1" s="1"/>
  <c r="J966" i="1"/>
  <c r="I966" i="1"/>
  <c r="H966" i="1"/>
  <c r="G966" i="1"/>
  <c r="L965" i="1"/>
  <c r="K965" i="1"/>
  <c r="S965" i="1" s="1"/>
  <c r="J965" i="1"/>
  <c r="I965" i="1"/>
  <c r="H965" i="1"/>
  <c r="G965" i="1"/>
  <c r="L964" i="1"/>
  <c r="K964" i="1"/>
  <c r="S964" i="1" s="1"/>
  <c r="J964" i="1"/>
  <c r="I964" i="1"/>
  <c r="H964" i="1"/>
  <c r="G964" i="1"/>
  <c r="L963" i="1"/>
  <c r="K963" i="1"/>
  <c r="S963" i="1" s="1"/>
  <c r="J963" i="1"/>
  <c r="I963" i="1"/>
  <c r="H963" i="1"/>
  <c r="G963" i="1"/>
  <c r="L962" i="1"/>
  <c r="K962" i="1"/>
  <c r="S962" i="1" s="1"/>
  <c r="J962" i="1"/>
  <c r="I962" i="1"/>
  <c r="H962" i="1"/>
  <c r="G962" i="1"/>
  <c r="L961" i="1"/>
  <c r="K961" i="1"/>
  <c r="S961" i="1" s="1"/>
  <c r="J961" i="1"/>
  <c r="I961" i="1"/>
  <c r="H961" i="1"/>
  <c r="G961" i="1"/>
  <c r="L960" i="1"/>
  <c r="K960" i="1"/>
  <c r="S960" i="1" s="1"/>
  <c r="J960" i="1"/>
  <c r="I960" i="1"/>
  <c r="H960" i="1"/>
  <c r="G960" i="1"/>
  <c r="L959" i="1"/>
  <c r="K959" i="1"/>
  <c r="S959" i="1" s="1"/>
  <c r="J959" i="1"/>
  <c r="I959" i="1"/>
  <c r="H959" i="1"/>
  <c r="G959" i="1"/>
  <c r="L958" i="1"/>
  <c r="K958" i="1"/>
  <c r="S958" i="1" s="1"/>
  <c r="J958" i="1"/>
  <c r="I958" i="1"/>
  <c r="H958" i="1"/>
  <c r="G958" i="1"/>
  <c r="L957" i="1"/>
  <c r="K957" i="1"/>
  <c r="S957" i="1" s="1"/>
  <c r="J957" i="1"/>
  <c r="I957" i="1"/>
  <c r="H957" i="1"/>
  <c r="G957" i="1"/>
  <c r="L956" i="1"/>
  <c r="K956" i="1"/>
  <c r="S956" i="1" s="1"/>
  <c r="J956" i="1"/>
  <c r="I956" i="1"/>
  <c r="H956" i="1"/>
  <c r="G956" i="1"/>
  <c r="L955" i="1"/>
  <c r="K955" i="1"/>
  <c r="S955" i="1" s="1"/>
  <c r="J955" i="1"/>
  <c r="I955" i="1"/>
  <c r="H955" i="1"/>
  <c r="G955" i="1"/>
  <c r="L954" i="1"/>
  <c r="K954" i="1"/>
  <c r="S954" i="1" s="1"/>
  <c r="J954" i="1"/>
  <c r="I954" i="1"/>
  <c r="H954" i="1"/>
  <c r="G954" i="1"/>
  <c r="L953" i="1"/>
  <c r="K953" i="1"/>
  <c r="S953" i="1" s="1"/>
  <c r="J953" i="1"/>
  <c r="I953" i="1"/>
  <c r="H953" i="1"/>
  <c r="G953" i="1"/>
  <c r="L952" i="1"/>
  <c r="K952" i="1"/>
  <c r="S952" i="1" s="1"/>
  <c r="J952" i="1"/>
  <c r="I952" i="1"/>
  <c r="H952" i="1"/>
  <c r="G952" i="1"/>
  <c r="L951" i="1"/>
  <c r="K951" i="1"/>
  <c r="S951" i="1" s="1"/>
  <c r="J951" i="1"/>
  <c r="I951" i="1"/>
  <c r="H951" i="1"/>
  <c r="G951" i="1"/>
  <c r="L950" i="1"/>
  <c r="K950" i="1"/>
  <c r="S950" i="1" s="1"/>
  <c r="J950" i="1"/>
  <c r="I950" i="1"/>
  <c r="H950" i="1"/>
  <c r="G950" i="1"/>
  <c r="L949" i="1"/>
  <c r="K949" i="1"/>
  <c r="S949" i="1" s="1"/>
  <c r="J949" i="1"/>
  <c r="I949" i="1"/>
  <c r="H949" i="1"/>
  <c r="G949" i="1"/>
  <c r="L948" i="1"/>
  <c r="K948" i="1"/>
  <c r="S948" i="1" s="1"/>
  <c r="J948" i="1"/>
  <c r="I948" i="1"/>
  <c r="H948" i="1"/>
  <c r="G948" i="1"/>
  <c r="L947" i="1"/>
  <c r="K947" i="1"/>
  <c r="S947" i="1" s="1"/>
  <c r="J947" i="1"/>
  <c r="I947" i="1"/>
  <c r="H947" i="1"/>
  <c r="G947" i="1"/>
  <c r="L946" i="1"/>
  <c r="K946" i="1"/>
  <c r="S946" i="1" s="1"/>
  <c r="J946" i="1"/>
  <c r="I946" i="1"/>
  <c r="H946" i="1"/>
  <c r="G946" i="1"/>
  <c r="L945" i="1"/>
  <c r="K945" i="1"/>
  <c r="S945" i="1" s="1"/>
  <c r="J945" i="1"/>
  <c r="I945" i="1"/>
  <c r="H945" i="1"/>
  <c r="G945" i="1"/>
  <c r="L944" i="1"/>
  <c r="K944" i="1"/>
  <c r="S944" i="1" s="1"/>
  <c r="J944" i="1"/>
  <c r="I944" i="1"/>
  <c r="H944" i="1"/>
  <c r="G944" i="1"/>
  <c r="L943" i="1"/>
  <c r="K943" i="1"/>
  <c r="S943" i="1" s="1"/>
  <c r="J943" i="1"/>
  <c r="I943" i="1"/>
  <c r="H943" i="1"/>
  <c r="G943" i="1"/>
  <c r="L942" i="1"/>
  <c r="K942" i="1"/>
  <c r="S942" i="1" s="1"/>
  <c r="J942" i="1"/>
  <c r="I942" i="1"/>
  <c r="H942" i="1"/>
  <c r="G942" i="1"/>
  <c r="L941" i="1"/>
  <c r="K941" i="1"/>
  <c r="S941" i="1" s="1"/>
  <c r="J941" i="1"/>
  <c r="I941" i="1"/>
  <c r="H941" i="1"/>
  <c r="G941" i="1"/>
  <c r="L940" i="1"/>
  <c r="K940" i="1"/>
  <c r="S940" i="1" s="1"/>
  <c r="J940" i="1"/>
  <c r="I940" i="1"/>
  <c r="H940" i="1"/>
  <c r="G940" i="1"/>
  <c r="L939" i="1"/>
  <c r="K939" i="1"/>
  <c r="S939" i="1" s="1"/>
  <c r="J939" i="1"/>
  <c r="I939" i="1"/>
  <c r="H939" i="1"/>
  <c r="G939" i="1"/>
  <c r="L938" i="1"/>
  <c r="K938" i="1"/>
  <c r="S938" i="1" s="1"/>
  <c r="J938" i="1"/>
  <c r="I938" i="1"/>
  <c r="H938" i="1"/>
  <c r="G938" i="1"/>
  <c r="L937" i="1"/>
  <c r="K937" i="1"/>
  <c r="S937" i="1" s="1"/>
  <c r="J937" i="1"/>
  <c r="I937" i="1"/>
  <c r="H937" i="1"/>
  <c r="G937" i="1"/>
  <c r="L936" i="1"/>
  <c r="K936" i="1"/>
  <c r="S936" i="1" s="1"/>
  <c r="J936" i="1"/>
  <c r="I936" i="1"/>
  <c r="H936" i="1"/>
  <c r="G936" i="1"/>
  <c r="L935" i="1"/>
  <c r="K935" i="1"/>
  <c r="S935" i="1" s="1"/>
  <c r="J935" i="1"/>
  <c r="I935" i="1"/>
  <c r="H935" i="1"/>
  <c r="G935" i="1"/>
  <c r="L934" i="1"/>
  <c r="K934" i="1"/>
  <c r="S934" i="1" s="1"/>
  <c r="J934" i="1"/>
  <c r="I934" i="1"/>
  <c r="H934" i="1"/>
  <c r="G934" i="1"/>
  <c r="L933" i="1"/>
  <c r="K933" i="1"/>
  <c r="S933" i="1" s="1"/>
  <c r="J933" i="1"/>
  <c r="I933" i="1"/>
  <c r="H933" i="1"/>
  <c r="G933" i="1"/>
  <c r="L932" i="1"/>
  <c r="K932" i="1"/>
  <c r="S932" i="1" s="1"/>
  <c r="J932" i="1"/>
  <c r="I932" i="1"/>
  <c r="H932" i="1"/>
  <c r="G932" i="1"/>
  <c r="L931" i="1"/>
  <c r="K931" i="1"/>
  <c r="S931" i="1" s="1"/>
  <c r="J931" i="1"/>
  <c r="I931" i="1"/>
  <c r="H931" i="1"/>
  <c r="G931" i="1"/>
  <c r="L930" i="1"/>
  <c r="K930" i="1"/>
  <c r="S930" i="1" s="1"/>
  <c r="J930" i="1"/>
  <c r="I930" i="1"/>
  <c r="H930" i="1"/>
  <c r="G930" i="1"/>
  <c r="L929" i="1"/>
  <c r="K929" i="1"/>
  <c r="S929" i="1" s="1"/>
  <c r="J929" i="1"/>
  <c r="I929" i="1"/>
  <c r="H929" i="1"/>
  <c r="G929" i="1"/>
  <c r="L928" i="1"/>
  <c r="K928" i="1"/>
  <c r="S928" i="1" s="1"/>
  <c r="J928" i="1"/>
  <c r="I928" i="1"/>
  <c r="H928" i="1"/>
  <c r="G928" i="1"/>
  <c r="L927" i="1"/>
  <c r="K927" i="1"/>
  <c r="S927" i="1" s="1"/>
  <c r="J927" i="1"/>
  <c r="I927" i="1"/>
  <c r="H927" i="1"/>
  <c r="G927" i="1"/>
  <c r="L926" i="1"/>
  <c r="K926" i="1"/>
  <c r="S926" i="1" s="1"/>
  <c r="J926" i="1"/>
  <c r="I926" i="1"/>
  <c r="H926" i="1"/>
  <c r="G926" i="1"/>
  <c r="L925" i="1"/>
  <c r="K925" i="1"/>
  <c r="S925" i="1" s="1"/>
  <c r="J925" i="1"/>
  <c r="I925" i="1"/>
  <c r="H925" i="1"/>
  <c r="G925" i="1"/>
  <c r="L924" i="1"/>
  <c r="K924" i="1"/>
  <c r="S924" i="1" s="1"/>
  <c r="J924" i="1"/>
  <c r="I924" i="1"/>
  <c r="H924" i="1"/>
  <c r="G924" i="1"/>
  <c r="L923" i="1"/>
  <c r="K923" i="1"/>
  <c r="S923" i="1" s="1"/>
  <c r="J923" i="1"/>
  <c r="I923" i="1"/>
  <c r="H923" i="1"/>
  <c r="G923" i="1"/>
  <c r="L922" i="1"/>
  <c r="K922" i="1"/>
  <c r="S922" i="1" s="1"/>
  <c r="J922" i="1"/>
  <c r="I922" i="1"/>
  <c r="H922" i="1"/>
  <c r="G922" i="1"/>
  <c r="L921" i="1"/>
  <c r="K921" i="1"/>
  <c r="S921" i="1" s="1"/>
  <c r="J921" i="1"/>
  <c r="I921" i="1"/>
  <c r="H921" i="1"/>
  <c r="G921" i="1"/>
  <c r="L920" i="1"/>
  <c r="K920" i="1"/>
  <c r="S920" i="1" s="1"/>
  <c r="J920" i="1"/>
  <c r="I920" i="1"/>
  <c r="H920" i="1"/>
  <c r="G920" i="1"/>
  <c r="L919" i="1"/>
  <c r="K919" i="1"/>
  <c r="S919" i="1" s="1"/>
  <c r="J919" i="1"/>
  <c r="I919" i="1"/>
  <c r="H919" i="1"/>
  <c r="G919" i="1"/>
  <c r="L918" i="1"/>
  <c r="K918" i="1"/>
  <c r="S918" i="1" s="1"/>
  <c r="J918" i="1"/>
  <c r="I918" i="1"/>
  <c r="H918" i="1"/>
  <c r="G918" i="1"/>
  <c r="L917" i="1"/>
  <c r="K917" i="1"/>
  <c r="S917" i="1" s="1"/>
  <c r="J917" i="1"/>
  <c r="I917" i="1"/>
  <c r="H917" i="1"/>
  <c r="G917" i="1"/>
  <c r="L916" i="1"/>
  <c r="K916" i="1"/>
  <c r="S916" i="1" s="1"/>
  <c r="J916" i="1"/>
  <c r="I916" i="1"/>
  <c r="H916" i="1"/>
  <c r="G916" i="1"/>
  <c r="L915" i="1"/>
  <c r="K915" i="1"/>
  <c r="S915" i="1" s="1"/>
  <c r="J915" i="1"/>
  <c r="I915" i="1"/>
  <c r="H915" i="1"/>
  <c r="G915" i="1"/>
  <c r="L914" i="1"/>
  <c r="K914" i="1"/>
  <c r="S914" i="1" s="1"/>
  <c r="J914" i="1"/>
  <c r="I914" i="1"/>
  <c r="H914" i="1"/>
  <c r="G914" i="1"/>
  <c r="L913" i="1"/>
  <c r="K913" i="1"/>
  <c r="S913" i="1" s="1"/>
  <c r="J913" i="1"/>
  <c r="I913" i="1"/>
  <c r="H913" i="1"/>
  <c r="G913" i="1"/>
  <c r="L912" i="1"/>
  <c r="K912" i="1"/>
  <c r="S912" i="1" s="1"/>
  <c r="J912" i="1"/>
  <c r="I912" i="1"/>
  <c r="H912" i="1"/>
  <c r="G912" i="1"/>
  <c r="L911" i="1"/>
  <c r="K911" i="1"/>
  <c r="S911" i="1" s="1"/>
  <c r="J911" i="1"/>
  <c r="I911" i="1"/>
  <c r="H911" i="1"/>
  <c r="G911" i="1"/>
  <c r="L910" i="1"/>
  <c r="K910" i="1"/>
  <c r="S910" i="1" s="1"/>
  <c r="J910" i="1"/>
  <c r="I910" i="1"/>
  <c r="H910" i="1"/>
  <c r="G910" i="1"/>
  <c r="L909" i="1"/>
  <c r="K909" i="1"/>
  <c r="S909" i="1" s="1"/>
  <c r="J909" i="1"/>
  <c r="I909" i="1"/>
  <c r="H909" i="1"/>
  <c r="G909" i="1"/>
  <c r="L908" i="1"/>
  <c r="K908" i="1"/>
  <c r="S908" i="1" s="1"/>
  <c r="J908" i="1"/>
  <c r="I908" i="1"/>
  <c r="H908" i="1"/>
  <c r="G908" i="1"/>
  <c r="L907" i="1"/>
  <c r="K907" i="1"/>
  <c r="S907" i="1" s="1"/>
  <c r="J907" i="1"/>
  <c r="I907" i="1"/>
  <c r="H907" i="1"/>
  <c r="G907" i="1"/>
  <c r="L906" i="1"/>
  <c r="K906" i="1"/>
  <c r="S906" i="1" s="1"/>
  <c r="J906" i="1"/>
  <c r="I906" i="1"/>
  <c r="H906" i="1"/>
  <c r="G906" i="1"/>
  <c r="L905" i="1"/>
  <c r="K905" i="1"/>
  <c r="S905" i="1" s="1"/>
  <c r="J905" i="1"/>
  <c r="I905" i="1"/>
  <c r="H905" i="1"/>
  <c r="G905" i="1"/>
  <c r="L904" i="1"/>
  <c r="K904" i="1"/>
  <c r="S904" i="1" s="1"/>
  <c r="J904" i="1"/>
  <c r="I904" i="1"/>
  <c r="H904" i="1"/>
  <c r="G904" i="1"/>
  <c r="L903" i="1"/>
  <c r="K903" i="1"/>
  <c r="S903" i="1" s="1"/>
  <c r="J903" i="1"/>
  <c r="I903" i="1"/>
  <c r="H903" i="1"/>
  <c r="G903" i="1"/>
  <c r="L902" i="1"/>
  <c r="K902" i="1"/>
  <c r="S902" i="1" s="1"/>
  <c r="J902" i="1"/>
  <c r="I902" i="1"/>
  <c r="H902" i="1"/>
  <c r="G902" i="1"/>
  <c r="L901" i="1"/>
  <c r="K901" i="1"/>
  <c r="S901" i="1" s="1"/>
  <c r="J901" i="1"/>
  <c r="I901" i="1"/>
  <c r="H901" i="1"/>
  <c r="G901" i="1"/>
  <c r="L900" i="1"/>
  <c r="K900" i="1"/>
  <c r="S900" i="1" s="1"/>
  <c r="J900" i="1"/>
  <c r="I900" i="1"/>
  <c r="H900" i="1"/>
  <c r="G900" i="1"/>
  <c r="L899" i="1"/>
  <c r="K899" i="1"/>
  <c r="S899" i="1" s="1"/>
  <c r="J899" i="1"/>
  <c r="I899" i="1"/>
  <c r="H899" i="1"/>
  <c r="G899" i="1"/>
  <c r="L898" i="1"/>
  <c r="K898" i="1"/>
  <c r="S898" i="1" s="1"/>
  <c r="J898" i="1"/>
  <c r="I898" i="1"/>
  <c r="H898" i="1"/>
  <c r="G898" i="1"/>
  <c r="L897" i="1"/>
  <c r="K897" i="1"/>
  <c r="S897" i="1" s="1"/>
  <c r="J897" i="1"/>
  <c r="I897" i="1"/>
  <c r="H897" i="1"/>
  <c r="G897" i="1"/>
  <c r="L896" i="1"/>
  <c r="K896" i="1"/>
  <c r="S896" i="1" s="1"/>
  <c r="J896" i="1"/>
  <c r="I896" i="1"/>
  <c r="H896" i="1"/>
  <c r="G896" i="1"/>
  <c r="L895" i="1"/>
  <c r="K895" i="1"/>
  <c r="S895" i="1" s="1"/>
  <c r="J895" i="1"/>
  <c r="I895" i="1"/>
  <c r="H895" i="1"/>
  <c r="G895" i="1"/>
  <c r="L894" i="1"/>
  <c r="K894" i="1"/>
  <c r="S894" i="1" s="1"/>
  <c r="J894" i="1"/>
  <c r="I894" i="1"/>
  <c r="H894" i="1"/>
  <c r="G894" i="1"/>
  <c r="L893" i="1"/>
  <c r="K893" i="1"/>
  <c r="S893" i="1" s="1"/>
  <c r="J893" i="1"/>
  <c r="I893" i="1"/>
  <c r="H893" i="1"/>
  <c r="G893" i="1"/>
  <c r="L892" i="1"/>
  <c r="K892" i="1"/>
  <c r="S892" i="1" s="1"/>
  <c r="J892" i="1"/>
  <c r="I892" i="1"/>
  <c r="H892" i="1"/>
  <c r="G892" i="1"/>
  <c r="L891" i="1"/>
  <c r="K891" i="1"/>
  <c r="S891" i="1" s="1"/>
  <c r="J891" i="1"/>
  <c r="I891" i="1"/>
  <c r="H891" i="1"/>
  <c r="G891" i="1"/>
  <c r="L890" i="1"/>
  <c r="K890" i="1"/>
  <c r="S890" i="1" s="1"/>
  <c r="J890" i="1"/>
  <c r="I890" i="1"/>
  <c r="H890" i="1"/>
  <c r="G890" i="1"/>
  <c r="L889" i="1"/>
  <c r="K889" i="1"/>
  <c r="S889" i="1" s="1"/>
  <c r="J889" i="1"/>
  <c r="I889" i="1"/>
  <c r="H889" i="1"/>
  <c r="G889" i="1"/>
  <c r="L888" i="1"/>
  <c r="K888" i="1"/>
  <c r="S888" i="1" s="1"/>
  <c r="J888" i="1"/>
  <c r="I888" i="1"/>
  <c r="H888" i="1"/>
  <c r="G888" i="1"/>
  <c r="L887" i="1"/>
  <c r="K887" i="1"/>
  <c r="S887" i="1" s="1"/>
  <c r="J887" i="1"/>
  <c r="I887" i="1"/>
  <c r="H887" i="1"/>
  <c r="G887" i="1"/>
  <c r="L886" i="1"/>
  <c r="K886" i="1"/>
  <c r="S886" i="1" s="1"/>
  <c r="J886" i="1"/>
  <c r="I886" i="1"/>
  <c r="H886" i="1"/>
  <c r="G886" i="1"/>
  <c r="L885" i="1"/>
  <c r="K885" i="1"/>
  <c r="S885" i="1" s="1"/>
  <c r="J885" i="1"/>
  <c r="I885" i="1"/>
  <c r="H885" i="1"/>
  <c r="G885" i="1"/>
  <c r="L884" i="1"/>
  <c r="K884" i="1"/>
  <c r="S884" i="1" s="1"/>
  <c r="J884" i="1"/>
  <c r="I884" i="1"/>
  <c r="H884" i="1"/>
  <c r="G884" i="1"/>
  <c r="L883" i="1"/>
  <c r="K883" i="1"/>
  <c r="S883" i="1" s="1"/>
  <c r="J883" i="1"/>
  <c r="I883" i="1"/>
  <c r="H883" i="1"/>
  <c r="G883" i="1"/>
  <c r="L882" i="1"/>
  <c r="K882" i="1"/>
  <c r="S882" i="1" s="1"/>
  <c r="J882" i="1"/>
  <c r="I882" i="1"/>
  <c r="H882" i="1"/>
  <c r="G882" i="1"/>
  <c r="L881" i="1"/>
  <c r="K881" i="1"/>
  <c r="S881" i="1" s="1"/>
  <c r="J881" i="1"/>
  <c r="I881" i="1"/>
  <c r="H881" i="1"/>
  <c r="G881" i="1"/>
  <c r="L880" i="1"/>
  <c r="K880" i="1"/>
  <c r="S880" i="1" s="1"/>
  <c r="J880" i="1"/>
  <c r="I880" i="1"/>
  <c r="H880" i="1"/>
  <c r="G880" i="1"/>
  <c r="L879" i="1"/>
  <c r="K879" i="1"/>
  <c r="S879" i="1" s="1"/>
  <c r="J879" i="1"/>
  <c r="I879" i="1"/>
  <c r="H879" i="1"/>
  <c r="G879" i="1"/>
  <c r="L878" i="1"/>
  <c r="K878" i="1"/>
  <c r="S878" i="1" s="1"/>
  <c r="J878" i="1"/>
  <c r="I878" i="1"/>
  <c r="H878" i="1"/>
  <c r="G878" i="1"/>
  <c r="L877" i="1"/>
  <c r="K877" i="1"/>
  <c r="S877" i="1" s="1"/>
  <c r="J877" i="1"/>
  <c r="I877" i="1"/>
  <c r="H877" i="1"/>
  <c r="G877" i="1"/>
  <c r="L876" i="1"/>
  <c r="K876" i="1"/>
  <c r="S876" i="1" s="1"/>
  <c r="J876" i="1"/>
  <c r="I876" i="1"/>
  <c r="H876" i="1"/>
  <c r="G876" i="1"/>
  <c r="L875" i="1"/>
  <c r="K875" i="1"/>
  <c r="S875" i="1" s="1"/>
  <c r="J875" i="1"/>
  <c r="I875" i="1"/>
  <c r="H875" i="1"/>
  <c r="G875" i="1"/>
  <c r="L874" i="1"/>
  <c r="K874" i="1"/>
  <c r="S874" i="1" s="1"/>
  <c r="J874" i="1"/>
  <c r="I874" i="1"/>
  <c r="H874" i="1"/>
  <c r="G874" i="1"/>
  <c r="L873" i="1"/>
  <c r="K873" i="1"/>
  <c r="S873" i="1" s="1"/>
  <c r="J873" i="1"/>
  <c r="I873" i="1"/>
  <c r="H873" i="1"/>
  <c r="G873" i="1"/>
  <c r="L872" i="1"/>
  <c r="K872" i="1"/>
  <c r="S872" i="1" s="1"/>
  <c r="J872" i="1"/>
  <c r="I872" i="1"/>
  <c r="H872" i="1"/>
  <c r="G872" i="1"/>
  <c r="L871" i="1"/>
  <c r="K871" i="1"/>
  <c r="S871" i="1" s="1"/>
  <c r="J871" i="1"/>
  <c r="I871" i="1"/>
  <c r="H871" i="1"/>
  <c r="G871" i="1"/>
  <c r="L870" i="1"/>
  <c r="K870" i="1"/>
  <c r="S870" i="1" s="1"/>
  <c r="J870" i="1"/>
  <c r="I870" i="1"/>
  <c r="H870" i="1"/>
  <c r="G870" i="1"/>
  <c r="L869" i="1"/>
  <c r="K869" i="1"/>
  <c r="S869" i="1" s="1"/>
  <c r="J869" i="1"/>
  <c r="I869" i="1"/>
  <c r="H869" i="1"/>
  <c r="G869" i="1"/>
  <c r="L868" i="1"/>
  <c r="K868" i="1"/>
  <c r="S868" i="1" s="1"/>
  <c r="J868" i="1"/>
  <c r="I868" i="1"/>
  <c r="H868" i="1"/>
  <c r="G868" i="1"/>
  <c r="L867" i="1"/>
  <c r="K867" i="1"/>
  <c r="S867" i="1" s="1"/>
  <c r="J867" i="1"/>
  <c r="I867" i="1"/>
  <c r="H867" i="1"/>
  <c r="G867" i="1"/>
  <c r="L866" i="1"/>
  <c r="K866" i="1"/>
  <c r="S866" i="1" s="1"/>
  <c r="J866" i="1"/>
  <c r="I866" i="1"/>
  <c r="H866" i="1"/>
  <c r="G866" i="1"/>
  <c r="L865" i="1"/>
  <c r="K865" i="1"/>
  <c r="S865" i="1" s="1"/>
  <c r="J865" i="1"/>
  <c r="I865" i="1"/>
  <c r="H865" i="1"/>
  <c r="G865" i="1"/>
  <c r="L864" i="1"/>
  <c r="K864" i="1"/>
  <c r="S864" i="1" s="1"/>
  <c r="J864" i="1"/>
  <c r="I864" i="1"/>
  <c r="H864" i="1"/>
  <c r="G864" i="1"/>
  <c r="L863" i="1"/>
  <c r="K863" i="1"/>
  <c r="S863" i="1" s="1"/>
  <c r="J863" i="1"/>
  <c r="I863" i="1"/>
  <c r="H863" i="1"/>
  <c r="G863" i="1"/>
  <c r="L862" i="1"/>
  <c r="K862" i="1"/>
  <c r="S862" i="1" s="1"/>
  <c r="J862" i="1"/>
  <c r="I862" i="1"/>
  <c r="H862" i="1"/>
  <c r="G862" i="1"/>
  <c r="L861" i="1"/>
  <c r="K861" i="1"/>
  <c r="S861" i="1" s="1"/>
  <c r="J861" i="1"/>
  <c r="I861" i="1"/>
  <c r="H861" i="1"/>
  <c r="G861" i="1"/>
  <c r="L860" i="1"/>
  <c r="K860" i="1"/>
  <c r="S860" i="1" s="1"/>
  <c r="J860" i="1"/>
  <c r="I860" i="1"/>
  <c r="H860" i="1"/>
  <c r="G860" i="1"/>
  <c r="L859" i="1"/>
  <c r="K859" i="1"/>
  <c r="S859" i="1" s="1"/>
  <c r="J859" i="1"/>
  <c r="I859" i="1"/>
  <c r="H859" i="1"/>
  <c r="G859" i="1"/>
  <c r="L858" i="1"/>
  <c r="K858" i="1"/>
  <c r="S858" i="1" s="1"/>
  <c r="J858" i="1"/>
  <c r="I858" i="1"/>
  <c r="H858" i="1"/>
  <c r="G858" i="1"/>
  <c r="L857" i="1"/>
  <c r="K857" i="1"/>
  <c r="S857" i="1" s="1"/>
  <c r="J857" i="1"/>
  <c r="I857" i="1"/>
  <c r="H857" i="1"/>
  <c r="G857" i="1"/>
  <c r="L856" i="1"/>
  <c r="K856" i="1"/>
  <c r="S856" i="1" s="1"/>
  <c r="J856" i="1"/>
  <c r="I856" i="1"/>
  <c r="H856" i="1"/>
  <c r="G856" i="1"/>
  <c r="L855" i="1"/>
  <c r="K855" i="1"/>
  <c r="S855" i="1" s="1"/>
  <c r="J855" i="1"/>
  <c r="I855" i="1"/>
  <c r="H855" i="1"/>
  <c r="G855" i="1"/>
  <c r="L854" i="1"/>
  <c r="K854" i="1"/>
  <c r="S854" i="1" s="1"/>
  <c r="J854" i="1"/>
  <c r="I854" i="1"/>
  <c r="H854" i="1"/>
  <c r="G854" i="1"/>
  <c r="L853" i="1"/>
  <c r="K853" i="1"/>
  <c r="S853" i="1" s="1"/>
  <c r="J853" i="1"/>
  <c r="I853" i="1"/>
  <c r="H853" i="1"/>
  <c r="G853" i="1"/>
  <c r="L852" i="1"/>
  <c r="K852" i="1"/>
  <c r="S852" i="1" s="1"/>
  <c r="J852" i="1"/>
  <c r="I852" i="1"/>
  <c r="H852" i="1"/>
  <c r="G852" i="1"/>
  <c r="L851" i="1"/>
  <c r="K851" i="1"/>
  <c r="S851" i="1" s="1"/>
  <c r="J851" i="1"/>
  <c r="I851" i="1"/>
  <c r="H851" i="1"/>
  <c r="G851" i="1"/>
  <c r="L850" i="1"/>
  <c r="K850" i="1"/>
  <c r="S850" i="1" s="1"/>
  <c r="J850" i="1"/>
  <c r="I850" i="1"/>
  <c r="H850" i="1"/>
  <c r="G850" i="1"/>
  <c r="L849" i="1"/>
  <c r="K849" i="1"/>
  <c r="S849" i="1" s="1"/>
  <c r="J849" i="1"/>
  <c r="I849" i="1"/>
  <c r="H849" i="1"/>
  <c r="G849" i="1"/>
  <c r="L848" i="1"/>
  <c r="K848" i="1"/>
  <c r="S848" i="1" s="1"/>
  <c r="J848" i="1"/>
  <c r="I848" i="1"/>
  <c r="H848" i="1"/>
  <c r="G848" i="1"/>
  <c r="L847" i="1"/>
  <c r="K847" i="1"/>
  <c r="S847" i="1" s="1"/>
  <c r="J847" i="1"/>
  <c r="I847" i="1"/>
  <c r="H847" i="1"/>
  <c r="G847" i="1"/>
  <c r="L846" i="1"/>
  <c r="K846" i="1"/>
  <c r="S846" i="1" s="1"/>
  <c r="J846" i="1"/>
  <c r="I846" i="1"/>
  <c r="H846" i="1"/>
  <c r="G846" i="1"/>
  <c r="L845" i="1"/>
  <c r="K845" i="1"/>
  <c r="S845" i="1" s="1"/>
  <c r="J845" i="1"/>
  <c r="I845" i="1"/>
  <c r="H845" i="1"/>
  <c r="G845" i="1"/>
  <c r="L844" i="1"/>
  <c r="K844" i="1"/>
  <c r="S844" i="1" s="1"/>
  <c r="J844" i="1"/>
  <c r="I844" i="1"/>
  <c r="H844" i="1"/>
  <c r="G844" i="1"/>
  <c r="L843" i="1"/>
  <c r="K843" i="1"/>
  <c r="S843" i="1" s="1"/>
  <c r="J843" i="1"/>
  <c r="I843" i="1"/>
  <c r="H843" i="1"/>
  <c r="G843" i="1"/>
  <c r="L842" i="1"/>
  <c r="K842" i="1"/>
  <c r="S842" i="1" s="1"/>
  <c r="J842" i="1"/>
  <c r="I842" i="1"/>
  <c r="H842" i="1"/>
  <c r="G842" i="1"/>
  <c r="L841" i="1"/>
  <c r="K841" i="1"/>
  <c r="S841" i="1" s="1"/>
  <c r="J841" i="1"/>
  <c r="I841" i="1"/>
  <c r="H841" i="1"/>
  <c r="G841" i="1"/>
  <c r="L840" i="1"/>
  <c r="K840" i="1"/>
  <c r="S840" i="1" s="1"/>
  <c r="J840" i="1"/>
  <c r="I840" i="1"/>
  <c r="H840" i="1"/>
  <c r="G840" i="1"/>
  <c r="L839" i="1"/>
  <c r="K839" i="1"/>
  <c r="S839" i="1" s="1"/>
  <c r="J839" i="1"/>
  <c r="I839" i="1"/>
  <c r="H839" i="1"/>
  <c r="G839" i="1"/>
  <c r="L838" i="1"/>
  <c r="K838" i="1"/>
  <c r="S838" i="1" s="1"/>
  <c r="J838" i="1"/>
  <c r="I838" i="1"/>
  <c r="H838" i="1"/>
  <c r="G838" i="1"/>
  <c r="L837" i="1"/>
  <c r="K837" i="1"/>
  <c r="S837" i="1" s="1"/>
  <c r="J837" i="1"/>
  <c r="I837" i="1"/>
  <c r="H837" i="1"/>
  <c r="G837" i="1"/>
  <c r="L836" i="1"/>
  <c r="K836" i="1"/>
  <c r="S836" i="1" s="1"/>
  <c r="J836" i="1"/>
  <c r="I836" i="1"/>
  <c r="H836" i="1"/>
  <c r="G836" i="1"/>
  <c r="L835" i="1"/>
  <c r="K835" i="1"/>
  <c r="S835" i="1" s="1"/>
  <c r="J835" i="1"/>
  <c r="I835" i="1"/>
  <c r="H835" i="1"/>
  <c r="G835" i="1"/>
  <c r="L834" i="1"/>
  <c r="K834" i="1"/>
  <c r="S834" i="1" s="1"/>
  <c r="J834" i="1"/>
  <c r="I834" i="1"/>
  <c r="H834" i="1"/>
  <c r="G834" i="1"/>
  <c r="L833" i="1"/>
  <c r="K833" i="1"/>
  <c r="S833" i="1" s="1"/>
  <c r="J833" i="1"/>
  <c r="I833" i="1"/>
  <c r="H833" i="1"/>
  <c r="G833" i="1"/>
  <c r="L832" i="1"/>
  <c r="K832" i="1"/>
  <c r="S832" i="1" s="1"/>
  <c r="J832" i="1"/>
  <c r="I832" i="1"/>
  <c r="H832" i="1"/>
  <c r="G832" i="1"/>
  <c r="L831" i="1"/>
  <c r="K831" i="1"/>
  <c r="S831" i="1" s="1"/>
  <c r="J831" i="1"/>
  <c r="I831" i="1"/>
  <c r="H831" i="1"/>
  <c r="G831" i="1"/>
  <c r="L830" i="1"/>
  <c r="K830" i="1"/>
  <c r="S830" i="1" s="1"/>
  <c r="J830" i="1"/>
  <c r="I830" i="1"/>
  <c r="H830" i="1"/>
  <c r="G830" i="1"/>
  <c r="L829" i="1"/>
  <c r="K829" i="1"/>
  <c r="S829" i="1" s="1"/>
  <c r="J829" i="1"/>
  <c r="I829" i="1"/>
  <c r="H829" i="1"/>
  <c r="G829" i="1"/>
  <c r="L828" i="1"/>
  <c r="K828" i="1"/>
  <c r="S828" i="1" s="1"/>
  <c r="J828" i="1"/>
  <c r="I828" i="1"/>
  <c r="H828" i="1"/>
  <c r="G828" i="1"/>
  <c r="L827" i="1"/>
  <c r="K827" i="1"/>
  <c r="S827" i="1" s="1"/>
  <c r="J827" i="1"/>
  <c r="I827" i="1"/>
  <c r="H827" i="1"/>
  <c r="G827" i="1"/>
  <c r="L826" i="1"/>
  <c r="K826" i="1"/>
  <c r="S826" i="1" s="1"/>
  <c r="J826" i="1"/>
  <c r="I826" i="1"/>
  <c r="H826" i="1"/>
  <c r="G826" i="1"/>
  <c r="L825" i="1"/>
  <c r="K825" i="1"/>
  <c r="S825" i="1" s="1"/>
  <c r="J825" i="1"/>
  <c r="I825" i="1"/>
  <c r="H825" i="1"/>
  <c r="G825" i="1"/>
  <c r="L824" i="1"/>
  <c r="K824" i="1"/>
  <c r="S824" i="1" s="1"/>
  <c r="J824" i="1"/>
  <c r="I824" i="1"/>
  <c r="H824" i="1"/>
  <c r="G824" i="1"/>
  <c r="L823" i="1"/>
  <c r="K823" i="1"/>
  <c r="S823" i="1" s="1"/>
  <c r="J823" i="1"/>
  <c r="I823" i="1"/>
  <c r="H823" i="1"/>
  <c r="G823" i="1"/>
  <c r="L822" i="1"/>
  <c r="K822" i="1"/>
  <c r="S822" i="1" s="1"/>
  <c r="J822" i="1"/>
  <c r="I822" i="1"/>
  <c r="H822" i="1"/>
  <c r="G822" i="1"/>
  <c r="L821" i="1"/>
  <c r="K821" i="1"/>
  <c r="S821" i="1" s="1"/>
  <c r="J821" i="1"/>
  <c r="I821" i="1"/>
  <c r="H821" i="1"/>
  <c r="G821" i="1"/>
  <c r="L820" i="1"/>
  <c r="K820" i="1"/>
  <c r="S820" i="1" s="1"/>
  <c r="J820" i="1"/>
  <c r="I820" i="1"/>
  <c r="H820" i="1"/>
  <c r="G820" i="1"/>
  <c r="L819" i="1"/>
  <c r="K819" i="1"/>
  <c r="S819" i="1" s="1"/>
  <c r="J819" i="1"/>
  <c r="I819" i="1"/>
  <c r="H819" i="1"/>
  <c r="G819" i="1"/>
  <c r="L818" i="1"/>
  <c r="K818" i="1"/>
  <c r="S818" i="1" s="1"/>
  <c r="J818" i="1"/>
  <c r="I818" i="1"/>
  <c r="H818" i="1"/>
  <c r="G818" i="1"/>
  <c r="L817" i="1"/>
  <c r="K817" i="1"/>
  <c r="S817" i="1" s="1"/>
  <c r="J817" i="1"/>
  <c r="I817" i="1"/>
  <c r="H817" i="1"/>
  <c r="G817" i="1"/>
  <c r="L816" i="1"/>
  <c r="K816" i="1"/>
  <c r="S816" i="1" s="1"/>
  <c r="J816" i="1"/>
  <c r="I816" i="1"/>
  <c r="H816" i="1"/>
  <c r="G816" i="1"/>
  <c r="L815" i="1"/>
  <c r="K815" i="1"/>
  <c r="S815" i="1" s="1"/>
  <c r="J815" i="1"/>
  <c r="I815" i="1"/>
  <c r="H815" i="1"/>
  <c r="G815" i="1"/>
  <c r="L814" i="1"/>
  <c r="K814" i="1"/>
  <c r="S814" i="1" s="1"/>
  <c r="J814" i="1"/>
  <c r="I814" i="1"/>
  <c r="H814" i="1"/>
  <c r="G814" i="1"/>
  <c r="L813" i="1"/>
  <c r="K813" i="1"/>
  <c r="S813" i="1" s="1"/>
  <c r="J813" i="1"/>
  <c r="I813" i="1"/>
  <c r="H813" i="1"/>
  <c r="G813" i="1"/>
  <c r="L812" i="1"/>
  <c r="K812" i="1"/>
  <c r="S812" i="1" s="1"/>
  <c r="J812" i="1"/>
  <c r="I812" i="1"/>
  <c r="H812" i="1"/>
  <c r="G812" i="1"/>
  <c r="L811" i="1"/>
  <c r="K811" i="1"/>
  <c r="S811" i="1" s="1"/>
  <c r="J811" i="1"/>
  <c r="I811" i="1"/>
  <c r="H811" i="1"/>
  <c r="G811" i="1"/>
  <c r="L810" i="1"/>
  <c r="K810" i="1"/>
  <c r="S810" i="1" s="1"/>
  <c r="J810" i="1"/>
  <c r="I810" i="1"/>
  <c r="H810" i="1"/>
  <c r="G810" i="1"/>
  <c r="L809" i="1"/>
  <c r="K809" i="1"/>
  <c r="S809" i="1" s="1"/>
  <c r="J809" i="1"/>
  <c r="I809" i="1"/>
  <c r="H809" i="1"/>
  <c r="G809" i="1"/>
  <c r="L808" i="1"/>
  <c r="K808" i="1"/>
  <c r="S808" i="1" s="1"/>
  <c r="J808" i="1"/>
  <c r="I808" i="1"/>
  <c r="H808" i="1"/>
  <c r="G808" i="1"/>
  <c r="L807" i="1"/>
  <c r="K807" i="1"/>
  <c r="S807" i="1" s="1"/>
  <c r="J807" i="1"/>
  <c r="I807" i="1"/>
  <c r="H807" i="1"/>
  <c r="G807" i="1"/>
  <c r="L806" i="1"/>
  <c r="K806" i="1"/>
  <c r="S806" i="1" s="1"/>
  <c r="J806" i="1"/>
  <c r="I806" i="1"/>
  <c r="H806" i="1"/>
  <c r="G806" i="1"/>
  <c r="L805" i="1"/>
  <c r="K805" i="1"/>
  <c r="S805" i="1" s="1"/>
  <c r="J805" i="1"/>
  <c r="I805" i="1"/>
  <c r="H805" i="1"/>
  <c r="G805" i="1"/>
  <c r="L804" i="1"/>
  <c r="K804" i="1"/>
  <c r="S804" i="1" s="1"/>
  <c r="J804" i="1"/>
  <c r="I804" i="1"/>
  <c r="H804" i="1"/>
  <c r="G804" i="1"/>
  <c r="L803" i="1"/>
  <c r="K803" i="1"/>
  <c r="S803" i="1" s="1"/>
  <c r="J803" i="1"/>
  <c r="I803" i="1"/>
  <c r="H803" i="1"/>
  <c r="G803" i="1"/>
  <c r="L802" i="1"/>
  <c r="K802" i="1"/>
  <c r="S802" i="1" s="1"/>
  <c r="J802" i="1"/>
  <c r="I802" i="1"/>
  <c r="H802" i="1"/>
  <c r="G802" i="1"/>
  <c r="L801" i="1"/>
  <c r="K801" i="1"/>
  <c r="S801" i="1" s="1"/>
  <c r="J801" i="1"/>
  <c r="I801" i="1"/>
  <c r="H801" i="1"/>
  <c r="G801" i="1"/>
  <c r="L800" i="1"/>
  <c r="K800" i="1"/>
  <c r="S800" i="1" s="1"/>
  <c r="J800" i="1"/>
  <c r="I800" i="1"/>
  <c r="H800" i="1"/>
  <c r="G800" i="1"/>
  <c r="L799" i="1"/>
  <c r="K799" i="1"/>
  <c r="S799" i="1" s="1"/>
  <c r="J799" i="1"/>
  <c r="I799" i="1"/>
  <c r="H799" i="1"/>
  <c r="G799" i="1"/>
  <c r="L798" i="1"/>
  <c r="K798" i="1"/>
  <c r="S798" i="1" s="1"/>
  <c r="J798" i="1"/>
  <c r="I798" i="1"/>
  <c r="H798" i="1"/>
  <c r="G798" i="1"/>
  <c r="L797" i="1"/>
  <c r="K797" i="1"/>
  <c r="S797" i="1" s="1"/>
  <c r="J797" i="1"/>
  <c r="I797" i="1"/>
  <c r="H797" i="1"/>
  <c r="G797" i="1"/>
  <c r="L796" i="1"/>
  <c r="K796" i="1"/>
  <c r="S796" i="1" s="1"/>
  <c r="J796" i="1"/>
  <c r="I796" i="1"/>
  <c r="H796" i="1"/>
  <c r="G796" i="1"/>
  <c r="L795" i="1"/>
  <c r="K795" i="1"/>
  <c r="S795" i="1" s="1"/>
  <c r="J795" i="1"/>
  <c r="I795" i="1"/>
  <c r="H795" i="1"/>
  <c r="G795" i="1"/>
  <c r="L794" i="1"/>
  <c r="K794" i="1"/>
  <c r="S794" i="1" s="1"/>
  <c r="J794" i="1"/>
  <c r="I794" i="1"/>
  <c r="H794" i="1"/>
  <c r="G794" i="1"/>
  <c r="L793" i="1"/>
  <c r="K793" i="1"/>
  <c r="S793" i="1" s="1"/>
  <c r="J793" i="1"/>
  <c r="I793" i="1"/>
  <c r="H793" i="1"/>
  <c r="G793" i="1"/>
  <c r="L792" i="1"/>
  <c r="K792" i="1"/>
  <c r="S792" i="1" s="1"/>
  <c r="J792" i="1"/>
  <c r="I792" i="1"/>
  <c r="H792" i="1"/>
  <c r="G792" i="1"/>
  <c r="L791" i="1"/>
  <c r="K791" i="1"/>
  <c r="S791" i="1" s="1"/>
  <c r="J791" i="1"/>
  <c r="I791" i="1"/>
  <c r="H791" i="1"/>
  <c r="G791" i="1"/>
  <c r="L790" i="1"/>
  <c r="K790" i="1"/>
  <c r="S790" i="1" s="1"/>
  <c r="J790" i="1"/>
  <c r="I790" i="1"/>
  <c r="H790" i="1"/>
  <c r="G790" i="1"/>
  <c r="L789" i="1"/>
  <c r="K789" i="1"/>
  <c r="S789" i="1" s="1"/>
  <c r="J789" i="1"/>
  <c r="I789" i="1"/>
  <c r="H789" i="1"/>
  <c r="G789" i="1"/>
  <c r="L788" i="1"/>
  <c r="K788" i="1"/>
  <c r="S788" i="1" s="1"/>
  <c r="J788" i="1"/>
  <c r="I788" i="1"/>
  <c r="H788" i="1"/>
  <c r="G788" i="1"/>
  <c r="L787" i="1"/>
  <c r="K787" i="1"/>
  <c r="S787" i="1" s="1"/>
  <c r="J787" i="1"/>
  <c r="I787" i="1"/>
  <c r="H787" i="1"/>
  <c r="G787" i="1"/>
  <c r="L786" i="1"/>
  <c r="K786" i="1"/>
  <c r="S786" i="1" s="1"/>
  <c r="J786" i="1"/>
  <c r="I786" i="1"/>
  <c r="H786" i="1"/>
  <c r="G786" i="1"/>
  <c r="L785" i="1"/>
  <c r="K785" i="1"/>
  <c r="S785" i="1" s="1"/>
  <c r="J785" i="1"/>
  <c r="I785" i="1"/>
  <c r="H785" i="1"/>
  <c r="G785" i="1"/>
  <c r="L784" i="1"/>
  <c r="K784" i="1"/>
  <c r="S784" i="1" s="1"/>
  <c r="J784" i="1"/>
  <c r="I784" i="1"/>
  <c r="H784" i="1"/>
  <c r="G784" i="1"/>
  <c r="L783" i="1"/>
  <c r="K783" i="1"/>
  <c r="S783" i="1" s="1"/>
  <c r="J783" i="1"/>
  <c r="I783" i="1"/>
  <c r="H783" i="1"/>
  <c r="G783" i="1"/>
  <c r="L782" i="1"/>
  <c r="K782" i="1"/>
  <c r="S782" i="1" s="1"/>
  <c r="J782" i="1"/>
  <c r="I782" i="1"/>
  <c r="H782" i="1"/>
  <c r="G782" i="1"/>
  <c r="L781" i="1"/>
  <c r="K781" i="1"/>
  <c r="S781" i="1" s="1"/>
  <c r="J781" i="1"/>
  <c r="I781" i="1"/>
  <c r="H781" i="1"/>
  <c r="G781" i="1"/>
  <c r="L780" i="1"/>
  <c r="K780" i="1"/>
  <c r="S780" i="1" s="1"/>
  <c r="J780" i="1"/>
  <c r="I780" i="1"/>
  <c r="H780" i="1"/>
  <c r="G780" i="1"/>
  <c r="L779" i="1"/>
  <c r="K779" i="1"/>
  <c r="S779" i="1" s="1"/>
  <c r="J779" i="1"/>
  <c r="I779" i="1"/>
  <c r="H779" i="1"/>
  <c r="G779" i="1"/>
  <c r="L778" i="1"/>
  <c r="K778" i="1"/>
  <c r="S778" i="1" s="1"/>
  <c r="J778" i="1"/>
  <c r="I778" i="1"/>
  <c r="H778" i="1"/>
  <c r="G778" i="1"/>
  <c r="L777" i="1"/>
  <c r="K777" i="1"/>
  <c r="S777" i="1" s="1"/>
  <c r="J777" i="1"/>
  <c r="I777" i="1"/>
  <c r="H777" i="1"/>
  <c r="G777" i="1"/>
  <c r="L776" i="1"/>
  <c r="K776" i="1"/>
  <c r="S776" i="1" s="1"/>
  <c r="J776" i="1"/>
  <c r="I776" i="1"/>
  <c r="H776" i="1"/>
  <c r="G776" i="1"/>
  <c r="L775" i="1"/>
  <c r="K775" i="1"/>
  <c r="S775" i="1" s="1"/>
  <c r="J775" i="1"/>
  <c r="I775" i="1"/>
  <c r="H775" i="1"/>
  <c r="G775" i="1"/>
  <c r="L774" i="1"/>
  <c r="K774" i="1"/>
  <c r="S774" i="1" s="1"/>
  <c r="J774" i="1"/>
  <c r="I774" i="1"/>
  <c r="H774" i="1"/>
  <c r="G774" i="1"/>
  <c r="L773" i="1"/>
  <c r="K773" i="1"/>
  <c r="S773" i="1" s="1"/>
  <c r="J773" i="1"/>
  <c r="I773" i="1"/>
  <c r="H773" i="1"/>
  <c r="G773" i="1"/>
  <c r="L772" i="1"/>
  <c r="K772" i="1"/>
  <c r="S772" i="1" s="1"/>
  <c r="J772" i="1"/>
  <c r="I772" i="1"/>
  <c r="H772" i="1"/>
  <c r="G772" i="1"/>
  <c r="L771" i="1"/>
  <c r="K771" i="1"/>
  <c r="S771" i="1" s="1"/>
  <c r="J771" i="1"/>
  <c r="I771" i="1"/>
  <c r="H771" i="1"/>
  <c r="G771" i="1"/>
  <c r="L770" i="1"/>
  <c r="K770" i="1"/>
  <c r="S770" i="1" s="1"/>
  <c r="J770" i="1"/>
  <c r="I770" i="1"/>
  <c r="H770" i="1"/>
  <c r="G770" i="1"/>
  <c r="L769" i="1"/>
  <c r="K769" i="1"/>
  <c r="S769" i="1" s="1"/>
  <c r="J769" i="1"/>
  <c r="I769" i="1"/>
  <c r="H769" i="1"/>
  <c r="G769" i="1"/>
  <c r="L768" i="1"/>
  <c r="K768" i="1"/>
  <c r="S768" i="1" s="1"/>
  <c r="J768" i="1"/>
  <c r="I768" i="1"/>
  <c r="H768" i="1"/>
  <c r="G768" i="1"/>
  <c r="L767" i="1"/>
  <c r="K767" i="1"/>
  <c r="S767" i="1" s="1"/>
  <c r="J767" i="1"/>
  <c r="I767" i="1"/>
  <c r="H767" i="1"/>
  <c r="G767" i="1"/>
  <c r="L766" i="1"/>
  <c r="K766" i="1"/>
  <c r="S766" i="1" s="1"/>
  <c r="J766" i="1"/>
  <c r="I766" i="1"/>
  <c r="H766" i="1"/>
  <c r="G766" i="1"/>
  <c r="L765" i="1"/>
  <c r="K765" i="1"/>
  <c r="S765" i="1" s="1"/>
  <c r="J765" i="1"/>
  <c r="I765" i="1"/>
  <c r="H765" i="1"/>
  <c r="G765" i="1"/>
  <c r="L764" i="1"/>
  <c r="K764" i="1"/>
  <c r="S764" i="1" s="1"/>
  <c r="J764" i="1"/>
  <c r="I764" i="1"/>
  <c r="H764" i="1"/>
  <c r="G764" i="1"/>
  <c r="L763" i="1"/>
  <c r="K763" i="1"/>
  <c r="S763" i="1" s="1"/>
  <c r="J763" i="1"/>
  <c r="I763" i="1"/>
  <c r="H763" i="1"/>
  <c r="G763" i="1"/>
  <c r="L762" i="1"/>
  <c r="K762" i="1"/>
  <c r="S762" i="1" s="1"/>
  <c r="J762" i="1"/>
  <c r="I762" i="1"/>
  <c r="H762" i="1"/>
  <c r="G762" i="1"/>
  <c r="L761" i="1"/>
  <c r="K761" i="1"/>
  <c r="S761" i="1" s="1"/>
  <c r="J761" i="1"/>
  <c r="I761" i="1"/>
  <c r="H761" i="1"/>
  <c r="G761" i="1"/>
  <c r="L760" i="1"/>
  <c r="K760" i="1"/>
  <c r="S760" i="1" s="1"/>
  <c r="J760" i="1"/>
  <c r="I760" i="1"/>
  <c r="H760" i="1"/>
  <c r="G760" i="1"/>
  <c r="L759" i="1"/>
  <c r="K759" i="1"/>
  <c r="S759" i="1" s="1"/>
  <c r="J759" i="1"/>
  <c r="I759" i="1"/>
  <c r="H759" i="1"/>
  <c r="G759" i="1"/>
  <c r="L758" i="1"/>
  <c r="K758" i="1"/>
  <c r="S758" i="1" s="1"/>
  <c r="J758" i="1"/>
  <c r="I758" i="1"/>
  <c r="H758" i="1"/>
  <c r="G758" i="1"/>
  <c r="L757" i="1"/>
  <c r="K757" i="1"/>
  <c r="S757" i="1" s="1"/>
  <c r="J757" i="1"/>
  <c r="I757" i="1"/>
  <c r="H757" i="1"/>
  <c r="G757" i="1"/>
  <c r="L756" i="1"/>
  <c r="K756" i="1"/>
  <c r="S756" i="1" s="1"/>
  <c r="J756" i="1"/>
  <c r="I756" i="1"/>
  <c r="H756" i="1"/>
  <c r="G756" i="1"/>
  <c r="L755" i="1"/>
  <c r="K755" i="1"/>
  <c r="S755" i="1" s="1"/>
  <c r="J755" i="1"/>
  <c r="I755" i="1"/>
  <c r="H755" i="1"/>
  <c r="G755" i="1"/>
  <c r="L754" i="1"/>
  <c r="K754" i="1"/>
  <c r="S754" i="1" s="1"/>
  <c r="J754" i="1"/>
  <c r="I754" i="1"/>
  <c r="H754" i="1"/>
  <c r="G754" i="1"/>
  <c r="L753" i="1"/>
  <c r="K753" i="1"/>
  <c r="S753" i="1" s="1"/>
  <c r="J753" i="1"/>
  <c r="I753" i="1"/>
  <c r="H753" i="1"/>
  <c r="G753" i="1"/>
  <c r="L752" i="1"/>
  <c r="K752" i="1"/>
  <c r="S752" i="1" s="1"/>
  <c r="J752" i="1"/>
  <c r="I752" i="1"/>
  <c r="H752" i="1"/>
  <c r="G752" i="1"/>
  <c r="L751" i="1"/>
  <c r="K751" i="1"/>
  <c r="S751" i="1" s="1"/>
  <c r="J751" i="1"/>
  <c r="I751" i="1"/>
  <c r="H751" i="1"/>
  <c r="G751" i="1"/>
  <c r="L750" i="1"/>
  <c r="K750" i="1"/>
  <c r="S750" i="1" s="1"/>
  <c r="J750" i="1"/>
  <c r="I750" i="1"/>
  <c r="H750" i="1"/>
  <c r="G750" i="1"/>
  <c r="L749" i="1"/>
  <c r="K749" i="1"/>
  <c r="S749" i="1" s="1"/>
  <c r="J749" i="1"/>
  <c r="I749" i="1"/>
  <c r="H749" i="1"/>
  <c r="G749" i="1"/>
  <c r="L748" i="1"/>
  <c r="K748" i="1"/>
  <c r="S748" i="1" s="1"/>
  <c r="J748" i="1"/>
  <c r="I748" i="1"/>
  <c r="H748" i="1"/>
  <c r="G748" i="1"/>
  <c r="L747" i="1"/>
  <c r="K747" i="1"/>
  <c r="S747" i="1" s="1"/>
  <c r="J747" i="1"/>
  <c r="I747" i="1"/>
  <c r="H747" i="1"/>
  <c r="G747" i="1"/>
  <c r="L746" i="1"/>
  <c r="K746" i="1"/>
  <c r="S746" i="1" s="1"/>
  <c r="J746" i="1"/>
  <c r="I746" i="1"/>
  <c r="H746" i="1"/>
  <c r="G746" i="1"/>
  <c r="L745" i="1"/>
  <c r="K745" i="1"/>
  <c r="S745" i="1" s="1"/>
  <c r="J745" i="1"/>
  <c r="I745" i="1"/>
  <c r="H745" i="1"/>
  <c r="G745" i="1"/>
  <c r="L744" i="1"/>
  <c r="K744" i="1"/>
  <c r="S744" i="1" s="1"/>
  <c r="J744" i="1"/>
  <c r="I744" i="1"/>
  <c r="H744" i="1"/>
  <c r="G744" i="1"/>
  <c r="L743" i="1"/>
  <c r="K743" i="1"/>
  <c r="S743" i="1" s="1"/>
  <c r="J743" i="1"/>
  <c r="I743" i="1"/>
  <c r="H743" i="1"/>
  <c r="G743" i="1"/>
  <c r="L742" i="1"/>
  <c r="K742" i="1"/>
  <c r="S742" i="1" s="1"/>
  <c r="J742" i="1"/>
  <c r="I742" i="1"/>
  <c r="H742" i="1"/>
  <c r="G742" i="1"/>
  <c r="L741" i="1"/>
  <c r="K741" i="1"/>
  <c r="S741" i="1" s="1"/>
  <c r="J741" i="1"/>
  <c r="I741" i="1"/>
  <c r="H741" i="1"/>
  <c r="G741" i="1"/>
  <c r="L740" i="1"/>
  <c r="K740" i="1"/>
  <c r="S740" i="1" s="1"/>
  <c r="J740" i="1"/>
  <c r="I740" i="1"/>
  <c r="H740" i="1"/>
  <c r="G740" i="1"/>
  <c r="L739" i="1"/>
  <c r="K739" i="1"/>
  <c r="S739" i="1" s="1"/>
  <c r="J739" i="1"/>
  <c r="I739" i="1"/>
  <c r="H739" i="1"/>
  <c r="G739" i="1"/>
  <c r="L738" i="1"/>
  <c r="K738" i="1"/>
  <c r="S738" i="1" s="1"/>
  <c r="J738" i="1"/>
  <c r="I738" i="1"/>
  <c r="H738" i="1"/>
  <c r="G738" i="1"/>
  <c r="L737" i="1"/>
  <c r="K737" i="1"/>
  <c r="S737" i="1" s="1"/>
  <c r="J737" i="1"/>
  <c r="I737" i="1"/>
  <c r="H737" i="1"/>
  <c r="G737" i="1"/>
  <c r="L736" i="1"/>
  <c r="K736" i="1"/>
  <c r="S736" i="1" s="1"/>
  <c r="J736" i="1"/>
  <c r="I736" i="1"/>
  <c r="H736" i="1"/>
  <c r="G736" i="1"/>
  <c r="L735" i="1"/>
  <c r="K735" i="1"/>
  <c r="S735" i="1" s="1"/>
  <c r="J735" i="1"/>
  <c r="I735" i="1"/>
  <c r="H735" i="1"/>
  <c r="G735" i="1"/>
  <c r="L734" i="1"/>
  <c r="K734" i="1"/>
  <c r="S734" i="1" s="1"/>
  <c r="J734" i="1"/>
  <c r="I734" i="1"/>
  <c r="H734" i="1"/>
  <c r="G734" i="1"/>
  <c r="L733" i="1"/>
  <c r="K733" i="1"/>
  <c r="S733" i="1" s="1"/>
  <c r="J733" i="1"/>
  <c r="I733" i="1"/>
  <c r="H733" i="1"/>
  <c r="G733" i="1"/>
  <c r="L732" i="1"/>
  <c r="K732" i="1"/>
  <c r="S732" i="1" s="1"/>
  <c r="J732" i="1"/>
  <c r="I732" i="1"/>
  <c r="H732" i="1"/>
  <c r="G732" i="1"/>
  <c r="L731" i="1"/>
  <c r="K731" i="1"/>
  <c r="S731" i="1" s="1"/>
  <c r="J731" i="1"/>
  <c r="I731" i="1"/>
  <c r="H731" i="1"/>
  <c r="G731" i="1"/>
  <c r="L730" i="1"/>
  <c r="K730" i="1"/>
  <c r="S730" i="1" s="1"/>
  <c r="J730" i="1"/>
  <c r="I730" i="1"/>
  <c r="H730" i="1"/>
  <c r="G730" i="1"/>
  <c r="L729" i="1"/>
  <c r="K729" i="1"/>
  <c r="S729" i="1" s="1"/>
  <c r="J729" i="1"/>
  <c r="I729" i="1"/>
  <c r="H729" i="1"/>
  <c r="G729" i="1"/>
  <c r="L728" i="1"/>
  <c r="K728" i="1"/>
  <c r="S728" i="1" s="1"/>
  <c r="J728" i="1"/>
  <c r="I728" i="1"/>
  <c r="H728" i="1"/>
  <c r="G728" i="1"/>
  <c r="L727" i="1"/>
  <c r="K727" i="1"/>
  <c r="S727" i="1" s="1"/>
  <c r="J727" i="1"/>
  <c r="I727" i="1"/>
  <c r="H727" i="1"/>
  <c r="G727" i="1"/>
  <c r="L726" i="1"/>
  <c r="K726" i="1"/>
  <c r="S726" i="1" s="1"/>
  <c r="J726" i="1"/>
  <c r="I726" i="1"/>
  <c r="H726" i="1"/>
  <c r="G726" i="1"/>
  <c r="L725" i="1"/>
  <c r="K725" i="1"/>
  <c r="S725" i="1" s="1"/>
  <c r="J725" i="1"/>
  <c r="I725" i="1"/>
  <c r="H725" i="1"/>
  <c r="G725" i="1"/>
  <c r="L724" i="1"/>
  <c r="K724" i="1"/>
  <c r="S724" i="1" s="1"/>
  <c r="J724" i="1"/>
  <c r="I724" i="1"/>
  <c r="H724" i="1"/>
  <c r="G724" i="1"/>
  <c r="L723" i="1"/>
  <c r="K723" i="1"/>
  <c r="S723" i="1" s="1"/>
  <c r="J723" i="1"/>
  <c r="I723" i="1"/>
  <c r="H723" i="1"/>
  <c r="G723" i="1"/>
  <c r="L722" i="1"/>
  <c r="K722" i="1"/>
  <c r="S722" i="1" s="1"/>
  <c r="J722" i="1"/>
  <c r="I722" i="1"/>
  <c r="H722" i="1"/>
  <c r="G722" i="1"/>
  <c r="L721" i="1"/>
  <c r="K721" i="1"/>
  <c r="S721" i="1" s="1"/>
  <c r="J721" i="1"/>
  <c r="I721" i="1"/>
  <c r="H721" i="1"/>
  <c r="G721" i="1"/>
  <c r="L720" i="1"/>
  <c r="K720" i="1"/>
  <c r="S720" i="1" s="1"/>
  <c r="J720" i="1"/>
  <c r="I720" i="1"/>
  <c r="H720" i="1"/>
  <c r="G720" i="1"/>
  <c r="L719" i="1"/>
  <c r="K719" i="1"/>
  <c r="S719" i="1" s="1"/>
  <c r="J719" i="1"/>
  <c r="I719" i="1"/>
  <c r="H719" i="1"/>
  <c r="G719" i="1"/>
  <c r="L718" i="1"/>
  <c r="K718" i="1"/>
  <c r="S718" i="1" s="1"/>
  <c r="J718" i="1"/>
  <c r="I718" i="1"/>
  <c r="H718" i="1"/>
  <c r="G718" i="1"/>
  <c r="L717" i="1"/>
  <c r="K717" i="1"/>
  <c r="S717" i="1" s="1"/>
  <c r="J717" i="1"/>
  <c r="I717" i="1"/>
  <c r="H717" i="1"/>
  <c r="G717" i="1"/>
  <c r="L716" i="1"/>
  <c r="K716" i="1"/>
  <c r="S716" i="1" s="1"/>
  <c r="J716" i="1"/>
  <c r="I716" i="1"/>
  <c r="H716" i="1"/>
  <c r="G716" i="1"/>
  <c r="L715" i="1"/>
  <c r="K715" i="1"/>
  <c r="S715" i="1" s="1"/>
  <c r="J715" i="1"/>
  <c r="I715" i="1"/>
  <c r="H715" i="1"/>
  <c r="G715" i="1"/>
  <c r="L714" i="1"/>
  <c r="K714" i="1"/>
  <c r="S714" i="1" s="1"/>
  <c r="J714" i="1"/>
  <c r="I714" i="1"/>
  <c r="H714" i="1"/>
  <c r="G714" i="1"/>
  <c r="L713" i="1"/>
  <c r="K713" i="1"/>
  <c r="S713" i="1" s="1"/>
  <c r="J713" i="1"/>
  <c r="I713" i="1"/>
  <c r="H713" i="1"/>
  <c r="G713" i="1"/>
  <c r="L712" i="1"/>
  <c r="K712" i="1"/>
  <c r="S712" i="1" s="1"/>
  <c r="J712" i="1"/>
  <c r="I712" i="1"/>
  <c r="H712" i="1"/>
  <c r="G712" i="1"/>
  <c r="L711" i="1"/>
  <c r="K711" i="1"/>
  <c r="S711" i="1" s="1"/>
  <c r="J711" i="1"/>
  <c r="I711" i="1"/>
  <c r="H711" i="1"/>
  <c r="G711" i="1"/>
  <c r="L710" i="1"/>
  <c r="K710" i="1"/>
  <c r="S710" i="1" s="1"/>
  <c r="J710" i="1"/>
  <c r="I710" i="1"/>
  <c r="H710" i="1"/>
  <c r="G710" i="1"/>
  <c r="L709" i="1"/>
  <c r="K709" i="1"/>
  <c r="S709" i="1" s="1"/>
  <c r="J709" i="1"/>
  <c r="I709" i="1"/>
  <c r="H709" i="1"/>
  <c r="G709" i="1"/>
  <c r="L708" i="1"/>
  <c r="K708" i="1"/>
  <c r="S708" i="1" s="1"/>
  <c r="J708" i="1"/>
  <c r="I708" i="1"/>
  <c r="H708" i="1"/>
  <c r="G708" i="1"/>
  <c r="L707" i="1"/>
  <c r="K707" i="1"/>
  <c r="S707" i="1" s="1"/>
  <c r="J707" i="1"/>
  <c r="I707" i="1"/>
  <c r="H707" i="1"/>
  <c r="G707" i="1"/>
  <c r="L706" i="1"/>
  <c r="K706" i="1"/>
  <c r="S706" i="1" s="1"/>
  <c r="J706" i="1"/>
  <c r="I706" i="1"/>
  <c r="H706" i="1"/>
  <c r="G706" i="1"/>
  <c r="L705" i="1"/>
  <c r="K705" i="1"/>
  <c r="S705" i="1" s="1"/>
  <c r="J705" i="1"/>
  <c r="I705" i="1"/>
  <c r="H705" i="1"/>
  <c r="G705" i="1"/>
  <c r="L704" i="1"/>
  <c r="K704" i="1"/>
  <c r="S704" i="1" s="1"/>
  <c r="J704" i="1"/>
  <c r="I704" i="1"/>
  <c r="H704" i="1"/>
  <c r="G704" i="1"/>
  <c r="L703" i="1"/>
  <c r="K703" i="1"/>
  <c r="S703" i="1" s="1"/>
  <c r="J703" i="1"/>
  <c r="I703" i="1"/>
  <c r="H703" i="1"/>
  <c r="G703" i="1"/>
  <c r="L702" i="1"/>
  <c r="K702" i="1"/>
  <c r="S702" i="1" s="1"/>
  <c r="J702" i="1"/>
  <c r="I702" i="1"/>
  <c r="H702" i="1"/>
  <c r="G702" i="1"/>
  <c r="L701" i="1"/>
  <c r="K701" i="1"/>
  <c r="S701" i="1" s="1"/>
  <c r="J701" i="1"/>
  <c r="I701" i="1"/>
  <c r="H701" i="1"/>
  <c r="G701" i="1"/>
  <c r="L700" i="1"/>
  <c r="K700" i="1"/>
  <c r="S700" i="1" s="1"/>
  <c r="J700" i="1"/>
  <c r="I700" i="1"/>
  <c r="H700" i="1"/>
  <c r="G700" i="1"/>
  <c r="L699" i="1"/>
  <c r="K699" i="1"/>
  <c r="S699" i="1" s="1"/>
  <c r="J699" i="1"/>
  <c r="I699" i="1"/>
  <c r="H699" i="1"/>
  <c r="G699" i="1"/>
  <c r="L698" i="1"/>
  <c r="K698" i="1"/>
  <c r="S698" i="1" s="1"/>
  <c r="J698" i="1"/>
  <c r="I698" i="1"/>
  <c r="H698" i="1"/>
  <c r="G698" i="1"/>
  <c r="L697" i="1"/>
  <c r="K697" i="1"/>
  <c r="S697" i="1" s="1"/>
  <c r="J697" i="1"/>
  <c r="I697" i="1"/>
  <c r="H697" i="1"/>
  <c r="G697" i="1"/>
  <c r="L696" i="1"/>
  <c r="K696" i="1"/>
  <c r="S696" i="1" s="1"/>
  <c r="J696" i="1"/>
  <c r="I696" i="1"/>
  <c r="H696" i="1"/>
  <c r="G696" i="1"/>
  <c r="L695" i="1"/>
  <c r="K695" i="1"/>
  <c r="S695" i="1" s="1"/>
  <c r="J695" i="1"/>
  <c r="I695" i="1"/>
  <c r="H695" i="1"/>
  <c r="G695" i="1"/>
  <c r="L694" i="1"/>
  <c r="K694" i="1"/>
  <c r="S694" i="1" s="1"/>
  <c r="J694" i="1"/>
  <c r="I694" i="1"/>
  <c r="H694" i="1"/>
  <c r="G694" i="1"/>
  <c r="L693" i="1"/>
  <c r="K693" i="1"/>
  <c r="S693" i="1" s="1"/>
  <c r="J693" i="1"/>
  <c r="I693" i="1"/>
  <c r="H693" i="1"/>
  <c r="G693" i="1"/>
  <c r="L692" i="1"/>
  <c r="K692" i="1"/>
  <c r="S692" i="1" s="1"/>
  <c r="J692" i="1"/>
  <c r="I692" i="1"/>
  <c r="H692" i="1"/>
  <c r="G692" i="1"/>
  <c r="L691" i="1"/>
  <c r="K691" i="1"/>
  <c r="S691" i="1" s="1"/>
  <c r="J691" i="1"/>
  <c r="I691" i="1"/>
  <c r="H691" i="1"/>
  <c r="G691" i="1"/>
  <c r="L690" i="1"/>
  <c r="K690" i="1"/>
  <c r="S690" i="1" s="1"/>
  <c r="J690" i="1"/>
  <c r="I690" i="1"/>
  <c r="H690" i="1"/>
  <c r="G690" i="1"/>
  <c r="L689" i="1"/>
  <c r="K689" i="1"/>
  <c r="S689" i="1" s="1"/>
  <c r="J689" i="1"/>
  <c r="I689" i="1"/>
  <c r="H689" i="1"/>
  <c r="G689" i="1"/>
  <c r="L688" i="1"/>
  <c r="K688" i="1"/>
  <c r="S688" i="1" s="1"/>
  <c r="J688" i="1"/>
  <c r="I688" i="1"/>
  <c r="H688" i="1"/>
  <c r="G688" i="1"/>
  <c r="L687" i="1"/>
  <c r="K687" i="1"/>
  <c r="S687" i="1" s="1"/>
  <c r="J687" i="1"/>
  <c r="I687" i="1"/>
  <c r="H687" i="1"/>
  <c r="G687" i="1"/>
  <c r="L686" i="1"/>
  <c r="K686" i="1"/>
  <c r="S686" i="1" s="1"/>
  <c r="J686" i="1"/>
  <c r="I686" i="1"/>
  <c r="H686" i="1"/>
  <c r="G686" i="1"/>
  <c r="L685" i="1"/>
  <c r="K685" i="1"/>
  <c r="S685" i="1" s="1"/>
  <c r="J685" i="1"/>
  <c r="I685" i="1"/>
  <c r="H685" i="1"/>
  <c r="G685" i="1"/>
  <c r="L684" i="1"/>
  <c r="K684" i="1"/>
  <c r="S684" i="1" s="1"/>
  <c r="J684" i="1"/>
  <c r="I684" i="1"/>
  <c r="H684" i="1"/>
  <c r="G684" i="1"/>
  <c r="L683" i="1"/>
  <c r="K683" i="1"/>
  <c r="S683" i="1" s="1"/>
  <c r="J683" i="1"/>
  <c r="I683" i="1"/>
  <c r="H683" i="1"/>
  <c r="G683" i="1"/>
  <c r="L682" i="1"/>
  <c r="K682" i="1"/>
  <c r="S682" i="1" s="1"/>
  <c r="J682" i="1"/>
  <c r="I682" i="1"/>
  <c r="H682" i="1"/>
  <c r="G682" i="1"/>
  <c r="L681" i="1"/>
  <c r="K681" i="1"/>
  <c r="S681" i="1" s="1"/>
  <c r="J681" i="1"/>
  <c r="I681" i="1"/>
  <c r="H681" i="1"/>
  <c r="G681" i="1"/>
  <c r="L680" i="1"/>
  <c r="K680" i="1"/>
  <c r="S680" i="1" s="1"/>
  <c r="J680" i="1"/>
  <c r="I680" i="1"/>
  <c r="H680" i="1"/>
  <c r="G680" i="1"/>
  <c r="L679" i="1"/>
  <c r="K679" i="1"/>
  <c r="S679" i="1" s="1"/>
  <c r="J679" i="1"/>
  <c r="I679" i="1"/>
  <c r="H679" i="1"/>
  <c r="G679" i="1"/>
  <c r="L678" i="1"/>
  <c r="K678" i="1"/>
  <c r="S678" i="1" s="1"/>
  <c r="J678" i="1"/>
  <c r="I678" i="1"/>
  <c r="H678" i="1"/>
  <c r="G678" i="1"/>
  <c r="L677" i="1"/>
  <c r="K677" i="1"/>
  <c r="S677" i="1" s="1"/>
  <c r="J677" i="1"/>
  <c r="I677" i="1"/>
  <c r="H677" i="1"/>
  <c r="G677" i="1"/>
  <c r="L676" i="1"/>
  <c r="K676" i="1"/>
  <c r="S676" i="1" s="1"/>
  <c r="J676" i="1"/>
  <c r="I676" i="1"/>
  <c r="H676" i="1"/>
  <c r="G676" i="1"/>
  <c r="L675" i="1"/>
  <c r="K675" i="1"/>
  <c r="S675" i="1" s="1"/>
  <c r="J675" i="1"/>
  <c r="I675" i="1"/>
  <c r="H675" i="1"/>
  <c r="G675" i="1"/>
  <c r="L674" i="1"/>
  <c r="K674" i="1"/>
  <c r="S674" i="1" s="1"/>
  <c r="J674" i="1"/>
  <c r="I674" i="1"/>
  <c r="H674" i="1"/>
  <c r="G674" i="1"/>
  <c r="L673" i="1"/>
  <c r="K673" i="1"/>
  <c r="S673" i="1" s="1"/>
  <c r="J673" i="1"/>
  <c r="I673" i="1"/>
  <c r="H673" i="1"/>
  <c r="G673" i="1"/>
  <c r="L672" i="1"/>
  <c r="K672" i="1"/>
  <c r="S672" i="1" s="1"/>
  <c r="J672" i="1"/>
  <c r="I672" i="1"/>
  <c r="H672" i="1"/>
  <c r="G672" i="1"/>
  <c r="L671" i="1"/>
  <c r="K671" i="1"/>
  <c r="S671" i="1" s="1"/>
  <c r="J671" i="1"/>
  <c r="I671" i="1"/>
  <c r="H671" i="1"/>
  <c r="G671" i="1"/>
  <c r="L670" i="1"/>
  <c r="K670" i="1"/>
  <c r="S670" i="1" s="1"/>
  <c r="J670" i="1"/>
  <c r="I670" i="1"/>
  <c r="H670" i="1"/>
  <c r="G670" i="1"/>
  <c r="L669" i="1"/>
  <c r="K669" i="1"/>
  <c r="S669" i="1" s="1"/>
  <c r="J669" i="1"/>
  <c r="I669" i="1"/>
  <c r="H669" i="1"/>
  <c r="G669" i="1"/>
  <c r="L668" i="1"/>
  <c r="K668" i="1"/>
  <c r="S668" i="1" s="1"/>
  <c r="J668" i="1"/>
  <c r="I668" i="1"/>
  <c r="H668" i="1"/>
  <c r="G668" i="1"/>
  <c r="L667" i="1"/>
  <c r="K667" i="1"/>
  <c r="S667" i="1" s="1"/>
  <c r="J667" i="1"/>
  <c r="I667" i="1"/>
  <c r="H667" i="1"/>
  <c r="G667" i="1"/>
  <c r="L666" i="1"/>
  <c r="K666" i="1"/>
  <c r="S666" i="1" s="1"/>
  <c r="J666" i="1"/>
  <c r="I666" i="1"/>
  <c r="H666" i="1"/>
  <c r="G666" i="1"/>
  <c r="L665" i="1"/>
  <c r="K665" i="1"/>
  <c r="S665" i="1" s="1"/>
  <c r="J665" i="1"/>
  <c r="I665" i="1"/>
  <c r="H665" i="1"/>
  <c r="G665" i="1"/>
  <c r="L664" i="1"/>
  <c r="K664" i="1"/>
  <c r="S664" i="1" s="1"/>
  <c r="J664" i="1"/>
  <c r="I664" i="1"/>
  <c r="H664" i="1"/>
  <c r="G664" i="1"/>
  <c r="L663" i="1"/>
  <c r="K663" i="1"/>
  <c r="S663" i="1" s="1"/>
  <c r="J663" i="1"/>
  <c r="I663" i="1"/>
  <c r="H663" i="1"/>
  <c r="G663" i="1"/>
  <c r="L662" i="1"/>
  <c r="K662" i="1"/>
  <c r="S662" i="1" s="1"/>
  <c r="J662" i="1"/>
  <c r="I662" i="1"/>
  <c r="H662" i="1"/>
  <c r="G662" i="1"/>
  <c r="L661" i="1"/>
  <c r="K661" i="1"/>
  <c r="S661" i="1" s="1"/>
  <c r="J661" i="1"/>
  <c r="I661" i="1"/>
  <c r="H661" i="1"/>
  <c r="G661" i="1"/>
  <c r="L660" i="1"/>
  <c r="K660" i="1"/>
  <c r="S660" i="1" s="1"/>
  <c r="J660" i="1"/>
  <c r="I660" i="1"/>
  <c r="H660" i="1"/>
  <c r="G660" i="1"/>
  <c r="L659" i="1"/>
  <c r="K659" i="1"/>
  <c r="S659" i="1" s="1"/>
  <c r="J659" i="1"/>
  <c r="I659" i="1"/>
  <c r="H659" i="1"/>
  <c r="G659" i="1"/>
  <c r="L658" i="1"/>
  <c r="K658" i="1"/>
  <c r="S658" i="1" s="1"/>
  <c r="J658" i="1"/>
  <c r="I658" i="1"/>
  <c r="H658" i="1"/>
  <c r="G658" i="1"/>
  <c r="L657" i="1"/>
  <c r="K657" i="1"/>
  <c r="S657" i="1" s="1"/>
  <c r="J657" i="1"/>
  <c r="I657" i="1"/>
  <c r="H657" i="1"/>
  <c r="G657" i="1"/>
  <c r="L656" i="1"/>
  <c r="K656" i="1"/>
  <c r="S656" i="1" s="1"/>
  <c r="J656" i="1"/>
  <c r="I656" i="1"/>
  <c r="H656" i="1"/>
  <c r="G656" i="1"/>
  <c r="L655" i="1"/>
  <c r="K655" i="1"/>
  <c r="S655" i="1" s="1"/>
  <c r="J655" i="1"/>
  <c r="I655" i="1"/>
  <c r="H655" i="1"/>
  <c r="G655" i="1"/>
  <c r="L654" i="1"/>
  <c r="K654" i="1"/>
  <c r="S654" i="1" s="1"/>
  <c r="J654" i="1"/>
  <c r="I654" i="1"/>
  <c r="H654" i="1"/>
  <c r="G654" i="1"/>
  <c r="L653" i="1"/>
  <c r="K653" i="1"/>
  <c r="S653" i="1" s="1"/>
  <c r="J653" i="1"/>
  <c r="I653" i="1"/>
  <c r="H653" i="1"/>
  <c r="G653" i="1"/>
  <c r="L652" i="1"/>
  <c r="K652" i="1"/>
  <c r="S652" i="1" s="1"/>
  <c r="J652" i="1"/>
  <c r="I652" i="1"/>
  <c r="H652" i="1"/>
  <c r="G652" i="1"/>
  <c r="L651" i="1"/>
  <c r="K651" i="1"/>
  <c r="S651" i="1" s="1"/>
  <c r="J651" i="1"/>
  <c r="I651" i="1"/>
  <c r="H651" i="1"/>
  <c r="G651" i="1"/>
  <c r="L650" i="1"/>
  <c r="K650" i="1"/>
  <c r="S650" i="1" s="1"/>
  <c r="J650" i="1"/>
  <c r="I650" i="1"/>
  <c r="H650" i="1"/>
  <c r="G650" i="1"/>
  <c r="L649" i="1"/>
  <c r="K649" i="1"/>
  <c r="S649" i="1" s="1"/>
  <c r="J649" i="1"/>
  <c r="I649" i="1"/>
  <c r="H649" i="1"/>
  <c r="G649" i="1"/>
  <c r="L648" i="1"/>
  <c r="K648" i="1"/>
  <c r="S648" i="1" s="1"/>
  <c r="J648" i="1"/>
  <c r="I648" i="1"/>
  <c r="H648" i="1"/>
  <c r="G648" i="1"/>
  <c r="L647" i="1"/>
  <c r="K647" i="1"/>
  <c r="S647" i="1" s="1"/>
  <c r="J647" i="1"/>
  <c r="I647" i="1"/>
  <c r="H647" i="1"/>
  <c r="G647" i="1"/>
  <c r="L646" i="1"/>
  <c r="K646" i="1"/>
  <c r="S646" i="1" s="1"/>
  <c r="J646" i="1"/>
  <c r="I646" i="1"/>
  <c r="H646" i="1"/>
  <c r="G646" i="1"/>
  <c r="L645" i="1"/>
  <c r="K645" i="1"/>
  <c r="S645" i="1" s="1"/>
  <c r="J645" i="1"/>
  <c r="I645" i="1"/>
  <c r="H645" i="1"/>
  <c r="G645" i="1"/>
  <c r="L644" i="1"/>
  <c r="K644" i="1"/>
  <c r="S644" i="1" s="1"/>
  <c r="J644" i="1"/>
  <c r="I644" i="1"/>
  <c r="H644" i="1"/>
  <c r="G644" i="1"/>
  <c r="L643" i="1"/>
  <c r="K643" i="1"/>
  <c r="S643" i="1" s="1"/>
  <c r="J643" i="1"/>
  <c r="I643" i="1"/>
  <c r="H643" i="1"/>
  <c r="G643" i="1"/>
  <c r="L642" i="1"/>
  <c r="K642" i="1"/>
  <c r="S642" i="1" s="1"/>
  <c r="J642" i="1"/>
  <c r="I642" i="1"/>
  <c r="H642" i="1"/>
  <c r="G642" i="1"/>
  <c r="L641" i="1"/>
  <c r="K641" i="1"/>
  <c r="S641" i="1" s="1"/>
  <c r="J641" i="1"/>
  <c r="I641" i="1"/>
  <c r="H641" i="1"/>
  <c r="G641" i="1"/>
  <c r="L640" i="1"/>
  <c r="K640" i="1"/>
  <c r="S640" i="1" s="1"/>
  <c r="J640" i="1"/>
  <c r="I640" i="1"/>
  <c r="H640" i="1"/>
  <c r="G640" i="1"/>
  <c r="L639" i="1"/>
  <c r="K639" i="1"/>
  <c r="S639" i="1" s="1"/>
  <c r="J639" i="1"/>
  <c r="I639" i="1"/>
  <c r="H639" i="1"/>
  <c r="G639" i="1"/>
  <c r="L638" i="1"/>
  <c r="K638" i="1"/>
  <c r="S638" i="1" s="1"/>
  <c r="J638" i="1"/>
  <c r="I638" i="1"/>
  <c r="H638" i="1"/>
  <c r="G638" i="1"/>
  <c r="L637" i="1"/>
  <c r="K637" i="1"/>
  <c r="S637" i="1" s="1"/>
  <c r="J637" i="1"/>
  <c r="I637" i="1"/>
  <c r="H637" i="1"/>
  <c r="G637" i="1"/>
  <c r="L636" i="1"/>
  <c r="K636" i="1"/>
  <c r="S636" i="1" s="1"/>
  <c r="J636" i="1"/>
  <c r="I636" i="1"/>
  <c r="H636" i="1"/>
  <c r="G636" i="1"/>
  <c r="L635" i="1"/>
  <c r="K635" i="1"/>
  <c r="S635" i="1" s="1"/>
  <c r="J635" i="1"/>
  <c r="I635" i="1"/>
  <c r="H635" i="1"/>
  <c r="G635" i="1"/>
  <c r="L634" i="1"/>
  <c r="K634" i="1"/>
  <c r="S634" i="1" s="1"/>
  <c r="J634" i="1"/>
  <c r="I634" i="1"/>
  <c r="H634" i="1"/>
  <c r="G634" i="1"/>
  <c r="L633" i="1"/>
  <c r="K633" i="1"/>
  <c r="S633" i="1" s="1"/>
  <c r="J633" i="1"/>
  <c r="I633" i="1"/>
  <c r="H633" i="1"/>
  <c r="G633" i="1"/>
  <c r="L632" i="1"/>
  <c r="K632" i="1"/>
  <c r="S632" i="1" s="1"/>
  <c r="J632" i="1"/>
  <c r="I632" i="1"/>
  <c r="H632" i="1"/>
  <c r="G632" i="1"/>
  <c r="L631" i="1"/>
  <c r="K631" i="1"/>
  <c r="S631" i="1" s="1"/>
  <c r="J631" i="1"/>
  <c r="I631" i="1"/>
  <c r="H631" i="1"/>
  <c r="G631" i="1"/>
  <c r="L630" i="1"/>
  <c r="K630" i="1"/>
  <c r="S630" i="1" s="1"/>
  <c r="J630" i="1"/>
  <c r="I630" i="1"/>
  <c r="H630" i="1"/>
  <c r="G630" i="1"/>
  <c r="L629" i="1"/>
  <c r="K629" i="1"/>
  <c r="S629" i="1" s="1"/>
  <c r="J629" i="1"/>
  <c r="I629" i="1"/>
  <c r="H629" i="1"/>
  <c r="G629" i="1"/>
  <c r="L628" i="1"/>
  <c r="K628" i="1"/>
  <c r="S628" i="1" s="1"/>
  <c r="J628" i="1"/>
  <c r="I628" i="1"/>
  <c r="H628" i="1"/>
  <c r="G628" i="1"/>
  <c r="L627" i="1"/>
  <c r="K627" i="1"/>
  <c r="S627" i="1" s="1"/>
  <c r="J627" i="1"/>
  <c r="I627" i="1"/>
  <c r="H627" i="1"/>
  <c r="G627" i="1"/>
  <c r="L626" i="1"/>
  <c r="K626" i="1"/>
  <c r="S626" i="1" s="1"/>
  <c r="J626" i="1"/>
  <c r="I626" i="1"/>
  <c r="H626" i="1"/>
  <c r="G626" i="1"/>
  <c r="L625" i="1"/>
  <c r="K625" i="1"/>
  <c r="S625" i="1" s="1"/>
  <c r="J625" i="1"/>
  <c r="I625" i="1"/>
  <c r="H625" i="1"/>
  <c r="G625" i="1"/>
  <c r="L624" i="1"/>
  <c r="K624" i="1"/>
  <c r="S624" i="1" s="1"/>
  <c r="J624" i="1"/>
  <c r="I624" i="1"/>
  <c r="H624" i="1"/>
  <c r="G624" i="1"/>
  <c r="L623" i="1"/>
  <c r="K623" i="1"/>
  <c r="S623" i="1" s="1"/>
  <c r="J623" i="1"/>
  <c r="I623" i="1"/>
  <c r="H623" i="1"/>
  <c r="G623" i="1"/>
  <c r="L622" i="1"/>
  <c r="K622" i="1"/>
  <c r="S622" i="1" s="1"/>
  <c r="J622" i="1"/>
  <c r="I622" i="1"/>
  <c r="H622" i="1"/>
  <c r="G622" i="1"/>
  <c r="L621" i="1"/>
  <c r="K621" i="1"/>
  <c r="S621" i="1" s="1"/>
  <c r="J621" i="1"/>
  <c r="I621" i="1"/>
  <c r="H621" i="1"/>
  <c r="G621" i="1"/>
  <c r="L620" i="1"/>
  <c r="K620" i="1"/>
  <c r="S620" i="1" s="1"/>
  <c r="J620" i="1"/>
  <c r="I620" i="1"/>
  <c r="H620" i="1"/>
  <c r="G620" i="1"/>
  <c r="L619" i="1"/>
  <c r="K619" i="1"/>
  <c r="S619" i="1" s="1"/>
  <c r="J619" i="1"/>
  <c r="I619" i="1"/>
  <c r="H619" i="1"/>
  <c r="G619" i="1"/>
  <c r="L618" i="1"/>
  <c r="K618" i="1"/>
  <c r="S618" i="1" s="1"/>
  <c r="J618" i="1"/>
  <c r="I618" i="1"/>
  <c r="H618" i="1"/>
  <c r="G618" i="1"/>
  <c r="L617" i="1"/>
  <c r="K617" i="1"/>
  <c r="S617" i="1" s="1"/>
  <c r="J617" i="1"/>
  <c r="I617" i="1"/>
  <c r="H617" i="1"/>
  <c r="G617" i="1"/>
  <c r="L616" i="1"/>
  <c r="K616" i="1"/>
  <c r="S616" i="1" s="1"/>
  <c r="J616" i="1"/>
  <c r="I616" i="1"/>
  <c r="H616" i="1"/>
  <c r="G616" i="1"/>
  <c r="L615" i="1"/>
  <c r="K615" i="1"/>
  <c r="S615" i="1" s="1"/>
  <c r="J615" i="1"/>
  <c r="I615" i="1"/>
  <c r="H615" i="1"/>
  <c r="G615" i="1"/>
  <c r="L614" i="1"/>
  <c r="K614" i="1"/>
  <c r="S614" i="1" s="1"/>
  <c r="J614" i="1"/>
  <c r="I614" i="1"/>
  <c r="H614" i="1"/>
  <c r="G614" i="1"/>
  <c r="L613" i="1"/>
  <c r="K613" i="1"/>
  <c r="S613" i="1" s="1"/>
  <c r="J613" i="1"/>
  <c r="I613" i="1"/>
  <c r="H613" i="1"/>
  <c r="G613" i="1"/>
  <c r="L612" i="1"/>
  <c r="K612" i="1"/>
  <c r="S612" i="1" s="1"/>
  <c r="J612" i="1"/>
  <c r="I612" i="1"/>
  <c r="H612" i="1"/>
  <c r="G612" i="1"/>
  <c r="L611" i="1"/>
  <c r="K611" i="1"/>
  <c r="S611" i="1" s="1"/>
  <c r="J611" i="1"/>
  <c r="I611" i="1"/>
  <c r="H611" i="1"/>
  <c r="G611" i="1"/>
  <c r="L610" i="1"/>
  <c r="K610" i="1"/>
  <c r="S610" i="1" s="1"/>
  <c r="J610" i="1"/>
  <c r="I610" i="1"/>
  <c r="H610" i="1"/>
  <c r="G610" i="1"/>
  <c r="L609" i="1"/>
  <c r="K609" i="1"/>
  <c r="S609" i="1" s="1"/>
  <c r="J609" i="1"/>
  <c r="I609" i="1"/>
  <c r="H609" i="1"/>
  <c r="G609" i="1"/>
  <c r="L608" i="1"/>
  <c r="K608" i="1"/>
  <c r="S608" i="1" s="1"/>
  <c r="J608" i="1"/>
  <c r="I608" i="1"/>
  <c r="H608" i="1"/>
  <c r="G608" i="1"/>
  <c r="L607" i="1"/>
  <c r="K607" i="1"/>
  <c r="S607" i="1" s="1"/>
  <c r="J607" i="1"/>
  <c r="I607" i="1"/>
  <c r="H607" i="1"/>
  <c r="G607" i="1"/>
  <c r="L606" i="1"/>
  <c r="K606" i="1"/>
  <c r="S606" i="1" s="1"/>
  <c r="J606" i="1"/>
  <c r="I606" i="1"/>
  <c r="H606" i="1"/>
  <c r="G606" i="1"/>
  <c r="L605" i="1"/>
  <c r="K605" i="1"/>
  <c r="S605" i="1" s="1"/>
  <c r="J605" i="1"/>
  <c r="I605" i="1"/>
  <c r="H605" i="1"/>
  <c r="G605" i="1"/>
  <c r="L604" i="1"/>
  <c r="K604" i="1"/>
  <c r="S604" i="1" s="1"/>
  <c r="J604" i="1"/>
  <c r="I604" i="1"/>
  <c r="H604" i="1"/>
  <c r="G604" i="1"/>
  <c r="L603" i="1"/>
  <c r="K603" i="1"/>
  <c r="S603" i="1" s="1"/>
  <c r="J603" i="1"/>
  <c r="I603" i="1"/>
  <c r="H603" i="1"/>
  <c r="G603" i="1"/>
  <c r="L602" i="1"/>
  <c r="K602" i="1"/>
  <c r="S602" i="1" s="1"/>
  <c r="J602" i="1"/>
  <c r="I602" i="1"/>
  <c r="H602" i="1"/>
  <c r="G602" i="1"/>
  <c r="L601" i="1"/>
  <c r="K601" i="1"/>
  <c r="S601" i="1" s="1"/>
  <c r="J601" i="1"/>
  <c r="I601" i="1"/>
  <c r="H601" i="1"/>
  <c r="G601" i="1"/>
  <c r="L600" i="1"/>
  <c r="K600" i="1"/>
  <c r="S600" i="1" s="1"/>
  <c r="J600" i="1"/>
  <c r="I600" i="1"/>
  <c r="H600" i="1"/>
  <c r="G600" i="1"/>
  <c r="L599" i="1"/>
  <c r="K599" i="1"/>
  <c r="S599" i="1" s="1"/>
  <c r="J599" i="1"/>
  <c r="I599" i="1"/>
  <c r="H599" i="1"/>
  <c r="G599" i="1"/>
  <c r="L598" i="1"/>
  <c r="K598" i="1"/>
  <c r="S598" i="1" s="1"/>
  <c r="J598" i="1"/>
  <c r="I598" i="1"/>
  <c r="H598" i="1"/>
  <c r="G598" i="1"/>
  <c r="L597" i="1"/>
  <c r="K597" i="1"/>
  <c r="S597" i="1" s="1"/>
  <c r="J597" i="1"/>
  <c r="I597" i="1"/>
  <c r="H597" i="1"/>
  <c r="G597" i="1"/>
  <c r="L596" i="1"/>
  <c r="K596" i="1"/>
  <c r="S596" i="1" s="1"/>
  <c r="J596" i="1"/>
  <c r="I596" i="1"/>
  <c r="H596" i="1"/>
  <c r="G596" i="1"/>
  <c r="L595" i="1"/>
  <c r="K595" i="1"/>
  <c r="S595" i="1" s="1"/>
  <c r="J595" i="1"/>
  <c r="I595" i="1"/>
  <c r="H595" i="1"/>
  <c r="G595" i="1"/>
  <c r="L594" i="1"/>
  <c r="K594" i="1"/>
  <c r="S594" i="1" s="1"/>
  <c r="J594" i="1"/>
  <c r="I594" i="1"/>
  <c r="H594" i="1"/>
  <c r="G594" i="1"/>
  <c r="L593" i="1"/>
  <c r="K593" i="1"/>
  <c r="S593" i="1" s="1"/>
  <c r="J593" i="1"/>
  <c r="I593" i="1"/>
  <c r="H593" i="1"/>
  <c r="G593" i="1"/>
  <c r="L592" i="1"/>
  <c r="K592" i="1"/>
  <c r="S592" i="1" s="1"/>
  <c r="J592" i="1"/>
  <c r="I592" i="1"/>
  <c r="H592" i="1"/>
  <c r="G592" i="1"/>
  <c r="L591" i="1"/>
  <c r="K591" i="1"/>
  <c r="S591" i="1" s="1"/>
  <c r="J591" i="1"/>
  <c r="I591" i="1"/>
  <c r="H591" i="1"/>
  <c r="G591" i="1"/>
  <c r="L590" i="1"/>
  <c r="K590" i="1"/>
  <c r="S590" i="1" s="1"/>
  <c r="J590" i="1"/>
  <c r="I590" i="1"/>
  <c r="H590" i="1"/>
  <c r="G590" i="1"/>
  <c r="L589" i="1"/>
  <c r="K589" i="1"/>
  <c r="S589" i="1" s="1"/>
  <c r="J589" i="1"/>
  <c r="I589" i="1"/>
  <c r="H589" i="1"/>
  <c r="G589" i="1"/>
  <c r="L588" i="1"/>
  <c r="K588" i="1"/>
  <c r="S588" i="1" s="1"/>
  <c r="J588" i="1"/>
  <c r="I588" i="1"/>
  <c r="H588" i="1"/>
  <c r="G588" i="1"/>
  <c r="L587" i="1"/>
  <c r="K587" i="1"/>
  <c r="S587" i="1" s="1"/>
  <c r="J587" i="1"/>
  <c r="I587" i="1"/>
  <c r="H587" i="1"/>
  <c r="G587" i="1"/>
  <c r="L586" i="1"/>
  <c r="K586" i="1"/>
  <c r="S586" i="1" s="1"/>
  <c r="J586" i="1"/>
  <c r="I586" i="1"/>
  <c r="H586" i="1"/>
  <c r="G586" i="1"/>
  <c r="L585" i="1"/>
  <c r="K585" i="1"/>
  <c r="S585" i="1" s="1"/>
  <c r="J585" i="1"/>
  <c r="I585" i="1"/>
  <c r="H585" i="1"/>
  <c r="G585" i="1"/>
  <c r="L584" i="1"/>
  <c r="K584" i="1"/>
  <c r="S584" i="1" s="1"/>
  <c r="J584" i="1"/>
  <c r="I584" i="1"/>
  <c r="H584" i="1"/>
  <c r="G584" i="1"/>
  <c r="L583" i="1"/>
  <c r="K583" i="1"/>
  <c r="S583" i="1" s="1"/>
  <c r="J583" i="1"/>
  <c r="I583" i="1"/>
  <c r="H583" i="1"/>
  <c r="G583" i="1"/>
  <c r="L582" i="1"/>
  <c r="K582" i="1"/>
  <c r="S582" i="1" s="1"/>
  <c r="J582" i="1"/>
  <c r="I582" i="1"/>
  <c r="H582" i="1"/>
  <c r="G582" i="1"/>
  <c r="L581" i="1"/>
  <c r="K581" i="1"/>
  <c r="S581" i="1" s="1"/>
  <c r="J581" i="1"/>
  <c r="I581" i="1"/>
  <c r="H581" i="1"/>
  <c r="G581" i="1"/>
  <c r="L580" i="1"/>
  <c r="K580" i="1"/>
  <c r="S580" i="1" s="1"/>
  <c r="J580" i="1"/>
  <c r="I580" i="1"/>
  <c r="H580" i="1"/>
  <c r="G580" i="1"/>
  <c r="L573" i="1"/>
  <c r="K573" i="1"/>
  <c r="S573" i="1" s="1"/>
  <c r="J573" i="1"/>
  <c r="I573" i="1"/>
  <c r="H573" i="1"/>
  <c r="G573" i="1"/>
  <c r="L567" i="1"/>
  <c r="K567" i="1"/>
  <c r="S567" i="1" s="1"/>
  <c r="J567" i="1"/>
  <c r="I567" i="1"/>
  <c r="H567" i="1"/>
  <c r="G567" i="1"/>
  <c r="L579" i="1"/>
  <c r="K579" i="1"/>
  <c r="S579" i="1" s="1"/>
  <c r="J579" i="1"/>
  <c r="I579" i="1"/>
  <c r="H579" i="1"/>
  <c r="G579" i="1"/>
  <c r="L553" i="1"/>
  <c r="K553" i="1"/>
  <c r="S553" i="1" s="1"/>
  <c r="J553" i="1"/>
  <c r="I553" i="1"/>
  <c r="H553" i="1"/>
  <c r="G553" i="1"/>
  <c r="L578" i="1"/>
  <c r="K578" i="1"/>
  <c r="S578" i="1" s="1"/>
  <c r="J578" i="1"/>
  <c r="I578" i="1"/>
  <c r="H578" i="1"/>
  <c r="G578" i="1"/>
  <c r="L577" i="1"/>
  <c r="K577" i="1"/>
  <c r="S577" i="1" s="1"/>
  <c r="J577" i="1"/>
  <c r="I577" i="1"/>
  <c r="H577" i="1"/>
  <c r="G577" i="1"/>
  <c r="L574" i="1"/>
  <c r="K574" i="1"/>
  <c r="S574" i="1" s="1"/>
  <c r="J574" i="1"/>
  <c r="I574" i="1"/>
  <c r="H574" i="1"/>
  <c r="G574" i="1"/>
  <c r="L572" i="1"/>
  <c r="K572" i="1"/>
  <c r="S572" i="1" s="1"/>
  <c r="J572" i="1"/>
  <c r="I572" i="1"/>
  <c r="H572" i="1"/>
  <c r="G572" i="1"/>
  <c r="L571" i="1"/>
  <c r="K571" i="1"/>
  <c r="S571" i="1" s="1"/>
  <c r="J571" i="1"/>
  <c r="I571" i="1"/>
  <c r="H571" i="1"/>
  <c r="G571" i="1"/>
  <c r="L570" i="1"/>
  <c r="K570" i="1"/>
  <c r="S570" i="1" s="1"/>
  <c r="J570" i="1"/>
  <c r="I570" i="1"/>
  <c r="H570" i="1"/>
  <c r="G570" i="1"/>
  <c r="L569" i="1"/>
  <c r="S569" i="1"/>
  <c r="H569" i="1"/>
  <c r="G569" i="1"/>
  <c r="L566" i="1"/>
  <c r="K566" i="1"/>
  <c r="S566" i="1" s="1"/>
  <c r="J566" i="1"/>
  <c r="I566" i="1"/>
  <c r="H566" i="1"/>
  <c r="G566" i="1"/>
  <c r="L565" i="1"/>
  <c r="K565" i="1"/>
  <c r="S565" i="1" s="1"/>
  <c r="J565" i="1"/>
  <c r="I565" i="1"/>
  <c r="H565" i="1"/>
  <c r="G565" i="1"/>
  <c r="L564" i="1"/>
  <c r="K564" i="1"/>
  <c r="S564" i="1" s="1"/>
  <c r="J564" i="1"/>
  <c r="I564" i="1"/>
  <c r="H564" i="1"/>
  <c r="G564" i="1"/>
  <c r="L563" i="1"/>
  <c r="K563" i="1"/>
  <c r="S563" i="1" s="1"/>
  <c r="J563" i="1"/>
  <c r="I563" i="1"/>
  <c r="H563" i="1"/>
  <c r="G563" i="1"/>
  <c r="L562" i="1"/>
  <c r="K562" i="1"/>
  <c r="S562" i="1" s="1"/>
  <c r="J562" i="1"/>
  <c r="I562" i="1"/>
  <c r="H562" i="1"/>
  <c r="G562" i="1"/>
  <c r="L561" i="1"/>
  <c r="K561" i="1"/>
  <c r="S561" i="1" s="1"/>
  <c r="J561" i="1"/>
  <c r="I561" i="1"/>
  <c r="H561" i="1"/>
  <c r="G561" i="1"/>
  <c r="L560" i="1"/>
  <c r="K560" i="1"/>
  <c r="S560" i="1" s="1"/>
  <c r="J560" i="1"/>
  <c r="I560" i="1"/>
  <c r="H560" i="1"/>
  <c r="G560" i="1"/>
  <c r="L559" i="1"/>
  <c r="K559" i="1"/>
  <c r="S559" i="1" s="1"/>
  <c r="J559" i="1"/>
  <c r="I559" i="1"/>
  <c r="H559" i="1"/>
  <c r="G559" i="1"/>
  <c r="L558" i="1"/>
  <c r="K558" i="1"/>
  <c r="S558" i="1" s="1"/>
  <c r="J558" i="1"/>
  <c r="I558" i="1"/>
  <c r="H558" i="1"/>
  <c r="G558" i="1"/>
  <c r="L557" i="1"/>
  <c r="K557" i="1"/>
  <c r="S557" i="1" s="1"/>
  <c r="J557" i="1"/>
  <c r="I557" i="1"/>
  <c r="H557" i="1"/>
  <c r="G557" i="1"/>
  <c r="L556" i="1"/>
  <c r="K556" i="1"/>
  <c r="S556" i="1" s="1"/>
  <c r="J556" i="1"/>
  <c r="I556" i="1"/>
  <c r="H556" i="1"/>
  <c r="G556" i="1"/>
  <c r="L555" i="1"/>
  <c r="K555" i="1"/>
  <c r="S555" i="1" s="1"/>
  <c r="J555" i="1"/>
  <c r="I555" i="1"/>
  <c r="H555" i="1"/>
  <c r="G555" i="1"/>
  <c r="L554" i="1"/>
  <c r="K554" i="1"/>
  <c r="S554" i="1" s="1"/>
  <c r="J554" i="1"/>
  <c r="I554" i="1"/>
  <c r="H554" i="1"/>
  <c r="G554" i="1"/>
  <c r="L552" i="1"/>
  <c r="K552" i="1"/>
  <c r="S552" i="1" s="1"/>
  <c r="J552" i="1"/>
  <c r="I552" i="1"/>
  <c r="H552" i="1"/>
  <c r="G552" i="1"/>
  <c r="L551" i="1"/>
  <c r="K551" i="1"/>
  <c r="S551" i="1" s="1"/>
  <c r="J551" i="1"/>
  <c r="I551" i="1"/>
  <c r="H551" i="1"/>
  <c r="G551" i="1"/>
  <c r="L550" i="1"/>
  <c r="K550" i="1"/>
  <c r="S550" i="1" s="1"/>
  <c r="J550" i="1"/>
  <c r="I550" i="1"/>
  <c r="H550" i="1"/>
  <c r="G550" i="1"/>
  <c r="L549" i="1"/>
  <c r="K549" i="1"/>
  <c r="S549" i="1" s="1"/>
  <c r="J549" i="1"/>
  <c r="I549" i="1"/>
  <c r="H549" i="1"/>
  <c r="G549" i="1"/>
  <c r="L548" i="1"/>
  <c r="K548" i="1"/>
  <c r="S548" i="1" s="1"/>
  <c r="J548" i="1"/>
  <c r="I548" i="1"/>
  <c r="H548" i="1"/>
  <c r="G548" i="1"/>
  <c r="L547" i="1"/>
  <c r="K547" i="1"/>
  <c r="S547" i="1" s="1"/>
  <c r="J547" i="1"/>
  <c r="I547" i="1"/>
  <c r="H547" i="1"/>
  <c r="G547" i="1"/>
  <c r="L546" i="1"/>
  <c r="K546" i="1"/>
  <c r="S546" i="1" s="1"/>
  <c r="J546" i="1"/>
  <c r="I546" i="1"/>
  <c r="H546" i="1"/>
  <c r="G546" i="1"/>
  <c r="L545" i="1"/>
  <c r="K545" i="1"/>
  <c r="S545" i="1" s="1"/>
  <c r="J545" i="1"/>
  <c r="I545" i="1"/>
  <c r="H545" i="1"/>
  <c r="G545" i="1"/>
  <c r="L544" i="1"/>
  <c r="K544" i="1"/>
  <c r="S544" i="1" s="1"/>
  <c r="J544" i="1"/>
  <c r="I544" i="1"/>
  <c r="H544" i="1"/>
  <c r="G544" i="1"/>
  <c r="L543" i="1"/>
  <c r="K543" i="1"/>
  <c r="S543" i="1" s="1"/>
  <c r="J543" i="1"/>
  <c r="I543" i="1"/>
  <c r="H543" i="1"/>
  <c r="G543" i="1"/>
  <c r="L542" i="1"/>
  <c r="K542" i="1"/>
  <c r="S542" i="1" s="1"/>
  <c r="J542" i="1"/>
  <c r="I542" i="1"/>
  <c r="H542" i="1"/>
  <c r="G542" i="1"/>
  <c r="L541" i="1"/>
  <c r="K541" i="1"/>
  <c r="S541" i="1" s="1"/>
  <c r="J541" i="1"/>
  <c r="I541" i="1"/>
  <c r="H541" i="1"/>
  <c r="G541" i="1"/>
  <c r="L540" i="1"/>
  <c r="K540" i="1"/>
  <c r="S540" i="1" s="1"/>
  <c r="J540" i="1"/>
  <c r="I540" i="1"/>
  <c r="H540" i="1"/>
  <c r="G540" i="1"/>
  <c r="L539" i="1"/>
  <c r="K539" i="1"/>
  <c r="S539" i="1" s="1"/>
  <c r="J539" i="1"/>
  <c r="I539" i="1"/>
  <c r="H539" i="1"/>
  <c r="G539" i="1"/>
  <c r="L538" i="1"/>
  <c r="K538" i="1"/>
  <c r="S538" i="1" s="1"/>
  <c r="J538" i="1"/>
  <c r="I538" i="1"/>
  <c r="H538" i="1"/>
  <c r="G538" i="1"/>
  <c r="L537" i="1"/>
  <c r="K537" i="1"/>
  <c r="S537" i="1" s="1"/>
  <c r="J537" i="1"/>
  <c r="I537" i="1"/>
  <c r="H537" i="1"/>
  <c r="G537" i="1"/>
  <c r="L536" i="1"/>
  <c r="K536" i="1"/>
  <c r="S536" i="1" s="1"/>
  <c r="J536" i="1"/>
  <c r="I536" i="1"/>
  <c r="H536" i="1"/>
  <c r="G536" i="1"/>
  <c r="L535" i="1"/>
  <c r="K535" i="1"/>
  <c r="S535" i="1" s="1"/>
  <c r="J535" i="1"/>
  <c r="I535" i="1"/>
  <c r="H535" i="1"/>
  <c r="G535" i="1"/>
  <c r="L534" i="1"/>
  <c r="K534" i="1"/>
  <c r="S534" i="1" s="1"/>
  <c r="J534" i="1"/>
  <c r="I534" i="1"/>
  <c r="H534" i="1"/>
  <c r="G534" i="1"/>
  <c r="L533" i="1"/>
  <c r="S533" i="1"/>
  <c r="H533" i="1"/>
  <c r="G533" i="1"/>
  <c r="L531" i="1"/>
  <c r="K531" i="1"/>
  <c r="S531" i="1" s="1"/>
  <c r="J531" i="1"/>
  <c r="I531" i="1"/>
  <c r="H531" i="1"/>
  <c r="G531" i="1"/>
  <c r="L530" i="1"/>
  <c r="K530" i="1"/>
  <c r="S530" i="1" s="1"/>
  <c r="J530" i="1"/>
  <c r="I530" i="1"/>
  <c r="H530" i="1"/>
  <c r="G530" i="1"/>
  <c r="L529" i="1"/>
  <c r="K529" i="1"/>
  <c r="S529" i="1" s="1"/>
  <c r="J529" i="1"/>
  <c r="I529" i="1"/>
  <c r="H529" i="1"/>
  <c r="G529" i="1"/>
  <c r="L528" i="1"/>
  <c r="K528" i="1"/>
  <c r="S528" i="1" s="1"/>
  <c r="J528" i="1"/>
  <c r="I528" i="1"/>
  <c r="H528" i="1"/>
  <c r="G528" i="1"/>
  <c r="L527" i="1"/>
  <c r="K527" i="1"/>
  <c r="S527" i="1" s="1"/>
  <c r="J527" i="1"/>
  <c r="I527" i="1"/>
  <c r="H527" i="1"/>
  <c r="G527" i="1"/>
  <c r="L526" i="1"/>
  <c r="K526" i="1"/>
  <c r="S526" i="1" s="1"/>
  <c r="J526" i="1"/>
  <c r="I526" i="1"/>
  <c r="H526" i="1"/>
  <c r="G526" i="1"/>
  <c r="L525" i="1"/>
  <c r="K525" i="1"/>
  <c r="S525" i="1" s="1"/>
  <c r="J525" i="1"/>
  <c r="I525" i="1"/>
  <c r="H525" i="1"/>
  <c r="G525" i="1"/>
  <c r="L524" i="1"/>
  <c r="K524" i="1"/>
  <c r="S524" i="1" s="1"/>
  <c r="J524" i="1"/>
  <c r="I524" i="1"/>
  <c r="H524" i="1"/>
  <c r="G524" i="1"/>
  <c r="L523" i="1"/>
  <c r="K523" i="1"/>
  <c r="S523" i="1" s="1"/>
  <c r="J523" i="1"/>
  <c r="I523" i="1"/>
  <c r="H523" i="1"/>
  <c r="G523" i="1"/>
  <c r="L522" i="1"/>
  <c r="K522" i="1"/>
  <c r="S522" i="1" s="1"/>
  <c r="J522" i="1"/>
  <c r="I522" i="1"/>
  <c r="H522" i="1"/>
  <c r="G522" i="1"/>
  <c r="L521" i="1"/>
  <c r="K521" i="1"/>
  <c r="S521" i="1" s="1"/>
  <c r="J521" i="1"/>
  <c r="I521" i="1"/>
  <c r="H521" i="1"/>
  <c r="G521" i="1"/>
  <c r="L520" i="1"/>
  <c r="K520" i="1"/>
  <c r="S520" i="1" s="1"/>
  <c r="J520" i="1"/>
  <c r="I520" i="1"/>
  <c r="H520" i="1"/>
  <c r="G520" i="1"/>
  <c r="L519" i="1"/>
  <c r="K519" i="1"/>
  <c r="S519" i="1" s="1"/>
  <c r="J519" i="1"/>
  <c r="I519" i="1"/>
  <c r="H519" i="1"/>
  <c r="G519" i="1"/>
  <c r="L518" i="1"/>
  <c r="K518" i="1"/>
  <c r="S518" i="1" s="1"/>
  <c r="J518" i="1"/>
  <c r="I518" i="1"/>
  <c r="H518" i="1"/>
  <c r="G518" i="1"/>
  <c r="L517" i="1"/>
  <c r="K517" i="1"/>
  <c r="S517" i="1" s="1"/>
  <c r="J517" i="1"/>
  <c r="I517" i="1"/>
  <c r="H517" i="1"/>
  <c r="G517" i="1"/>
  <c r="L516" i="1"/>
  <c r="K516" i="1"/>
  <c r="S516" i="1" s="1"/>
  <c r="J516" i="1"/>
  <c r="I516" i="1"/>
  <c r="H516" i="1"/>
  <c r="G516" i="1"/>
  <c r="L515" i="1"/>
  <c r="K515" i="1"/>
  <c r="S515" i="1" s="1"/>
  <c r="J515" i="1"/>
  <c r="I515" i="1"/>
  <c r="H515" i="1"/>
  <c r="G515" i="1"/>
  <c r="L514" i="1"/>
  <c r="K514" i="1"/>
  <c r="S514" i="1" s="1"/>
  <c r="J514" i="1"/>
  <c r="I514" i="1"/>
  <c r="H514" i="1"/>
  <c r="G514" i="1"/>
  <c r="L513" i="1"/>
  <c r="K513" i="1"/>
  <c r="S513" i="1" s="1"/>
  <c r="J513" i="1"/>
  <c r="I513" i="1"/>
  <c r="H513" i="1"/>
  <c r="G513" i="1"/>
  <c r="L512" i="1"/>
  <c r="K512" i="1"/>
  <c r="S512" i="1" s="1"/>
  <c r="J512" i="1"/>
  <c r="I512" i="1"/>
  <c r="H512" i="1"/>
  <c r="G512" i="1"/>
  <c r="L511" i="1"/>
  <c r="K511" i="1"/>
  <c r="S511" i="1" s="1"/>
  <c r="J511" i="1"/>
  <c r="I511" i="1"/>
  <c r="H511" i="1"/>
  <c r="G511" i="1"/>
  <c r="L510" i="1"/>
  <c r="K510" i="1"/>
  <c r="S510" i="1" s="1"/>
  <c r="J510" i="1"/>
  <c r="I510" i="1"/>
  <c r="H510" i="1"/>
  <c r="G510" i="1"/>
  <c r="L509" i="1"/>
  <c r="K509" i="1"/>
  <c r="S509" i="1" s="1"/>
  <c r="J509" i="1"/>
  <c r="I509" i="1"/>
  <c r="H509" i="1"/>
  <c r="G509" i="1"/>
  <c r="L508" i="1"/>
  <c r="K508" i="1"/>
  <c r="S508" i="1" s="1"/>
  <c r="J508" i="1"/>
  <c r="I508" i="1"/>
  <c r="H508" i="1"/>
  <c r="G508" i="1"/>
  <c r="L507" i="1"/>
  <c r="K507" i="1"/>
  <c r="S507" i="1" s="1"/>
  <c r="J507" i="1"/>
  <c r="I507" i="1"/>
  <c r="H507" i="1"/>
  <c r="G507" i="1"/>
  <c r="L506" i="1"/>
  <c r="K506" i="1"/>
  <c r="S506" i="1" s="1"/>
  <c r="J506" i="1"/>
  <c r="I506" i="1"/>
  <c r="H506" i="1"/>
  <c r="G506" i="1"/>
  <c r="L505" i="1"/>
  <c r="K505" i="1"/>
  <c r="S505" i="1" s="1"/>
  <c r="J505" i="1"/>
  <c r="I505" i="1"/>
  <c r="H505" i="1"/>
  <c r="G505" i="1"/>
  <c r="L504" i="1"/>
  <c r="K504" i="1"/>
  <c r="S504" i="1" s="1"/>
  <c r="J504" i="1"/>
  <c r="I504" i="1"/>
  <c r="H504" i="1"/>
  <c r="G504" i="1"/>
  <c r="L503" i="1"/>
  <c r="K503" i="1"/>
  <c r="S503" i="1" s="1"/>
  <c r="J503" i="1"/>
  <c r="I503" i="1"/>
  <c r="H503" i="1"/>
  <c r="G503" i="1"/>
  <c r="L502" i="1"/>
  <c r="S502" i="1"/>
  <c r="H502" i="1"/>
  <c r="G502" i="1"/>
  <c r="L500" i="1"/>
  <c r="K500" i="1"/>
  <c r="S500" i="1" s="1"/>
  <c r="J500" i="1"/>
  <c r="I500" i="1"/>
  <c r="H500" i="1"/>
  <c r="G500" i="1"/>
  <c r="L499" i="1"/>
  <c r="K499" i="1"/>
  <c r="S499" i="1" s="1"/>
  <c r="J499" i="1"/>
  <c r="I499" i="1"/>
  <c r="H499" i="1"/>
  <c r="G499" i="1"/>
  <c r="L498" i="1"/>
  <c r="K498" i="1"/>
  <c r="S498" i="1" s="1"/>
  <c r="J498" i="1"/>
  <c r="I498" i="1"/>
  <c r="H498" i="1"/>
  <c r="G498" i="1"/>
  <c r="L497" i="1"/>
  <c r="K497" i="1"/>
  <c r="S497" i="1" s="1"/>
  <c r="J497" i="1"/>
  <c r="I497" i="1"/>
  <c r="H497" i="1"/>
  <c r="G497" i="1"/>
  <c r="L496" i="1"/>
  <c r="K496" i="1"/>
  <c r="S496" i="1" s="1"/>
  <c r="J496" i="1"/>
  <c r="I496" i="1"/>
  <c r="H496" i="1"/>
  <c r="G496" i="1"/>
  <c r="L495" i="1"/>
  <c r="K495" i="1"/>
  <c r="S495" i="1" s="1"/>
  <c r="J495" i="1"/>
  <c r="I495" i="1"/>
  <c r="H495" i="1"/>
  <c r="G495" i="1"/>
  <c r="L494" i="1"/>
  <c r="K494" i="1"/>
  <c r="S494" i="1" s="1"/>
  <c r="J494" i="1"/>
  <c r="I494" i="1"/>
  <c r="H494" i="1"/>
  <c r="G494" i="1"/>
  <c r="L493" i="1"/>
  <c r="K493" i="1"/>
  <c r="S493" i="1" s="1"/>
  <c r="J493" i="1"/>
  <c r="I493" i="1"/>
  <c r="H493" i="1"/>
  <c r="G493" i="1"/>
  <c r="L492" i="1"/>
  <c r="K492" i="1"/>
  <c r="S492" i="1" s="1"/>
  <c r="J492" i="1"/>
  <c r="I492" i="1"/>
  <c r="H492" i="1"/>
  <c r="G492" i="1"/>
  <c r="L491" i="1"/>
  <c r="K491" i="1"/>
  <c r="S491" i="1" s="1"/>
  <c r="J491" i="1"/>
  <c r="I491" i="1"/>
  <c r="H491" i="1"/>
  <c r="G491" i="1"/>
  <c r="L490" i="1"/>
  <c r="K490" i="1"/>
  <c r="S490" i="1" s="1"/>
  <c r="J490" i="1"/>
  <c r="I490" i="1"/>
  <c r="H490" i="1"/>
  <c r="G490" i="1"/>
  <c r="L489" i="1"/>
  <c r="K489" i="1"/>
  <c r="S489" i="1" s="1"/>
  <c r="J489" i="1"/>
  <c r="I489" i="1"/>
  <c r="H489" i="1"/>
  <c r="G489" i="1"/>
  <c r="L488" i="1"/>
  <c r="K488" i="1"/>
  <c r="S488" i="1" s="1"/>
  <c r="J488" i="1"/>
  <c r="I488" i="1"/>
  <c r="H488" i="1"/>
  <c r="G488" i="1"/>
  <c r="L487" i="1"/>
  <c r="K487" i="1"/>
  <c r="S487" i="1" s="1"/>
  <c r="J487" i="1"/>
  <c r="I487" i="1"/>
  <c r="H487" i="1"/>
  <c r="G487" i="1"/>
  <c r="L486" i="1"/>
  <c r="K486" i="1"/>
  <c r="S486" i="1" s="1"/>
  <c r="J486" i="1"/>
  <c r="I486" i="1"/>
  <c r="H486" i="1"/>
  <c r="G486" i="1"/>
  <c r="L485" i="1"/>
  <c r="K485" i="1"/>
  <c r="S485" i="1" s="1"/>
  <c r="J485" i="1"/>
  <c r="I485" i="1"/>
  <c r="H485" i="1"/>
  <c r="G485" i="1"/>
  <c r="L484" i="1"/>
  <c r="K484" i="1"/>
  <c r="S484" i="1" s="1"/>
  <c r="J484" i="1"/>
  <c r="I484" i="1"/>
  <c r="H484" i="1"/>
  <c r="G484" i="1"/>
  <c r="L483" i="1"/>
  <c r="K483" i="1"/>
  <c r="S483" i="1" s="1"/>
  <c r="J483" i="1"/>
  <c r="I483" i="1"/>
  <c r="H483" i="1"/>
  <c r="G483" i="1"/>
  <c r="L482" i="1"/>
  <c r="K482" i="1"/>
  <c r="S482" i="1" s="1"/>
  <c r="J482" i="1"/>
  <c r="I482" i="1"/>
  <c r="H482" i="1"/>
  <c r="G482" i="1"/>
  <c r="L481" i="1"/>
  <c r="K481" i="1"/>
  <c r="S481" i="1" s="1"/>
  <c r="J481" i="1"/>
  <c r="I481" i="1"/>
  <c r="H481" i="1"/>
  <c r="G481" i="1"/>
  <c r="L480" i="1"/>
  <c r="K480" i="1"/>
  <c r="S480" i="1" s="1"/>
  <c r="J480" i="1"/>
  <c r="I480" i="1"/>
  <c r="H480" i="1"/>
  <c r="G480" i="1"/>
  <c r="L479" i="1"/>
  <c r="K479" i="1"/>
  <c r="S479" i="1" s="1"/>
  <c r="J479" i="1"/>
  <c r="I479" i="1"/>
  <c r="H479" i="1"/>
  <c r="G479" i="1"/>
  <c r="L478" i="1"/>
  <c r="K478" i="1"/>
  <c r="S478" i="1" s="1"/>
  <c r="J478" i="1"/>
  <c r="I478" i="1"/>
  <c r="H478" i="1"/>
  <c r="G478" i="1"/>
  <c r="L477" i="1"/>
  <c r="K477" i="1"/>
  <c r="S477" i="1" s="1"/>
  <c r="J477" i="1"/>
  <c r="I477" i="1"/>
  <c r="H477" i="1"/>
  <c r="G477" i="1"/>
  <c r="L476" i="1"/>
  <c r="K476" i="1"/>
  <c r="S476" i="1" s="1"/>
  <c r="J476" i="1"/>
  <c r="I476" i="1"/>
  <c r="H476" i="1"/>
  <c r="G476" i="1"/>
  <c r="L475" i="1"/>
  <c r="K475" i="1"/>
  <c r="S475" i="1" s="1"/>
  <c r="J475" i="1"/>
  <c r="I475" i="1"/>
  <c r="H475" i="1"/>
  <c r="G475" i="1"/>
  <c r="L474" i="1"/>
  <c r="K474" i="1"/>
  <c r="S474" i="1" s="1"/>
  <c r="J474" i="1"/>
  <c r="I474" i="1"/>
  <c r="H474" i="1"/>
  <c r="G474" i="1"/>
  <c r="L473" i="1"/>
  <c r="K473" i="1"/>
  <c r="S473" i="1" s="1"/>
  <c r="J473" i="1"/>
  <c r="I473" i="1"/>
  <c r="H473" i="1"/>
  <c r="G473" i="1"/>
  <c r="L472" i="1"/>
  <c r="K472" i="1"/>
  <c r="S472" i="1" s="1"/>
  <c r="J472" i="1"/>
  <c r="I472" i="1"/>
  <c r="H472" i="1"/>
  <c r="G472" i="1"/>
  <c r="L471" i="1"/>
  <c r="K471" i="1"/>
  <c r="S471" i="1" s="1"/>
  <c r="J471" i="1"/>
  <c r="I471" i="1"/>
  <c r="H471" i="1"/>
  <c r="G471" i="1"/>
  <c r="L470" i="1"/>
  <c r="K470" i="1"/>
  <c r="S470" i="1" s="1"/>
  <c r="J470" i="1"/>
  <c r="I470" i="1"/>
  <c r="H470" i="1"/>
  <c r="G470" i="1"/>
  <c r="L469" i="1"/>
  <c r="K469" i="1"/>
  <c r="S469" i="1" s="1"/>
  <c r="J469" i="1"/>
  <c r="I469" i="1"/>
  <c r="H469" i="1"/>
  <c r="G469" i="1"/>
  <c r="L468" i="1"/>
  <c r="K468" i="1"/>
  <c r="S468" i="1" s="1"/>
  <c r="J468" i="1"/>
  <c r="I468" i="1"/>
  <c r="H468" i="1"/>
  <c r="G468" i="1"/>
  <c r="L467" i="1"/>
  <c r="K467" i="1"/>
  <c r="S467" i="1" s="1"/>
  <c r="J467" i="1"/>
  <c r="I467" i="1"/>
  <c r="H467" i="1"/>
  <c r="G467" i="1"/>
  <c r="L466" i="1"/>
  <c r="K466" i="1"/>
  <c r="S466" i="1" s="1"/>
  <c r="J466" i="1"/>
  <c r="I466" i="1"/>
  <c r="H466" i="1"/>
  <c r="G466" i="1"/>
  <c r="L465" i="1"/>
  <c r="K465" i="1"/>
  <c r="S465" i="1" s="1"/>
  <c r="J465" i="1"/>
  <c r="I465" i="1"/>
  <c r="H465" i="1"/>
  <c r="G465" i="1"/>
  <c r="L464" i="1"/>
  <c r="K464" i="1"/>
  <c r="S464" i="1" s="1"/>
  <c r="J464" i="1"/>
  <c r="I464" i="1"/>
  <c r="H464" i="1"/>
  <c r="G464" i="1"/>
  <c r="L463" i="1"/>
  <c r="K463" i="1"/>
  <c r="S463" i="1" s="1"/>
  <c r="J463" i="1"/>
  <c r="I463" i="1"/>
  <c r="H463" i="1"/>
  <c r="G463" i="1"/>
  <c r="L462" i="1"/>
  <c r="K462" i="1"/>
  <c r="S462" i="1" s="1"/>
  <c r="J462" i="1"/>
  <c r="I462" i="1"/>
  <c r="H462" i="1"/>
  <c r="G462" i="1"/>
  <c r="L461" i="1"/>
  <c r="K461" i="1"/>
  <c r="S461" i="1" s="1"/>
  <c r="J461" i="1"/>
  <c r="I461" i="1"/>
  <c r="H461" i="1"/>
  <c r="G461" i="1"/>
  <c r="L460" i="1"/>
  <c r="K460" i="1"/>
  <c r="S460" i="1" s="1"/>
  <c r="J460" i="1"/>
  <c r="I460" i="1"/>
  <c r="H460" i="1"/>
  <c r="G460" i="1"/>
  <c r="L458" i="1"/>
  <c r="K458" i="1"/>
  <c r="S458" i="1" s="1"/>
  <c r="J458" i="1"/>
  <c r="I458" i="1"/>
  <c r="H458" i="1"/>
  <c r="G458" i="1"/>
  <c r="L457" i="1"/>
  <c r="K457" i="1"/>
  <c r="S457" i="1" s="1"/>
  <c r="J457" i="1"/>
  <c r="I457" i="1"/>
  <c r="H457" i="1"/>
  <c r="G457" i="1"/>
  <c r="L456" i="1"/>
  <c r="K456" i="1"/>
  <c r="S456" i="1" s="1"/>
  <c r="J456" i="1"/>
  <c r="I456" i="1"/>
  <c r="H456" i="1"/>
  <c r="G456" i="1"/>
  <c r="L455" i="1"/>
  <c r="K455" i="1"/>
  <c r="S455" i="1" s="1"/>
  <c r="J455" i="1"/>
  <c r="I455" i="1"/>
  <c r="H455" i="1"/>
  <c r="G455" i="1"/>
  <c r="L454" i="1"/>
  <c r="K454" i="1"/>
  <c r="S454" i="1" s="1"/>
  <c r="J454" i="1"/>
  <c r="I454" i="1"/>
  <c r="H454" i="1"/>
  <c r="G454" i="1"/>
  <c r="L453" i="1"/>
  <c r="K453" i="1"/>
  <c r="S453" i="1" s="1"/>
  <c r="J453" i="1"/>
  <c r="I453" i="1"/>
  <c r="H453" i="1"/>
  <c r="G453" i="1"/>
  <c r="L451" i="1"/>
  <c r="K451" i="1"/>
  <c r="S451" i="1" s="1"/>
  <c r="J451" i="1"/>
  <c r="I451" i="1"/>
  <c r="H451" i="1"/>
  <c r="G451" i="1"/>
  <c r="L450" i="1"/>
  <c r="K450" i="1"/>
  <c r="S450" i="1" s="1"/>
  <c r="J450" i="1"/>
  <c r="I450" i="1"/>
  <c r="H450" i="1"/>
  <c r="G450" i="1"/>
  <c r="L449" i="1"/>
  <c r="K449" i="1"/>
  <c r="S449" i="1" s="1"/>
  <c r="J449" i="1"/>
  <c r="I449" i="1"/>
  <c r="H449" i="1"/>
  <c r="G449" i="1"/>
  <c r="L448" i="1"/>
  <c r="K448" i="1"/>
  <c r="S448" i="1" s="1"/>
  <c r="J448" i="1"/>
  <c r="I448" i="1"/>
  <c r="H448" i="1"/>
  <c r="G448" i="1"/>
  <c r="L447" i="1"/>
  <c r="K447" i="1"/>
  <c r="S447" i="1" s="1"/>
  <c r="J447" i="1"/>
  <c r="I447" i="1"/>
  <c r="H447" i="1"/>
  <c r="G447" i="1"/>
  <c r="L446" i="1"/>
  <c r="K446" i="1"/>
  <c r="S446" i="1" s="1"/>
  <c r="J446" i="1"/>
  <c r="I446" i="1"/>
  <c r="H446" i="1"/>
  <c r="G446" i="1"/>
  <c r="L445" i="1"/>
  <c r="K445" i="1"/>
  <c r="S445" i="1" s="1"/>
  <c r="J445" i="1"/>
  <c r="I445" i="1"/>
  <c r="H445" i="1"/>
  <c r="G445" i="1"/>
  <c r="L444" i="1"/>
  <c r="K444" i="1"/>
  <c r="S444" i="1" s="1"/>
  <c r="J444" i="1"/>
  <c r="I444" i="1"/>
  <c r="H444" i="1"/>
  <c r="G444" i="1"/>
  <c r="L443" i="1"/>
  <c r="K443" i="1"/>
  <c r="S443" i="1" s="1"/>
  <c r="J443" i="1"/>
  <c r="I443" i="1"/>
  <c r="H443" i="1"/>
  <c r="G443" i="1"/>
  <c r="L441" i="1"/>
  <c r="K441" i="1"/>
  <c r="S441" i="1" s="1"/>
  <c r="J441" i="1"/>
  <c r="I441" i="1"/>
  <c r="H441" i="1"/>
  <c r="G441" i="1"/>
  <c r="L440" i="1"/>
  <c r="K440" i="1"/>
  <c r="S440" i="1" s="1"/>
  <c r="J440" i="1"/>
  <c r="I440" i="1"/>
  <c r="H440" i="1"/>
  <c r="G440" i="1"/>
  <c r="L439" i="1"/>
  <c r="K439" i="1"/>
  <c r="S439" i="1" s="1"/>
  <c r="J439" i="1"/>
  <c r="I439" i="1"/>
  <c r="H439" i="1"/>
  <c r="G439" i="1"/>
  <c r="L438" i="1"/>
  <c r="K438" i="1"/>
  <c r="S438" i="1" s="1"/>
  <c r="J438" i="1"/>
  <c r="I438" i="1"/>
  <c r="H438" i="1"/>
  <c r="G438" i="1"/>
  <c r="L437" i="1"/>
  <c r="K437" i="1"/>
  <c r="S437" i="1" s="1"/>
  <c r="J437" i="1"/>
  <c r="I437" i="1"/>
  <c r="H437" i="1"/>
  <c r="G437" i="1"/>
  <c r="L436" i="1"/>
  <c r="K436" i="1"/>
  <c r="S436" i="1" s="1"/>
  <c r="J436" i="1"/>
  <c r="I436" i="1"/>
  <c r="H436" i="1"/>
  <c r="G436" i="1"/>
  <c r="L435" i="1"/>
  <c r="K435" i="1"/>
  <c r="S435" i="1" s="1"/>
  <c r="J435" i="1"/>
  <c r="I435" i="1"/>
  <c r="H435" i="1"/>
  <c r="G435" i="1"/>
  <c r="L434" i="1"/>
  <c r="K434" i="1"/>
  <c r="S434" i="1" s="1"/>
  <c r="J434" i="1"/>
  <c r="I434" i="1"/>
  <c r="H434" i="1"/>
  <c r="G434" i="1"/>
  <c r="L433" i="1"/>
  <c r="K433" i="1"/>
  <c r="S433" i="1" s="1"/>
  <c r="J433" i="1"/>
  <c r="I433" i="1"/>
  <c r="H433" i="1"/>
  <c r="G433" i="1"/>
  <c r="L432" i="1"/>
  <c r="K432" i="1"/>
  <c r="S432" i="1" s="1"/>
  <c r="J432" i="1"/>
  <c r="I432" i="1"/>
  <c r="H432" i="1"/>
  <c r="G432" i="1"/>
  <c r="L431" i="1"/>
  <c r="K431" i="1"/>
  <c r="S431" i="1" s="1"/>
  <c r="J431" i="1"/>
  <c r="I431" i="1"/>
  <c r="H431" i="1"/>
  <c r="G431" i="1"/>
  <c r="L430" i="1"/>
  <c r="K430" i="1"/>
  <c r="S430" i="1" s="1"/>
  <c r="J430" i="1"/>
  <c r="I430" i="1"/>
  <c r="H430" i="1"/>
  <c r="G430" i="1"/>
  <c r="L429" i="1"/>
  <c r="K429" i="1"/>
  <c r="S429" i="1" s="1"/>
  <c r="J429" i="1"/>
  <c r="I429" i="1"/>
  <c r="H429" i="1"/>
  <c r="G429" i="1"/>
  <c r="L428" i="1"/>
  <c r="K428" i="1"/>
  <c r="S428" i="1" s="1"/>
  <c r="J428" i="1"/>
  <c r="I428" i="1"/>
  <c r="H428" i="1"/>
  <c r="G428" i="1"/>
  <c r="L427" i="1"/>
  <c r="K427" i="1"/>
  <c r="S427" i="1" s="1"/>
  <c r="J427" i="1"/>
  <c r="I427" i="1"/>
  <c r="H427" i="1"/>
  <c r="G427" i="1"/>
  <c r="L426" i="1"/>
  <c r="K426" i="1"/>
  <c r="S426" i="1" s="1"/>
  <c r="J426" i="1"/>
  <c r="I426" i="1"/>
  <c r="H426" i="1"/>
  <c r="G426" i="1"/>
  <c r="L425" i="1"/>
  <c r="K425" i="1"/>
  <c r="S425" i="1" s="1"/>
  <c r="J425" i="1"/>
  <c r="I425" i="1"/>
  <c r="H425" i="1"/>
  <c r="G425" i="1"/>
  <c r="L424" i="1"/>
  <c r="K424" i="1"/>
  <c r="S424" i="1" s="1"/>
  <c r="J424" i="1"/>
  <c r="I424" i="1"/>
  <c r="H424" i="1"/>
  <c r="G424" i="1"/>
  <c r="L423" i="1"/>
  <c r="K423" i="1"/>
  <c r="S423" i="1" s="1"/>
  <c r="J423" i="1"/>
  <c r="I423" i="1"/>
  <c r="H423" i="1"/>
  <c r="G423" i="1"/>
  <c r="L422" i="1"/>
  <c r="K422" i="1"/>
  <c r="S422" i="1" s="1"/>
  <c r="J422" i="1"/>
  <c r="I422" i="1"/>
  <c r="H422" i="1"/>
  <c r="G422" i="1"/>
  <c r="L421" i="1"/>
  <c r="K421" i="1"/>
  <c r="S421" i="1" s="1"/>
  <c r="J421" i="1"/>
  <c r="I421" i="1"/>
  <c r="H421" i="1"/>
  <c r="G421" i="1"/>
  <c r="L420" i="1"/>
  <c r="K420" i="1"/>
  <c r="S420" i="1" s="1"/>
  <c r="J420" i="1"/>
  <c r="I420" i="1"/>
  <c r="H420" i="1"/>
  <c r="G420" i="1"/>
  <c r="L419" i="1"/>
  <c r="K419" i="1"/>
  <c r="S419" i="1" s="1"/>
  <c r="J419" i="1"/>
  <c r="I419" i="1"/>
  <c r="H419" i="1"/>
  <c r="G419" i="1"/>
  <c r="L418" i="1"/>
  <c r="K418" i="1"/>
  <c r="S418" i="1" s="1"/>
  <c r="J418" i="1"/>
  <c r="I418" i="1"/>
  <c r="H418" i="1"/>
  <c r="G418" i="1"/>
  <c r="L417" i="1"/>
  <c r="K417" i="1"/>
  <c r="S417" i="1" s="1"/>
  <c r="J417" i="1"/>
  <c r="I417" i="1"/>
  <c r="H417" i="1"/>
  <c r="G417" i="1"/>
  <c r="L416" i="1"/>
  <c r="K416" i="1"/>
  <c r="S416" i="1" s="1"/>
  <c r="J416" i="1"/>
  <c r="I416" i="1"/>
  <c r="H416" i="1"/>
  <c r="G416" i="1"/>
  <c r="L415" i="1"/>
  <c r="K415" i="1"/>
  <c r="S415" i="1" s="1"/>
  <c r="J415" i="1"/>
  <c r="I415" i="1"/>
  <c r="H415" i="1"/>
  <c r="G415" i="1"/>
  <c r="L414" i="1"/>
  <c r="K414" i="1"/>
  <c r="S414" i="1" s="1"/>
  <c r="J414" i="1"/>
  <c r="I414" i="1"/>
  <c r="H414" i="1"/>
  <c r="G414" i="1"/>
  <c r="L413" i="1"/>
  <c r="K413" i="1"/>
  <c r="S413" i="1" s="1"/>
  <c r="J413" i="1"/>
  <c r="I413" i="1"/>
  <c r="H413" i="1"/>
  <c r="G413" i="1"/>
  <c r="L412" i="1"/>
  <c r="K412" i="1"/>
  <c r="S412" i="1" s="1"/>
  <c r="J412" i="1"/>
  <c r="I412" i="1"/>
  <c r="H412" i="1"/>
  <c r="G412" i="1"/>
  <c r="L411" i="1"/>
  <c r="K411" i="1"/>
  <c r="S411" i="1" s="1"/>
  <c r="J411" i="1"/>
  <c r="I411" i="1"/>
  <c r="H411" i="1"/>
  <c r="G411" i="1"/>
  <c r="L410" i="1"/>
  <c r="K410" i="1"/>
  <c r="S410" i="1" s="1"/>
  <c r="J410" i="1"/>
  <c r="I410" i="1"/>
  <c r="H410" i="1"/>
  <c r="G410" i="1"/>
  <c r="L409" i="1"/>
  <c r="K409" i="1"/>
  <c r="S409" i="1" s="1"/>
  <c r="J409" i="1"/>
  <c r="I409" i="1"/>
  <c r="H409" i="1"/>
  <c r="G409" i="1"/>
  <c r="L408" i="1"/>
  <c r="K408" i="1"/>
  <c r="S408" i="1" s="1"/>
  <c r="J408" i="1"/>
  <c r="I408" i="1"/>
  <c r="H408" i="1"/>
  <c r="G408" i="1"/>
  <c r="L407" i="1"/>
  <c r="K407" i="1"/>
  <c r="S407" i="1" s="1"/>
  <c r="J407" i="1"/>
  <c r="I407" i="1"/>
  <c r="H407" i="1"/>
  <c r="G407" i="1"/>
  <c r="L406" i="1"/>
  <c r="K406" i="1"/>
  <c r="S406" i="1" s="1"/>
  <c r="J406" i="1"/>
  <c r="I406" i="1"/>
  <c r="H406" i="1"/>
  <c r="G406" i="1"/>
  <c r="L405" i="1"/>
  <c r="K405" i="1"/>
  <c r="S405" i="1" s="1"/>
  <c r="J405" i="1"/>
  <c r="I405" i="1"/>
  <c r="H405" i="1"/>
  <c r="G405" i="1"/>
  <c r="L404" i="1"/>
  <c r="K404" i="1"/>
  <c r="S404" i="1" s="1"/>
  <c r="J404" i="1"/>
  <c r="I404" i="1"/>
  <c r="H404" i="1"/>
  <c r="G404" i="1"/>
  <c r="L403" i="1"/>
  <c r="K403" i="1"/>
  <c r="S403" i="1" s="1"/>
  <c r="J403" i="1"/>
  <c r="I403" i="1"/>
  <c r="H403" i="1"/>
  <c r="G403" i="1"/>
  <c r="L402" i="1"/>
  <c r="K402" i="1"/>
  <c r="S402" i="1" s="1"/>
  <c r="J402" i="1"/>
  <c r="I402" i="1"/>
  <c r="H402" i="1"/>
  <c r="G402" i="1"/>
  <c r="L401" i="1"/>
  <c r="K401" i="1"/>
  <c r="S401" i="1" s="1"/>
  <c r="J401" i="1"/>
  <c r="I401" i="1"/>
  <c r="H401" i="1"/>
  <c r="G401" i="1"/>
  <c r="L400" i="1"/>
  <c r="K400" i="1"/>
  <c r="S400" i="1" s="1"/>
  <c r="J400" i="1"/>
  <c r="I400" i="1"/>
  <c r="H400" i="1"/>
  <c r="G400" i="1"/>
  <c r="L399" i="1"/>
  <c r="K399" i="1"/>
  <c r="S399" i="1" s="1"/>
  <c r="J399" i="1"/>
  <c r="I399" i="1"/>
  <c r="H399" i="1"/>
  <c r="G399" i="1"/>
  <c r="L398" i="1"/>
  <c r="K398" i="1"/>
  <c r="S398" i="1" s="1"/>
  <c r="J398" i="1"/>
  <c r="I398" i="1"/>
  <c r="H398" i="1"/>
  <c r="G398" i="1"/>
  <c r="L397" i="1"/>
  <c r="K397" i="1"/>
  <c r="S397" i="1" s="1"/>
  <c r="J397" i="1"/>
  <c r="I397" i="1"/>
  <c r="H397" i="1"/>
  <c r="G397" i="1"/>
  <c r="L396" i="1"/>
  <c r="K396" i="1"/>
  <c r="S396" i="1" s="1"/>
  <c r="J396" i="1"/>
  <c r="I396" i="1"/>
  <c r="H396" i="1"/>
  <c r="G396" i="1"/>
  <c r="L395" i="1"/>
  <c r="K395" i="1"/>
  <c r="S395" i="1" s="1"/>
  <c r="J395" i="1"/>
  <c r="I395" i="1"/>
  <c r="H395" i="1"/>
  <c r="G395" i="1"/>
  <c r="L394" i="1"/>
  <c r="K394" i="1"/>
  <c r="S394" i="1" s="1"/>
  <c r="J394" i="1"/>
  <c r="I394" i="1"/>
  <c r="H394" i="1"/>
  <c r="G394" i="1"/>
  <c r="L393" i="1"/>
  <c r="K393" i="1"/>
  <c r="S393" i="1" s="1"/>
  <c r="J393" i="1"/>
  <c r="I393" i="1"/>
  <c r="H393" i="1"/>
  <c r="G393" i="1"/>
  <c r="L392" i="1"/>
  <c r="K392" i="1"/>
  <c r="S392" i="1" s="1"/>
  <c r="J392" i="1"/>
  <c r="I392" i="1"/>
  <c r="H392" i="1"/>
  <c r="G392" i="1"/>
  <c r="L391" i="1"/>
  <c r="K391" i="1"/>
  <c r="S391" i="1" s="1"/>
  <c r="J391" i="1"/>
  <c r="I391" i="1"/>
  <c r="H391" i="1"/>
  <c r="G391" i="1"/>
  <c r="L389" i="1"/>
  <c r="K389" i="1"/>
  <c r="S389" i="1" s="1"/>
  <c r="J389" i="1"/>
  <c r="H389" i="1"/>
  <c r="G389" i="1"/>
  <c r="L388" i="1"/>
  <c r="K388" i="1"/>
  <c r="S388" i="1" s="1"/>
  <c r="J388" i="1"/>
  <c r="H388" i="1"/>
  <c r="G388" i="1"/>
  <c r="L386" i="1"/>
  <c r="K386" i="1"/>
  <c r="S386" i="1" s="1"/>
  <c r="J386" i="1"/>
  <c r="I386" i="1"/>
  <c r="H386" i="1"/>
  <c r="G386" i="1"/>
  <c r="L385" i="1"/>
  <c r="K385" i="1"/>
  <c r="S385" i="1" s="1"/>
  <c r="J385" i="1"/>
  <c r="I385" i="1"/>
  <c r="H385" i="1"/>
  <c r="G385" i="1"/>
  <c r="L384" i="1"/>
  <c r="K384" i="1"/>
  <c r="S384" i="1" s="1"/>
  <c r="J384" i="1"/>
  <c r="I384" i="1"/>
  <c r="H384" i="1"/>
  <c r="G384" i="1"/>
  <c r="L383" i="1"/>
  <c r="K383" i="1"/>
  <c r="S383" i="1" s="1"/>
  <c r="J383" i="1"/>
  <c r="I383" i="1"/>
  <c r="H383" i="1"/>
  <c r="G383" i="1"/>
  <c r="L382" i="1"/>
  <c r="K382" i="1"/>
  <c r="S382" i="1" s="1"/>
  <c r="J382" i="1"/>
  <c r="I382" i="1"/>
  <c r="H382" i="1"/>
  <c r="G382" i="1"/>
  <c r="L381" i="1"/>
  <c r="K381" i="1"/>
  <c r="S381" i="1" s="1"/>
  <c r="J381" i="1"/>
  <c r="I381" i="1"/>
  <c r="H381" i="1"/>
  <c r="G381" i="1"/>
  <c r="L380" i="1"/>
  <c r="K380" i="1"/>
  <c r="S380" i="1" s="1"/>
  <c r="J380" i="1"/>
  <c r="I380" i="1"/>
  <c r="H380" i="1"/>
  <c r="G380" i="1"/>
  <c r="L379" i="1"/>
  <c r="K379" i="1"/>
  <c r="S379" i="1" s="1"/>
  <c r="J379" i="1"/>
  <c r="I379" i="1"/>
  <c r="H379" i="1"/>
  <c r="G379" i="1"/>
  <c r="L378" i="1"/>
  <c r="K378" i="1"/>
  <c r="S378" i="1" s="1"/>
  <c r="J378" i="1"/>
  <c r="I378" i="1"/>
  <c r="H378" i="1"/>
  <c r="G378" i="1"/>
  <c r="L377" i="1"/>
  <c r="K377" i="1"/>
  <c r="S377" i="1" s="1"/>
  <c r="J377" i="1"/>
  <c r="I377" i="1"/>
  <c r="H377" i="1"/>
  <c r="G377" i="1"/>
  <c r="L376" i="1"/>
  <c r="K376" i="1"/>
  <c r="S376" i="1" s="1"/>
  <c r="J376" i="1"/>
  <c r="I376" i="1"/>
  <c r="H376" i="1"/>
  <c r="G376" i="1"/>
  <c r="L375" i="1"/>
  <c r="K375" i="1"/>
  <c r="S375" i="1" s="1"/>
  <c r="J375" i="1"/>
  <c r="I375" i="1"/>
  <c r="H375" i="1"/>
  <c r="G375" i="1"/>
  <c r="L442" i="1"/>
  <c r="K442" i="1"/>
  <c r="S442" i="1" s="1"/>
  <c r="J442" i="1"/>
  <c r="I442" i="1"/>
  <c r="H442" i="1"/>
  <c r="G442" i="1"/>
  <c r="L374" i="1"/>
  <c r="K374" i="1"/>
  <c r="S374" i="1" s="1"/>
  <c r="J374" i="1"/>
  <c r="I374" i="1"/>
  <c r="H374" i="1"/>
  <c r="G374" i="1"/>
  <c r="L373" i="1"/>
  <c r="K373" i="1"/>
  <c r="S373" i="1" s="1"/>
  <c r="J373" i="1"/>
  <c r="I373" i="1"/>
  <c r="H373" i="1"/>
  <c r="G373" i="1"/>
  <c r="L372" i="1"/>
  <c r="K372" i="1"/>
  <c r="S372" i="1" s="1"/>
  <c r="J372" i="1"/>
  <c r="I372" i="1"/>
  <c r="H372" i="1"/>
  <c r="G372" i="1"/>
  <c r="L371" i="1"/>
  <c r="K371" i="1"/>
  <c r="S371" i="1" s="1"/>
  <c r="J371" i="1"/>
  <c r="I371" i="1"/>
  <c r="H371" i="1"/>
  <c r="G371" i="1"/>
  <c r="L370" i="1"/>
  <c r="K370" i="1"/>
  <c r="S370" i="1" s="1"/>
  <c r="J370" i="1"/>
  <c r="I370" i="1"/>
  <c r="H370" i="1"/>
  <c r="G370" i="1"/>
  <c r="L369" i="1"/>
  <c r="K369" i="1"/>
  <c r="S369" i="1" s="1"/>
  <c r="J369" i="1"/>
  <c r="I369" i="1"/>
  <c r="H369" i="1"/>
  <c r="G369" i="1"/>
  <c r="L368" i="1"/>
  <c r="K368" i="1"/>
  <c r="S368" i="1" s="1"/>
  <c r="J368" i="1"/>
  <c r="I368" i="1"/>
  <c r="H368" i="1"/>
  <c r="G368" i="1"/>
  <c r="L367" i="1"/>
  <c r="K367" i="1"/>
  <c r="S367" i="1" s="1"/>
  <c r="J367" i="1"/>
  <c r="I367" i="1"/>
  <c r="H367" i="1"/>
  <c r="G367" i="1"/>
  <c r="L366" i="1"/>
  <c r="K366" i="1"/>
  <c r="S366" i="1" s="1"/>
  <c r="J366" i="1"/>
  <c r="I366" i="1"/>
  <c r="H366" i="1"/>
  <c r="G366" i="1"/>
  <c r="L365" i="1"/>
  <c r="K365" i="1"/>
  <c r="S365" i="1" s="1"/>
  <c r="J365" i="1"/>
  <c r="I365" i="1"/>
  <c r="H365" i="1"/>
  <c r="G365" i="1"/>
  <c r="L364" i="1"/>
  <c r="K364" i="1"/>
  <c r="S364" i="1" s="1"/>
  <c r="J364" i="1"/>
  <c r="I364" i="1"/>
  <c r="H364" i="1"/>
  <c r="G364" i="1"/>
  <c r="L363" i="1"/>
  <c r="K363" i="1"/>
  <c r="S363" i="1" s="1"/>
  <c r="J363" i="1"/>
  <c r="I363" i="1"/>
  <c r="H363" i="1"/>
  <c r="G363" i="1"/>
  <c r="L362" i="1"/>
  <c r="K362" i="1"/>
  <c r="S362" i="1" s="1"/>
  <c r="J362" i="1"/>
  <c r="I362" i="1"/>
  <c r="H362" i="1"/>
  <c r="G362" i="1"/>
  <c r="L361" i="1"/>
  <c r="K361" i="1"/>
  <c r="S361" i="1" s="1"/>
  <c r="J361" i="1"/>
  <c r="I361" i="1"/>
  <c r="H361" i="1"/>
  <c r="G361" i="1"/>
  <c r="L360" i="1"/>
  <c r="K360" i="1"/>
  <c r="S360" i="1" s="1"/>
  <c r="J360" i="1"/>
  <c r="I360" i="1"/>
  <c r="H360" i="1"/>
  <c r="G360" i="1"/>
  <c r="L359" i="1"/>
  <c r="K359" i="1"/>
  <c r="S359" i="1" s="1"/>
  <c r="J359" i="1"/>
  <c r="I359" i="1"/>
  <c r="H359" i="1"/>
  <c r="G359" i="1"/>
  <c r="L358" i="1"/>
  <c r="K358" i="1"/>
  <c r="S358" i="1" s="1"/>
  <c r="J358" i="1"/>
  <c r="I358" i="1"/>
  <c r="H358" i="1"/>
  <c r="G358" i="1"/>
  <c r="L357" i="1"/>
  <c r="S357" i="1"/>
  <c r="H357" i="1"/>
  <c r="G357" i="1"/>
  <c r="L355" i="1"/>
  <c r="K355" i="1"/>
  <c r="S355" i="1" s="1"/>
  <c r="J355" i="1"/>
  <c r="I355" i="1"/>
  <c r="H355" i="1"/>
  <c r="G355" i="1"/>
  <c r="L354" i="1"/>
  <c r="K354" i="1"/>
  <c r="S354" i="1" s="1"/>
  <c r="J354" i="1"/>
  <c r="I354" i="1"/>
  <c r="H354" i="1"/>
  <c r="G354" i="1"/>
  <c r="L353" i="1"/>
  <c r="K353" i="1"/>
  <c r="S353" i="1" s="1"/>
  <c r="J353" i="1"/>
  <c r="I353" i="1"/>
  <c r="H353" i="1"/>
  <c r="G353" i="1"/>
  <c r="L352" i="1"/>
  <c r="K352" i="1"/>
  <c r="S352" i="1" s="1"/>
  <c r="J352" i="1"/>
  <c r="I352" i="1"/>
  <c r="H352" i="1"/>
  <c r="G352" i="1"/>
  <c r="L351" i="1"/>
  <c r="K351" i="1"/>
  <c r="S351" i="1" s="1"/>
  <c r="J351" i="1"/>
  <c r="I351" i="1"/>
  <c r="H351" i="1"/>
  <c r="G351" i="1"/>
  <c r="L350" i="1"/>
  <c r="K350" i="1"/>
  <c r="S350" i="1" s="1"/>
  <c r="J350" i="1"/>
  <c r="I350" i="1"/>
  <c r="H350" i="1"/>
  <c r="G350" i="1"/>
  <c r="L349" i="1"/>
  <c r="K349" i="1"/>
  <c r="S349" i="1" s="1"/>
  <c r="J349" i="1"/>
  <c r="I349" i="1"/>
  <c r="H349" i="1"/>
  <c r="G349" i="1"/>
  <c r="L348" i="1"/>
  <c r="K348" i="1"/>
  <c r="S348" i="1" s="1"/>
  <c r="J348" i="1"/>
  <c r="I348" i="1"/>
  <c r="H348" i="1"/>
  <c r="G348" i="1"/>
  <c r="L347" i="1"/>
  <c r="K347" i="1"/>
  <c r="S347" i="1" s="1"/>
  <c r="J347" i="1"/>
  <c r="I347" i="1"/>
  <c r="H347" i="1"/>
  <c r="G347" i="1"/>
  <c r="L346" i="1"/>
  <c r="K346" i="1"/>
  <c r="S346" i="1" s="1"/>
  <c r="J346" i="1"/>
  <c r="I346" i="1"/>
  <c r="H346" i="1"/>
  <c r="G346" i="1"/>
  <c r="L345" i="1"/>
  <c r="K345" i="1"/>
  <c r="S345" i="1" s="1"/>
  <c r="J345" i="1"/>
  <c r="I345" i="1"/>
  <c r="H345" i="1"/>
  <c r="G345" i="1"/>
  <c r="L344" i="1"/>
  <c r="K344" i="1"/>
  <c r="S344" i="1" s="1"/>
  <c r="J344" i="1"/>
  <c r="I344" i="1"/>
  <c r="H344" i="1"/>
  <c r="G344" i="1"/>
  <c r="L341" i="1"/>
  <c r="K341" i="1"/>
  <c r="S341" i="1" s="1"/>
  <c r="J341" i="1"/>
  <c r="I341" i="1"/>
  <c r="H341" i="1"/>
  <c r="G341" i="1"/>
  <c r="L339" i="1"/>
  <c r="K339" i="1"/>
  <c r="S339" i="1" s="1"/>
  <c r="J339" i="1"/>
  <c r="I339" i="1"/>
  <c r="H339" i="1"/>
  <c r="G339" i="1"/>
  <c r="L336" i="1"/>
  <c r="K336" i="1"/>
  <c r="S336" i="1" s="1"/>
  <c r="J336" i="1"/>
  <c r="I336" i="1"/>
  <c r="H336" i="1"/>
  <c r="G336" i="1"/>
  <c r="L334" i="1"/>
  <c r="K334" i="1"/>
  <c r="S334" i="1" s="1"/>
  <c r="J334" i="1"/>
  <c r="I334" i="1"/>
  <c r="H334" i="1"/>
  <c r="G334" i="1"/>
  <c r="L328" i="1"/>
  <c r="K328" i="1"/>
  <c r="S328" i="1" s="1"/>
  <c r="J328" i="1"/>
  <c r="I328" i="1"/>
  <c r="H328" i="1"/>
  <c r="G328" i="1"/>
  <c r="L321" i="1"/>
  <c r="K321" i="1"/>
  <c r="S321" i="1" s="1"/>
  <c r="J321" i="1"/>
  <c r="I321" i="1"/>
  <c r="H321" i="1"/>
  <c r="G321" i="1"/>
  <c r="L327" i="1"/>
  <c r="K327" i="1"/>
  <c r="S327" i="1" s="1"/>
  <c r="J327" i="1"/>
  <c r="I327" i="1"/>
  <c r="H327" i="1"/>
  <c r="G327" i="1"/>
  <c r="L343" i="1"/>
  <c r="K343" i="1"/>
  <c r="S343" i="1" s="1"/>
  <c r="J343" i="1"/>
  <c r="I343" i="1"/>
  <c r="H343" i="1"/>
  <c r="G343" i="1"/>
  <c r="L342" i="1"/>
  <c r="K342" i="1"/>
  <c r="S342" i="1" s="1"/>
  <c r="J342" i="1"/>
  <c r="I342" i="1"/>
  <c r="H342" i="1"/>
  <c r="G342" i="1"/>
  <c r="L340" i="1"/>
  <c r="K340" i="1"/>
  <c r="S340" i="1" s="1"/>
  <c r="J340" i="1"/>
  <c r="I340" i="1"/>
  <c r="H340" i="1"/>
  <c r="G340" i="1"/>
  <c r="L338" i="1"/>
  <c r="K338" i="1"/>
  <c r="S338" i="1" s="1"/>
  <c r="J338" i="1"/>
  <c r="I338" i="1"/>
  <c r="H338" i="1"/>
  <c r="G338" i="1"/>
  <c r="L337" i="1"/>
  <c r="K337" i="1"/>
  <c r="S337" i="1" s="1"/>
  <c r="J337" i="1"/>
  <c r="I337" i="1"/>
  <c r="H337" i="1"/>
  <c r="G337" i="1"/>
  <c r="L335" i="1"/>
  <c r="K335" i="1"/>
  <c r="S335" i="1" s="1"/>
  <c r="J335" i="1"/>
  <c r="I335" i="1"/>
  <c r="H335" i="1"/>
  <c r="G335" i="1"/>
  <c r="L333" i="1"/>
  <c r="K333" i="1"/>
  <c r="S333" i="1" s="1"/>
  <c r="J333" i="1"/>
  <c r="I333" i="1"/>
  <c r="H333" i="1"/>
  <c r="G333" i="1"/>
  <c r="L332" i="1"/>
  <c r="K332" i="1"/>
  <c r="S332" i="1" s="1"/>
  <c r="J332" i="1"/>
  <c r="I332" i="1"/>
  <c r="H332" i="1"/>
  <c r="G332" i="1"/>
  <c r="L331" i="1"/>
  <c r="K331" i="1"/>
  <c r="S331" i="1" s="1"/>
  <c r="J331" i="1"/>
  <c r="I331" i="1"/>
  <c r="H331" i="1"/>
  <c r="G331" i="1"/>
  <c r="L330" i="1"/>
  <c r="K330" i="1"/>
  <c r="S330" i="1" s="1"/>
  <c r="J330" i="1"/>
  <c r="I330" i="1"/>
  <c r="H330" i="1"/>
  <c r="G330" i="1"/>
  <c r="L329" i="1"/>
  <c r="K329" i="1"/>
  <c r="S329" i="1" s="1"/>
  <c r="J329" i="1"/>
  <c r="I329" i="1"/>
  <c r="H329" i="1"/>
  <c r="G329" i="1"/>
  <c r="L326" i="1"/>
  <c r="K326" i="1"/>
  <c r="S326" i="1" s="1"/>
  <c r="J326" i="1"/>
  <c r="I326" i="1"/>
  <c r="H326" i="1"/>
  <c r="G326" i="1"/>
  <c r="L325" i="1"/>
  <c r="K325" i="1"/>
  <c r="S325" i="1" s="1"/>
  <c r="J325" i="1"/>
  <c r="I325" i="1"/>
  <c r="H325" i="1"/>
  <c r="G325" i="1"/>
  <c r="L324" i="1"/>
  <c r="K324" i="1"/>
  <c r="S324" i="1" s="1"/>
  <c r="J324" i="1"/>
  <c r="I324" i="1"/>
  <c r="H324" i="1"/>
  <c r="G324" i="1"/>
  <c r="L323" i="1"/>
  <c r="K323" i="1"/>
  <c r="S323" i="1" s="1"/>
  <c r="J323" i="1"/>
  <c r="I323" i="1"/>
  <c r="H323" i="1"/>
  <c r="G323" i="1"/>
  <c r="L322" i="1"/>
  <c r="K322" i="1"/>
  <c r="S322" i="1" s="1"/>
  <c r="J322" i="1"/>
  <c r="I322" i="1"/>
  <c r="H322" i="1"/>
  <c r="G322" i="1"/>
  <c r="L319" i="1"/>
  <c r="K319" i="1"/>
  <c r="S319" i="1" s="1"/>
  <c r="J319" i="1"/>
  <c r="I319" i="1"/>
  <c r="H319" i="1"/>
  <c r="G319" i="1"/>
  <c r="L318" i="1"/>
  <c r="K318" i="1"/>
  <c r="S318" i="1" s="1"/>
  <c r="J318" i="1"/>
  <c r="I318" i="1"/>
  <c r="H318" i="1"/>
  <c r="G318" i="1"/>
  <c r="L317" i="1"/>
  <c r="K317" i="1"/>
  <c r="S317" i="1" s="1"/>
  <c r="J317" i="1"/>
  <c r="I317" i="1"/>
  <c r="H317" i="1"/>
  <c r="G317" i="1"/>
  <c r="L316" i="1"/>
  <c r="K316" i="1"/>
  <c r="S316" i="1" s="1"/>
  <c r="J316" i="1"/>
  <c r="I316" i="1"/>
  <c r="H316" i="1"/>
  <c r="G316" i="1"/>
  <c r="L315" i="1"/>
  <c r="K315" i="1"/>
  <c r="S315" i="1" s="1"/>
  <c r="J315" i="1"/>
  <c r="I315" i="1"/>
  <c r="H315" i="1"/>
  <c r="G315" i="1"/>
  <c r="L314" i="1"/>
  <c r="S314" i="1"/>
  <c r="H314" i="1"/>
  <c r="G314" i="1"/>
  <c r="L312" i="1"/>
  <c r="K312" i="1"/>
  <c r="S312" i="1" s="1"/>
  <c r="J312" i="1"/>
  <c r="I312" i="1"/>
  <c r="H312" i="1"/>
  <c r="G312" i="1"/>
  <c r="L311" i="1"/>
  <c r="K311" i="1"/>
  <c r="S311" i="1" s="1"/>
  <c r="J311" i="1"/>
  <c r="I311" i="1"/>
  <c r="H311" i="1"/>
  <c r="G311" i="1"/>
  <c r="L310" i="1"/>
  <c r="K310" i="1"/>
  <c r="S310" i="1" s="1"/>
  <c r="J310" i="1"/>
  <c r="I310" i="1"/>
  <c r="H310" i="1"/>
  <c r="G310" i="1"/>
  <c r="L309" i="1"/>
  <c r="K309" i="1"/>
  <c r="S309" i="1" s="1"/>
  <c r="J309" i="1"/>
  <c r="I309" i="1"/>
  <c r="H309" i="1"/>
  <c r="G309" i="1"/>
  <c r="L308" i="1"/>
  <c r="K308" i="1"/>
  <c r="S308" i="1" s="1"/>
  <c r="J308" i="1"/>
  <c r="I308" i="1"/>
  <c r="H308" i="1"/>
  <c r="G308" i="1"/>
  <c r="L307" i="1"/>
  <c r="K307" i="1"/>
  <c r="S307" i="1" s="1"/>
  <c r="J307" i="1"/>
  <c r="I307" i="1"/>
  <c r="H307" i="1"/>
  <c r="G307" i="1"/>
  <c r="L306" i="1"/>
  <c r="K306" i="1"/>
  <c r="S306" i="1" s="1"/>
  <c r="J306" i="1"/>
  <c r="I306" i="1"/>
  <c r="H306" i="1"/>
  <c r="G306" i="1"/>
  <c r="L305" i="1"/>
  <c r="K305" i="1"/>
  <c r="S305" i="1" s="1"/>
  <c r="J305" i="1"/>
  <c r="I305" i="1"/>
  <c r="H305" i="1"/>
  <c r="G305" i="1"/>
  <c r="L304" i="1"/>
  <c r="K304" i="1"/>
  <c r="S304" i="1" s="1"/>
  <c r="J304" i="1"/>
  <c r="I304" i="1"/>
  <c r="H304" i="1"/>
  <c r="G304" i="1"/>
  <c r="L303" i="1"/>
  <c r="K303" i="1"/>
  <c r="S303" i="1" s="1"/>
  <c r="J303" i="1"/>
  <c r="I303" i="1"/>
  <c r="H303" i="1"/>
  <c r="G303" i="1"/>
  <c r="L302" i="1"/>
  <c r="K302" i="1"/>
  <c r="S302" i="1" s="1"/>
  <c r="J302" i="1"/>
  <c r="I302" i="1"/>
  <c r="H302" i="1"/>
  <c r="G302" i="1"/>
  <c r="L301" i="1"/>
  <c r="S301" i="1"/>
  <c r="H301" i="1"/>
  <c r="G301" i="1"/>
  <c r="L299" i="1"/>
  <c r="K299" i="1"/>
  <c r="S299" i="1" s="1"/>
  <c r="J299" i="1"/>
  <c r="I299" i="1"/>
  <c r="H299" i="1"/>
  <c r="G299" i="1"/>
  <c r="L298" i="1"/>
  <c r="K298" i="1"/>
  <c r="S298" i="1" s="1"/>
  <c r="J298" i="1"/>
  <c r="I298" i="1"/>
  <c r="H298" i="1"/>
  <c r="G298" i="1"/>
  <c r="L297" i="1"/>
  <c r="K297" i="1"/>
  <c r="S297" i="1" s="1"/>
  <c r="J297" i="1"/>
  <c r="I297" i="1"/>
  <c r="H297" i="1"/>
  <c r="G297" i="1"/>
  <c r="L296" i="1"/>
  <c r="K296" i="1"/>
  <c r="S296" i="1" s="1"/>
  <c r="J296" i="1"/>
  <c r="I296" i="1"/>
  <c r="H296" i="1"/>
  <c r="G296" i="1"/>
  <c r="L295" i="1"/>
  <c r="K295" i="1"/>
  <c r="S295" i="1" s="1"/>
  <c r="J295" i="1"/>
  <c r="I295" i="1"/>
  <c r="H295" i="1"/>
  <c r="G295" i="1"/>
  <c r="L294" i="1"/>
  <c r="K294" i="1"/>
  <c r="S294" i="1" s="1"/>
  <c r="J294" i="1"/>
  <c r="I294" i="1"/>
  <c r="H294" i="1"/>
  <c r="G294" i="1"/>
  <c r="L293" i="1"/>
  <c r="K293" i="1"/>
  <c r="S293" i="1" s="1"/>
  <c r="J293" i="1"/>
  <c r="I293" i="1"/>
  <c r="H293" i="1"/>
  <c r="G293" i="1"/>
  <c r="L292" i="1"/>
  <c r="K292" i="1"/>
  <c r="S292" i="1" s="1"/>
  <c r="J292" i="1"/>
  <c r="I292" i="1"/>
  <c r="H292" i="1"/>
  <c r="G292" i="1"/>
  <c r="L291" i="1"/>
  <c r="K291" i="1"/>
  <c r="S291" i="1" s="1"/>
  <c r="J291" i="1"/>
  <c r="I291" i="1"/>
  <c r="H291" i="1"/>
  <c r="G291" i="1"/>
  <c r="L290" i="1"/>
  <c r="K290" i="1"/>
  <c r="S290" i="1" s="1"/>
  <c r="J290" i="1"/>
  <c r="I290" i="1"/>
  <c r="H290" i="1"/>
  <c r="G290" i="1"/>
  <c r="L289" i="1"/>
  <c r="K289" i="1"/>
  <c r="S289" i="1" s="1"/>
  <c r="J289" i="1"/>
  <c r="I289" i="1"/>
  <c r="H289" i="1"/>
  <c r="G289" i="1"/>
  <c r="L288" i="1"/>
  <c r="K288" i="1"/>
  <c r="S288" i="1" s="1"/>
  <c r="J288" i="1"/>
  <c r="I288" i="1"/>
  <c r="H288" i="1"/>
  <c r="G288" i="1"/>
  <c r="L287" i="1"/>
  <c r="K287" i="1"/>
  <c r="S287" i="1" s="1"/>
  <c r="J287" i="1"/>
  <c r="I287" i="1"/>
  <c r="H287" i="1"/>
  <c r="G287" i="1"/>
  <c r="L286" i="1"/>
  <c r="K286" i="1"/>
  <c r="S286" i="1" s="1"/>
  <c r="J286" i="1"/>
  <c r="I286" i="1"/>
  <c r="H286" i="1"/>
  <c r="G286" i="1"/>
  <c r="L285" i="1"/>
  <c r="K285" i="1"/>
  <c r="S285" i="1" s="1"/>
  <c r="J285" i="1"/>
  <c r="I285" i="1"/>
  <c r="H285" i="1"/>
  <c r="G285" i="1"/>
  <c r="L284" i="1"/>
  <c r="K284" i="1"/>
  <c r="S284" i="1" s="1"/>
  <c r="J284" i="1"/>
  <c r="I284" i="1"/>
  <c r="H284" i="1"/>
  <c r="G284" i="1"/>
  <c r="L283" i="1"/>
  <c r="K283" i="1"/>
  <c r="S283" i="1" s="1"/>
  <c r="J283" i="1"/>
  <c r="I283" i="1"/>
  <c r="H283" i="1"/>
  <c r="G283" i="1"/>
  <c r="L282" i="1"/>
  <c r="S282" i="1"/>
  <c r="H282" i="1"/>
  <c r="G282" i="1"/>
  <c r="L280" i="1"/>
  <c r="K280" i="1"/>
  <c r="S280" i="1" s="1"/>
  <c r="J280" i="1"/>
  <c r="I280" i="1"/>
  <c r="H280" i="1"/>
  <c r="G280" i="1"/>
  <c r="L279" i="1"/>
  <c r="K279" i="1"/>
  <c r="S279" i="1" s="1"/>
  <c r="J279" i="1"/>
  <c r="I279" i="1"/>
  <c r="H279" i="1"/>
  <c r="G279" i="1"/>
  <c r="L278" i="1"/>
  <c r="K278" i="1"/>
  <c r="S278" i="1" s="1"/>
  <c r="J278" i="1"/>
  <c r="I278" i="1"/>
  <c r="H278" i="1"/>
  <c r="G278" i="1"/>
  <c r="L277" i="1"/>
  <c r="K277" i="1"/>
  <c r="S277" i="1" s="1"/>
  <c r="J277" i="1"/>
  <c r="I277" i="1"/>
  <c r="H277" i="1"/>
  <c r="G277" i="1"/>
  <c r="L276" i="1"/>
  <c r="K276" i="1"/>
  <c r="S276" i="1" s="1"/>
  <c r="J276" i="1"/>
  <c r="I276" i="1"/>
  <c r="H276" i="1"/>
  <c r="G276" i="1"/>
  <c r="L275" i="1"/>
  <c r="K275" i="1"/>
  <c r="S275" i="1" s="1"/>
  <c r="J275" i="1"/>
  <c r="I275" i="1"/>
  <c r="H275" i="1"/>
  <c r="G275" i="1"/>
  <c r="L274" i="1"/>
  <c r="K274" i="1"/>
  <c r="S274" i="1" s="1"/>
  <c r="J274" i="1"/>
  <c r="I274" i="1"/>
  <c r="H274" i="1"/>
  <c r="G274" i="1"/>
  <c r="L273" i="1"/>
  <c r="K273" i="1"/>
  <c r="S273" i="1" s="1"/>
  <c r="J273" i="1"/>
  <c r="I273" i="1"/>
  <c r="H273" i="1"/>
  <c r="G273" i="1"/>
  <c r="L272" i="1"/>
  <c r="K272" i="1"/>
  <c r="S272" i="1" s="1"/>
  <c r="J272" i="1"/>
  <c r="I272" i="1"/>
  <c r="H272" i="1"/>
  <c r="G272" i="1"/>
  <c r="L271" i="1"/>
  <c r="K271" i="1"/>
  <c r="S271" i="1" s="1"/>
  <c r="J271" i="1"/>
  <c r="I271" i="1"/>
  <c r="H271" i="1"/>
  <c r="G271" i="1"/>
  <c r="L270" i="1"/>
  <c r="K270" i="1"/>
  <c r="S270" i="1" s="1"/>
  <c r="J270" i="1"/>
  <c r="I270" i="1"/>
  <c r="H270" i="1"/>
  <c r="G270" i="1"/>
  <c r="L269" i="1"/>
  <c r="K269" i="1"/>
  <c r="S269" i="1" s="1"/>
  <c r="J269" i="1"/>
  <c r="I269" i="1"/>
  <c r="H269" i="1"/>
  <c r="G269" i="1"/>
  <c r="L268" i="1"/>
  <c r="K268" i="1"/>
  <c r="S268" i="1" s="1"/>
  <c r="J268" i="1"/>
  <c r="I268" i="1"/>
  <c r="H268" i="1"/>
  <c r="G268" i="1"/>
  <c r="L267" i="1"/>
  <c r="K267" i="1"/>
  <c r="S267" i="1" s="1"/>
  <c r="J267" i="1"/>
  <c r="I267" i="1"/>
  <c r="H267" i="1"/>
  <c r="G267" i="1"/>
  <c r="L266" i="1"/>
  <c r="K266" i="1"/>
  <c r="S266" i="1" s="1"/>
  <c r="J266" i="1"/>
  <c r="I266" i="1"/>
  <c r="H266" i="1"/>
  <c r="G266" i="1"/>
  <c r="L265" i="1"/>
  <c r="K265" i="1"/>
  <c r="S265" i="1" s="1"/>
  <c r="J265" i="1"/>
  <c r="I265" i="1"/>
  <c r="H265" i="1"/>
  <c r="G265" i="1"/>
  <c r="L264" i="1"/>
  <c r="K264" i="1"/>
  <c r="S264" i="1" s="1"/>
  <c r="J264" i="1"/>
  <c r="I264" i="1"/>
  <c r="H264" i="1"/>
  <c r="G264" i="1"/>
  <c r="L263" i="1"/>
  <c r="K263" i="1"/>
  <c r="S263" i="1" s="1"/>
  <c r="J263" i="1"/>
  <c r="I263" i="1"/>
  <c r="H263" i="1"/>
  <c r="G263" i="1"/>
  <c r="L262" i="1"/>
  <c r="K262" i="1"/>
  <c r="S262" i="1" s="1"/>
  <c r="J262" i="1"/>
  <c r="I262" i="1"/>
  <c r="H262" i="1"/>
  <c r="G262" i="1"/>
  <c r="L261" i="1"/>
  <c r="K261" i="1"/>
  <c r="S261" i="1" s="1"/>
  <c r="J261" i="1"/>
  <c r="I261" i="1"/>
  <c r="H261" i="1"/>
  <c r="G261" i="1"/>
  <c r="L260" i="1"/>
  <c r="K260" i="1"/>
  <c r="S260" i="1" s="1"/>
  <c r="J260" i="1"/>
  <c r="I260" i="1"/>
  <c r="H260" i="1"/>
  <c r="G260" i="1"/>
  <c r="L259" i="1"/>
  <c r="K259" i="1"/>
  <c r="S259" i="1" s="1"/>
  <c r="J259" i="1"/>
  <c r="I259" i="1"/>
  <c r="H259" i="1"/>
  <c r="G259" i="1"/>
  <c r="L258" i="1"/>
  <c r="K258" i="1"/>
  <c r="S258" i="1" s="1"/>
  <c r="J258" i="1"/>
  <c r="I258" i="1"/>
  <c r="H258" i="1"/>
  <c r="G258" i="1"/>
  <c r="L257" i="1"/>
  <c r="K257" i="1"/>
  <c r="S257" i="1" s="1"/>
  <c r="J257" i="1"/>
  <c r="I257" i="1"/>
  <c r="H257" i="1"/>
  <c r="G257" i="1"/>
  <c r="L256" i="1"/>
  <c r="K256" i="1"/>
  <c r="S256" i="1" s="1"/>
  <c r="J256" i="1"/>
  <c r="I256" i="1"/>
  <c r="H256" i="1"/>
  <c r="G256" i="1"/>
  <c r="L255" i="1"/>
  <c r="K255" i="1"/>
  <c r="S255" i="1" s="1"/>
  <c r="J255" i="1"/>
  <c r="I255" i="1"/>
  <c r="H255" i="1"/>
  <c r="G255" i="1"/>
  <c r="L254" i="1"/>
  <c r="K254" i="1"/>
  <c r="S254" i="1" s="1"/>
  <c r="J254" i="1"/>
  <c r="I254" i="1"/>
  <c r="H254" i="1"/>
  <c r="G254" i="1"/>
  <c r="L253" i="1"/>
  <c r="K253" i="1"/>
  <c r="S253" i="1" s="1"/>
  <c r="J253" i="1"/>
  <c r="I253" i="1"/>
  <c r="H253" i="1"/>
  <c r="G253" i="1"/>
  <c r="L252" i="1"/>
  <c r="K252" i="1"/>
  <c r="S252" i="1" s="1"/>
  <c r="J252" i="1"/>
  <c r="I252" i="1"/>
  <c r="H252" i="1"/>
  <c r="G252" i="1"/>
  <c r="L251" i="1"/>
  <c r="K251" i="1"/>
  <c r="S251" i="1" s="1"/>
  <c r="J251" i="1"/>
  <c r="I251" i="1"/>
  <c r="H251" i="1"/>
  <c r="G251" i="1"/>
  <c r="L250" i="1"/>
  <c r="K250" i="1"/>
  <c r="S250" i="1" s="1"/>
  <c r="J250" i="1"/>
  <c r="I250" i="1"/>
  <c r="H250" i="1"/>
  <c r="G250" i="1"/>
  <c r="L249" i="1"/>
  <c r="K249" i="1"/>
  <c r="S249" i="1" s="1"/>
  <c r="J249" i="1"/>
  <c r="I249" i="1"/>
  <c r="H249" i="1"/>
  <c r="G249" i="1"/>
  <c r="L248" i="1"/>
  <c r="K248" i="1"/>
  <c r="S248" i="1" s="1"/>
  <c r="J248" i="1"/>
  <c r="I248" i="1"/>
  <c r="H248" i="1"/>
  <c r="G248" i="1"/>
  <c r="L247" i="1"/>
  <c r="K247" i="1"/>
  <c r="S247" i="1" s="1"/>
  <c r="J247" i="1"/>
  <c r="I247" i="1"/>
  <c r="H247" i="1"/>
  <c r="G247" i="1"/>
  <c r="L246" i="1"/>
  <c r="K246" i="1"/>
  <c r="S246" i="1" s="1"/>
  <c r="J246" i="1"/>
  <c r="I246" i="1"/>
  <c r="H246" i="1"/>
  <c r="G246" i="1"/>
  <c r="L245" i="1"/>
  <c r="K245" i="1"/>
  <c r="S245" i="1" s="1"/>
  <c r="J245" i="1"/>
  <c r="I245" i="1"/>
  <c r="H245" i="1"/>
  <c r="G245" i="1"/>
  <c r="L244" i="1"/>
  <c r="K244" i="1"/>
  <c r="S244" i="1" s="1"/>
  <c r="J244" i="1"/>
  <c r="I244" i="1"/>
  <c r="H244" i="1"/>
  <c r="G244" i="1"/>
  <c r="L243" i="1"/>
  <c r="K243" i="1"/>
  <c r="S243" i="1" s="1"/>
  <c r="J243" i="1"/>
  <c r="I243" i="1"/>
  <c r="H243" i="1"/>
  <c r="G243" i="1"/>
  <c r="L242" i="1"/>
  <c r="K242" i="1"/>
  <c r="S242" i="1" s="1"/>
  <c r="J242" i="1"/>
  <c r="I242" i="1"/>
  <c r="H242" i="1"/>
  <c r="G242" i="1"/>
  <c r="L241" i="1"/>
  <c r="K241" i="1"/>
  <c r="S241" i="1" s="1"/>
  <c r="J241" i="1"/>
  <c r="I241" i="1"/>
  <c r="H241" i="1"/>
  <c r="G241" i="1"/>
  <c r="L240" i="1"/>
  <c r="K240" i="1"/>
  <c r="S240" i="1" s="1"/>
  <c r="J240" i="1"/>
  <c r="I240" i="1"/>
  <c r="H240" i="1"/>
  <c r="G240" i="1"/>
  <c r="L239" i="1"/>
  <c r="K239" i="1"/>
  <c r="S239" i="1" s="1"/>
  <c r="J239" i="1"/>
  <c r="I239" i="1"/>
  <c r="H239" i="1"/>
  <c r="G239" i="1"/>
  <c r="L238" i="1"/>
  <c r="K238" i="1"/>
  <c r="S238" i="1" s="1"/>
  <c r="J238" i="1"/>
  <c r="I238" i="1"/>
  <c r="H238" i="1"/>
  <c r="G238" i="1"/>
  <c r="L237" i="1"/>
  <c r="K237" i="1"/>
  <c r="S237" i="1" s="1"/>
  <c r="J237" i="1"/>
  <c r="I237" i="1"/>
  <c r="H237" i="1"/>
  <c r="G237" i="1"/>
  <c r="L236" i="1"/>
  <c r="K236" i="1"/>
  <c r="S236" i="1" s="1"/>
  <c r="J236" i="1"/>
  <c r="I236" i="1"/>
  <c r="H236" i="1"/>
  <c r="G236" i="1"/>
  <c r="L235" i="1"/>
  <c r="K235" i="1"/>
  <c r="S235" i="1" s="1"/>
  <c r="J235" i="1"/>
  <c r="I235" i="1"/>
  <c r="H235" i="1"/>
  <c r="G235" i="1"/>
  <c r="L234" i="1"/>
  <c r="K234" i="1"/>
  <c r="S234" i="1" s="1"/>
  <c r="J234" i="1"/>
  <c r="I234" i="1"/>
  <c r="H234" i="1"/>
  <c r="G234" i="1"/>
  <c r="L233" i="1"/>
  <c r="K233" i="1"/>
  <c r="S233" i="1" s="1"/>
  <c r="J233" i="1"/>
  <c r="I233" i="1"/>
  <c r="H233" i="1"/>
  <c r="G233" i="1"/>
  <c r="L232" i="1"/>
  <c r="K232" i="1"/>
  <c r="S232" i="1" s="1"/>
  <c r="J232" i="1"/>
  <c r="I232" i="1"/>
  <c r="H232" i="1"/>
  <c r="G232" i="1"/>
  <c r="L231" i="1"/>
  <c r="K231" i="1"/>
  <c r="S231" i="1" s="1"/>
  <c r="J231" i="1"/>
  <c r="I231" i="1"/>
  <c r="H231" i="1"/>
  <c r="G231" i="1"/>
  <c r="L230" i="1"/>
  <c r="K230" i="1"/>
  <c r="S230" i="1" s="1"/>
  <c r="J230" i="1"/>
  <c r="I230" i="1"/>
  <c r="H230" i="1"/>
  <c r="G230" i="1"/>
  <c r="L229" i="1"/>
  <c r="K229" i="1"/>
  <c r="S229" i="1" s="1"/>
  <c r="J229" i="1"/>
  <c r="I229" i="1"/>
  <c r="H229" i="1"/>
  <c r="G229" i="1"/>
  <c r="L228" i="1"/>
  <c r="K228" i="1"/>
  <c r="S228" i="1" s="1"/>
  <c r="J228" i="1"/>
  <c r="I228" i="1"/>
  <c r="H228" i="1"/>
  <c r="G228" i="1"/>
  <c r="L227" i="1"/>
  <c r="K227" i="1"/>
  <c r="S227" i="1" s="1"/>
  <c r="J227" i="1"/>
  <c r="I227" i="1"/>
  <c r="H227" i="1"/>
  <c r="G227" i="1"/>
  <c r="L226" i="1"/>
  <c r="K226" i="1"/>
  <c r="S226" i="1" s="1"/>
  <c r="J226" i="1"/>
  <c r="I226" i="1"/>
  <c r="H226" i="1"/>
  <c r="G226" i="1"/>
  <c r="L225" i="1"/>
  <c r="K225" i="1"/>
  <c r="S225" i="1" s="1"/>
  <c r="J225" i="1"/>
  <c r="I225" i="1"/>
  <c r="H225" i="1"/>
  <c r="G225" i="1"/>
  <c r="L224" i="1"/>
  <c r="K224" i="1"/>
  <c r="S224" i="1" s="1"/>
  <c r="J224" i="1"/>
  <c r="I224" i="1"/>
  <c r="H224" i="1"/>
  <c r="G224" i="1"/>
  <c r="L223" i="1"/>
  <c r="K223" i="1"/>
  <c r="S223" i="1" s="1"/>
  <c r="J223" i="1"/>
  <c r="I223" i="1"/>
  <c r="H223" i="1"/>
  <c r="G223" i="1"/>
  <c r="L222" i="1"/>
  <c r="K222" i="1"/>
  <c r="S222" i="1" s="1"/>
  <c r="J222" i="1"/>
  <c r="I222" i="1"/>
  <c r="H222" i="1"/>
  <c r="G222" i="1"/>
  <c r="L221" i="1"/>
  <c r="K221" i="1"/>
  <c r="S221" i="1" s="1"/>
  <c r="J221" i="1"/>
  <c r="I221" i="1"/>
  <c r="H221" i="1"/>
  <c r="G221" i="1"/>
  <c r="L220" i="1"/>
  <c r="K220" i="1"/>
  <c r="S220" i="1" s="1"/>
  <c r="J220" i="1"/>
  <c r="I220" i="1"/>
  <c r="H220" i="1"/>
  <c r="G220" i="1"/>
  <c r="L219" i="1"/>
  <c r="K219" i="1"/>
  <c r="S219" i="1" s="1"/>
  <c r="J219" i="1"/>
  <c r="I219" i="1"/>
  <c r="H219" i="1"/>
  <c r="G219" i="1"/>
  <c r="L218" i="1"/>
  <c r="K218" i="1"/>
  <c r="S218" i="1" s="1"/>
  <c r="J218" i="1"/>
  <c r="I218" i="1"/>
  <c r="H218" i="1"/>
  <c r="G218" i="1"/>
  <c r="L217" i="1"/>
  <c r="K217" i="1"/>
  <c r="S217" i="1" s="1"/>
  <c r="J217" i="1"/>
  <c r="I217" i="1"/>
  <c r="H217" i="1"/>
  <c r="G217" i="1"/>
  <c r="L216" i="1"/>
  <c r="K216" i="1"/>
  <c r="S216" i="1" s="1"/>
  <c r="J216" i="1"/>
  <c r="I216" i="1"/>
  <c r="H216" i="1"/>
  <c r="G216" i="1"/>
  <c r="L215" i="1"/>
  <c r="K215" i="1"/>
  <c r="S215" i="1" s="1"/>
  <c r="J215" i="1"/>
  <c r="I215" i="1"/>
  <c r="H215" i="1"/>
  <c r="G215" i="1"/>
  <c r="L214" i="1"/>
  <c r="K214" i="1"/>
  <c r="S214" i="1" s="1"/>
  <c r="J214" i="1"/>
  <c r="I214" i="1"/>
  <c r="H214" i="1"/>
  <c r="G214" i="1"/>
  <c r="L213" i="1"/>
  <c r="K213" i="1"/>
  <c r="S213" i="1" s="1"/>
  <c r="J213" i="1"/>
  <c r="I213" i="1"/>
  <c r="H213" i="1"/>
  <c r="G213" i="1"/>
  <c r="L212" i="1"/>
  <c r="K212" i="1"/>
  <c r="S212" i="1" s="1"/>
  <c r="J212" i="1"/>
  <c r="I212" i="1"/>
  <c r="H212" i="1"/>
  <c r="G212" i="1"/>
  <c r="L211" i="1"/>
  <c r="K211" i="1"/>
  <c r="S211" i="1" s="1"/>
  <c r="J211" i="1"/>
  <c r="I211" i="1"/>
  <c r="H211" i="1"/>
  <c r="G211" i="1"/>
  <c r="L210" i="1"/>
  <c r="K210" i="1"/>
  <c r="S210" i="1" s="1"/>
  <c r="J210" i="1"/>
  <c r="I210" i="1"/>
  <c r="H210" i="1"/>
  <c r="G210" i="1"/>
  <c r="L209" i="1"/>
  <c r="K209" i="1"/>
  <c r="S209" i="1" s="1"/>
  <c r="J209" i="1"/>
  <c r="I209" i="1"/>
  <c r="H209" i="1"/>
  <c r="G209" i="1"/>
  <c r="L208" i="1"/>
  <c r="K208" i="1"/>
  <c r="S208" i="1" s="1"/>
  <c r="J208" i="1"/>
  <c r="I208" i="1"/>
  <c r="H208" i="1"/>
  <c r="G208" i="1"/>
  <c r="L207" i="1"/>
  <c r="K207" i="1"/>
  <c r="S207" i="1" s="1"/>
  <c r="J207" i="1"/>
  <c r="I207" i="1"/>
  <c r="H207" i="1"/>
  <c r="G207" i="1"/>
  <c r="L206" i="1"/>
  <c r="K206" i="1"/>
  <c r="S206" i="1" s="1"/>
  <c r="J206" i="1"/>
  <c r="I206" i="1"/>
  <c r="H206" i="1"/>
  <c r="G206" i="1"/>
  <c r="L205" i="1"/>
  <c r="S205" i="1"/>
  <c r="H205" i="1"/>
  <c r="G205" i="1"/>
  <c r="L203" i="1"/>
  <c r="K203" i="1"/>
  <c r="S203" i="1" s="1"/>
  <c r="J203" i="1"/>
  <c r="I203" i="1"/>
  <c r="H203" i="1"/>
  <c r="G203" i="1"/>
  <c r="L202" i="1"/>
  <c r="K202" i="1"/>
  <c r="S202" i="1" s="1"/>
  <c r="J202" i="1"/>
  <c r="I202" i="1"/>
  <c r="H202" i="1"/>
  <c r="G202" i="1"/>
  <c r="L201" i="1"/>
  <c r="K201" i="1"/>
  <c r="S201" i="1" s="1"/>
  <c r="J201" i="1"/>
  <c r="I201" i="1"/>
  <c r="H201" i="1"/>
  <c r="G201" i="1"/>
  <c r="L200" i="1"/>
  <c r="K200" i="1"/>
  <c r="S200" i="1" s="1"/>
  <c r="J200" i="1"/>
  <c r="I200" i="1"/>
  <c r="H200" i="1"/>
  <c r="G200" i="1"/>
  <c r="L199" i="1"/>
  <c r="K199" i="1"/>
  <c r="S199" i="1" s="1"/>
  <c r="J199" i="1"/>
  <c r="I199" i="1"/>
  <c r="H199" i="1"/>
  <c r="G199" i="1"/>
  <c r="L198" i="1"/>
  <c r="K198" i="1"/>
  <c r="S198" i="1" s="1"/>
  <c r="J198" i="1"/>
  <c r="I198" i="1"/>
  <c r="H198" i="1"/>
  <c r="G198" i="1"/>
  <c r="L197" i="1"/>
  <c r="K197" i="1"/>
  <c r="S197" i="1" s="1"/>
  <c r="J197" i="1"/>
  <c r="I197" i="1"/>
  <c r="H197" i="1"/>
  <c r="G197" i="1"/>
  <c r="L196" i="1"/>
  <c r="K196" i="1"/>
  <c r="S196" i="1" s="1"/>
  <c r="J196" i="1"/>
  <c r="I196" i="1"/>
  <c r="H196" i="1"/>
  <c r="G196" i="1"/>
  <c r="L195" i="1"/>
  <c r="K195" i="1"/>
  <c r="S195" i="1" s="1"/>
  <c r="J195" i="1"/>
  <c r="I195" i="1"/>
  <c r="H195" i="1"/>
  <c r="G195" i="1"/>
  <c r="L194" i="1"/>
  <c r="K194" i="1"/>
  <c r="S194" i="1" s="1"/>
  <c r="J194" i="1"/>
  <c r="I194" i="1"/>
  <c r="H194" i="1"/>
  <c r="G194" i="1"/>
  <c r="L193" i="1"/>
  <c r="K193" i="1"/>
  <c r="S193" i="1" s="1"/>
  <c r="J193" i="1"/>
  <c r="I193" i="1"/>
  <c r="H193" i="1"/>
  <c r="G193" i="1"/>
  <c r="L192" i="1"/>
  <c r="K192" i="1"/>
  <c r="S192" i="1" s="1"/>
  <c r="J192" i="1"/>
  <c r="I192" i="1"/>
  <c r="H192" i="1"/>
  <c r="G192" i="1"/>
  <c r="L191" i="1"/>
  <c r="K191" i="1"/>
  <c r="S191" i="1" s="1"/>
  <c r="J191" i="1"/>
  <c r="I191" i="1"/>
  <c r="H191" i="1"/>
  <c r="G191" i="1"/>
  <c r="L190" i="1"/>
  <c r="K190" i="1"/>
  <c r="S190" i="1" s="1"/>
  <c r="J190" i="1"/>
  <c r="I190" i="1"/>
  <c r="H190" i="1"/>
  <c r="G190" i="1"/>
  <c r="L189" i="1"/>
  <c r="K189" i="1"/>
  <c r="S189" i="1" s="1"/>
  <c r="J189" i="1"/>
  <c r="I189" i="1"/>
  <c r="H189" i="1"/>
  <c r="G189" i="1"/>
  <c r="L188" i="1"/>
  <c r="K188" i="1"/>
  <c r="S188" i="1" s="1"/>
  <c r="J188" i="1"/>
  <c r="I188" i="1"/>
  <c r="H188" i="1"/>
  <c r="G188" i="1"/>
  <c r="L187" i="1"/>
  <c r="S187" i="1"/>
  <c r="H187" i="1"/>
  <c r="G187" i="1"/>
  <c r="L185" i="1"/>
  <c r="K185" i="1"/>
  <c r="S185" i="1" s="1"/>
  <c r="J185" i="1"/>
  <c r="I185" i="1"/>
  <c r="H185" i="1"/>
  <c r="G185" i="1"/>
  <c r="L184" i="1"/>
  <c r="K184" i="1"/>
  <c r="S184" i="1" s="1"/>
  <c r="J184" i="1"/>
  <c r="I184" i="1"/>
  <c r="H184" i="1"/>
  <c r="G184" i="1"/>
  <c r="L183" i="1"/>
  <c r="K183" i="1"/>
  <c r="S183" i="1" s="1"/>
  <c r="J183" i="1"/>
  <c r="I183" i="1"/>
  <c r="H183" i="1"/>
  <c r="G183" i="1"/>
  <c r="L182" i="1"/>
  <c r="K182" i="1"/>
  <c r="S182" i="1" s="1"/>
  <c r="J182" i="1"/>
  <c r="I182" i="1"/>
  <c r="H182" i="1"/>
  <c r="G182" i="1"/>
  <c r="L181" i="1"/>
  <c r="K181" i="1"/>
  <c r="S181" i="1" s="1"/>
  <c r="J181" i="1"/>
  <c r="I181" i="1"/>
  <c r="H181" i="1"/>
  <c r="G181" i="1"/>
  <c r="L180" i="1"/>
  <c r="K180" i="1"/>
  <c r="S180" i="1" s="1"/>
  <c r="J180" i="1"/>
  <c r="I180" i="1"/>
  <c r="H180" i="1"/>
  <c r="G180" i="1"/>
  <c r="L179" i="1"/>
  <c r="K179" i="1"/>
  <c r="S179" i="1" s="1"/>
  <c r="J179" i="1"/>
  <c r="I179" i="1"/>
  <c r="H179" i="1"/>
  <c r="G179" i="1"/>
  <c r="L178" i="1"/>
  <c r="K178" i="1"/>
  <c r="S178" i="1" s="1"/>
  <c r="J178" i="1"/>
  <c r="I178" i="1"/>
  <c r="H178" i="1"/>
  <c r="G178" i="1"/>
  <c r="L177" i="1"/>
  <c r="K177" i="1"/>
  <c r="S177" i="1" s="1"/>
  <c r="J177" i="1"/>
  <c r="I177" i="1"/>
  <c r="H177" i="1"/>
  <c r="G177" i="1"/>
  <c r="L176" i="1"/>
  <c r="K176" i="1"/>
  <c r="S176" i="1" s="1"/>
  <c r="J176" i="1"/>
  <c r="I176" i="1"/>
  <c r="H176" i="1"/>
  <c r="G176" i="1"/>
  <c r="L175" i="1"/>
  <c r="K175" i="1"/>
  <c r="S175" i="1" s="1"/>
  <c r="J175" i="1"/>
  <c r="I175" i="1"/>
  <c r="H175" i="1"/>
  <c r="G175" i="1"/>
  <c r="L174" i="1"/>
  <c r="K174" i="1"/>
  <c r="S174" i="1" s="1"/>
  <c r="J174" i="1"/>
  <c r="I174" i="1"/>
  <c r="H174" i="1"/>
  <c r="G174" i="1"/>
  <c r="L173" i="1"/>
  <c r="K173" i="1"/>
  <c r="S173" i="1" s="1"/>
  <c r="J173" i="1"/>
  <c r="I173" i="1"/>
  <c r="H173" i="1"/>
  <c r="G173" i="1"/>
  <c r="L172" i="1"/>
  <c r="K172" i="1"/>
  <c r="S172" i="1" s="1"/>
  <c r="J172" i="1"/>
  <c r="I172" i="1"/>
  <c r="H172" i="1"/>
  <c r="G172" i="1"/>
  <c r="L171" i="1"/>
  <c r="K171" i="1"/>
  <c r="S171" i="1" s="1"/>
  <c r="J171" i="1"/>
  <c r="I171" i="1"/>
  <c r="H171" i="1"/>
  <c r="G171" i="1"/>
  <c r="L170" i="1"/>
  <c r="K170" i="1"/>
  <c r="S170" i="1" s="1"/>
  <c r="J170" i="1"/>
  <c r="I170" i="1"/>
  <c r="H170" i="1"/>
  <c r="G170" i="1"/>
  <c r="L169" i="1"/>
  <c r="K169" i="1"/>
  <c r="S169" i="1" s="1"/>
  <c r="J169" i="1"/>
  <c r="I169" i="1"/>
  <c r="H169" i="1"/>
  <c r="G169" i="1"/>
  <c r="L168" i="1"/>
  <c r="K168" i="1"/>
  <c r="S168" i="1" s="1"/>
  <c r="J168" i="1"/>
  <c r="I168" i="1"/>
  <c r="H168" i="1"/>
  <c r="G168" i="1"/>
  <c r="L167" i="1"/>
  <c r="K167" i="1"/>
  <c r="S167" i="1" s="1"/>
  <c r="J167" i="1"/>
  <c r="I167" i="1"/>
  <c r="H167" i="1"/>
  <c r="G167" i="1"/>
  <c r="L166" i="1"/>
  <c r="K166" i="1"/>
  <c r="S166" i="1" s="1"/>
  <c r="J166" i="1"/>
  <c r="I166" i="1"/>
  <c r="H166" i="1"/>
  <c r="G166" i="1"/>
  <c r="L165" i="1"/>
  <c r="K165" i="1"/>
  <c r="S165" i="1" s="1"/>
  <c r="J165" i="1"/>
  <c r="I165" i="1"/>
  <c r="H165" i="1"/>
  <c r="G165" i="1"/>
  <c r="L164" i="1"/>
  <c r="K164" i="1"/>
  <c r="S164" i="1" s="1"/>
  <c r="J164" i="1"/>
  <c r="I164" i="1"/>
  <c r="H164" i="1"/>
  <c r="G164" i="1"/>
  <c r="L163" i="1"/>
  <c r="K163" i="1"/>
  <c r="S163" i="1" s="1"/>
  <c r="J163" i="1"/>
  <c r="I163" i="1"/>
  <c r="H163" i="1"/>
  <c r="G163" i="1"/>
  <c r="L162" i="1"/>
  <c r="K162" i="1"/>
  <c r="S162" i="1" s="1"/>
  <c r="J162" i="1"/>
  <c r="I162" i="1"/>
  <c r="H162" i="1"/>
  <c r="G162" i="1"/>
  <c r="L161" i="1"/>
  <c r="K161" i="1"/>
  <c r="S161" i="1" s="1"/>
  <c r="J161" i="1"/>
  <c r="I161" i="1"/>
  <c r="H161" i="1"/>
  <c r="G161" i="1"/>
  <c r="L160" i="1"/>
  <c r="K160" i="1"/>
  <c r="S160" i="1" s="1"/>
  <c r="J160" i="1"/>
  <c r="I160" i="1"/>
  <c r="H160" i="1"/>
  <c r="G160" i="1"/>
  <c r="L159" i="1"/>
  <c r="K159" i="1"/>
  <c r="S159" i="1" s="1"/>
  <c r="J159" i="1"/>
  <c r="I159" i="1"/>
  <c r="H159" i="1"/>
  <c r="G159" i="1"/>
  <c r="L158" i="1"/>
  <c r="K158" i="1"/>
  <c r="S158" i="1" s="1"/>
  <c r="J158" i="1"/>
  <c r="I158" i="1"/>
  <c r="H158" i="1"/>
  <c r="G158" i="1"/>
  <c r="L157" i="1"/>
  <c r="K157" i="1"/>
  <c r="S157" i="1" s="1"/>
  <c r="J157" i="1"/>
  <c r="I157" i="1"/>
  <c r="H157" i="1"/>
  <c r="G157" i="1"/>
  <c r="L156" i="1"/>
  <c r="K156" i="1"/>
  <c r="S156" i="1" s="1"/>
  <c r="J156" i="1"/>
  <c r="I156" i="1"/>
  <c r="H156" i="1"/>
  <c r="G156" i="1"/>
  <c r="L155" i="1"/>
  <c r="K155" i="1"/>
  <c r="S155" i="1" s="1"/>
  <c r="J155" i="1"/>
  <c r="I155" i="1"/>
  <c r="H155" i="1"/>
  <c r="G155" i="1"/>
  <c r="L154" i="1"/>
  <c r="K154" i="1"/>
  <c r="S154" i="1" s="1"/>
  <c r="J154" i="1"/>
  <c r="I154" i="1"/>
  <c r="H154" i="1"/>
  <c r="G154" i="1"/>
  <c r="L153" i="1"/>
  <c r="K153" i="1"/>
  <c r="S153" i="1" s="1"/>
  <c r="J153" i="1"/>
  <c r="I153" i="1"/>
  <c r="H153" i="1"/>
  <c r="G153" i="1"/>
  <c r="L152" i="1"/>
  <c r="K152" i="1"/>
  <c r="S152" i="1" s="1"/>
  <c r="J152" i="1"/>
  <c r="I152" i="1"/>
  <c r="H152" i="1"/>
  <c r="G152" i="1"/>
  <c r="L151" i="1"/>
  <c r="K151" i="1"/>
  <c r="S151" i="1" s="1"/>
  <c r="J151" i="1"/>
  <c r="I151" i="1"/>
  <c r="H151" i="1"/>
  <c r="G151" i="1"/>
  <c r="L150" i="1"/>
  <c r="K150" i="1"/>
  <c r="S150" i="1" s="1"/>
  <c r="J150" i="1"/>
  <c r="I150" i="1"/>
  <c r="H150" i="1"/>
  <c r="G150" i="1"/>
  <c r="L149" i="1"/>
  <c r="K149" i="1"/>
  <c r="S149" i="1" s="1"/>
  <c r="J149" i="1"/>
  <c r="I149" i="1"/>
  <c r="H149" i="1"/>
  <c r="G149" i="1"/>
  <c r="L148" i="1"/>
  <c r="K148" i="1"/>
  <c r="S148" i="1" s="1"/>
  <c r="J148" i="1"/>
  <c r="I148" i="1"/>
  <c r="H148" i="1"/>
  <c r="G148" i="1"/>
  <c r="L147" i="1"/>
  <c r="K147" i="1"/>
  <c r="S147" i="1" s="1"/>
  <c r="J147" i="1"/>
  <c r="I147" i="1"/>
  <c r="H147" i="1"/>
  <c r="G147" i="1"/>
  <c r="L146" i="1"/>
  <c r="K146" i="1"/>
  <c r="S146" i="1" s="1"/>
  <c r="J146" i="1"/>
  <c r="I146" i="1"/>
  <c r="H146" i="1"/>
  <c r="G146" i="1"/>
  <c r="L145" i="1"/>
  <c r="K145" i="1"/>
  <c r="S145" i="1" s="1"/>
  <c r="J145" i="1"/>
  <c r="I145" i="1"/>
  <c r="H145" i="1"/>
  <c r="G145" i="1"/>
  <c r="L144" i="1"/>
  <c r="K144" i="1"/>
  <c r="S144" i="1" s="1"/>
  <c r="J144" i="1"/>
  <c r="I144" i="1"/>
  <c r="H144" i="1"/>
  <c r="G144" i="1"/>
  <c r="L143" i="1"/>
  <c r="K143" i="1"/>
  <c r="S143" i="1" s="1"/>
  <c r="J143" i="1"/>
  <c r="I143" i="1"/>
  <c r="H143" i="1"/>
  <c r="G143" i="1"/>
  <c r="L142" i="1"/>
  <c r="S142" i="1"/>
  <c r="H142" i="1"/>
  <c r="G142" i="1"/>
  <c r="L140" i="1"/>
  <c r="K140" i="1"/>
  <c r="S140" i="1" s="1"/>
  <c r="J140" i="1"/>
  <c r="I140" i="1"/>
  <c r="H140" i="1"/>
  <c r="G140" i="1"/>
  <c r="L139" i="1"/>
  <c r="K139" i="1"/>
  <c r="S139" i="1" s="1"/>
  <c r="J139" i="1"/>
  <c r="I139" i="1"/>
  <c r="H139" i="1"/>
  <c r="G139" i="1"/>
  <c r="L138" i="1"/>
  <c r="K138" i="1"/>
  <c r="S138" i="1" s="1"/>
  <c r="J138" i="1"/>
  <c r="I138" i="1"/>
  <c r="H138" i="1"/>
  <c r="G138" i="1"/>
  <c r="L137" i="1"/>
  <c r="K137" i="1"/>
  <c r="S137" i="1" s="1"/>
  <c r="J137" i="1"/>
  <c r="I137" i="1"/>
  <c r="H137" i="1"/>
  <c r="G137" i="1"/>
  <c r="L136" i="1"/>
  <c r="K136" i="1"/>
  <c r="S136" i="1" s="1"/>
  <c r="J136" i="1"/>
  <c r="I136" i="1"/>
  <c r="H136" i="1"/>
  <c r="G136" i="1"/>
  <c r="L135" i="1"/>
  <c r="K135" i="1"/>
  <c r="S135" i="1" s="1"/>
  <c r="J135" i="1"/>
  <c r="I135" i="1"/>
  <c r="H135" i="1"/>
  <c r="G135" i="1"/>
  <c r="L134" i="1"/>
  <c r="K134" i="1"/>
  <c r="S134" i="1" s="1"/>
  <c r="J134" i="1"/>
  <c r="I134" i="1"/>
  <c r="H134" i="1"/>
  <c r="G134" i="1"/>
  <c r="L133" i="1"/>
  <c r="K133" i="1"/>
  <c r="S133" i="1" s="1"/>
  <c r="J133" i="1"/>
  <c r="I133" i="1"/>
  <c r="H133" i="1"/>
  <c r="G133" i="1"/>
  <c r="L132" i="1"/>
  <c r="K132" i="1"/>
  <c r="S132" i="1" s="1"/>
  <c r="J132" i="1"/>
  <c r="I132" i="1"/>
  <c r="H132" i="1"/>
  <c r="G132" i="1"/>
  <c r="L131" i="1"/>
  <c r="K131" i="1"/>
  <c r="S131" i="1" s="1"/>
  <c r="J131" i="1"/>
  <c r="I131" i="1"/>
  <c r="H131" i="1"/>
  <c r="G131" i="1"/>
  <c r="L130" i="1"/>
  <c r="K130" i="1"/>
  <c r="S130" i="1" s="1"/>
  <c r="J130" i="1"/>
  <c r="I130" i="1"/>
  <c r="H130" i="1"/>
  <c r="G130" i="1"/>
  <c r="L129" i="1"/>
  <c r="K129" i="1"/>
  <c r="S129" i="1" s="1"/>
  <c r="J129" i="1"/>
  <c r="I129" i="1"/>
  <c r="H129" i="1"/>
  <c r="G129" i="1"/>
  <c r="L128" i="1"/>
  <c r="K128" i="1"/>
  <c r="S128" i="1" s="1"/>
  <c r="J128" i="1"/>
  <c r="I128" i="1"/>
  <c r="H128" i="1"/>
  <c r="G128" i="1"/>
  <c r="L127" i="1"/>
  <c r="K127" i="1"/>
  <c r="S127" i="1" s="1"/>
  <c r="J127" i="1"/>
  <c r="I127" i="1"/>
  <c r="H127" i="1"/>
  <c r="G127" i="1"/>
  <c r="L126" i="1"/>
  <c r="K126" i="1"/>
  <c r="S126" i="1" s="1"/>
  <c r="J126" i="1"/>
  <c r="I126" i="1"/>
  <c r="H126" i="1"/>
  <c r="G126" i="1"/>
  <c r="L125" i="1"/>
  <c r="K125" i="1"/>
  <c r="S125" i="1" s="1"/>
  <c r="J125" i="1"/>
  <c r="I125" i="1"/>
  <c r="H125" i="1"/>
  <c r="G125" i="1"/>
  <c r="L124" i="1"/>
  <c r="K124" i="1"/>
  <c r="S124" i="1" s="1"/>
  <c r="J124" i="1"/>
  <c r="I124" i="1"/>
  <c r="H124" i="1"/>
  <c r="G124" i="1"/>
  <c r="L123" i="1"/>
  <c r="K123" i="1"/>
  <c r="S123" i="1" s="1"/>
  <c r="J123" i="1"/>
  <c r="I123" i="1"/>
  <c r="H123" i="1"/>
  <c r="G123" i="1"/>
  <c r="L122" i="1"/>
  <c r="K122" i="1"/>
  <c r="S122" i="1" s="1"/>
  <c r="J122" i="1"/>
  <c r="I122" i="1"/>
  <c r="H122" i="1"/>
  <c r="G122" i="1"/>
  <c r="L121" i="1"/>
  <c r="K121" i="1"/>
  <c r="S121" i="1" s="1"/>
  <c r="J121" i="1"/>
  <c r="I121" i="1"/>
  <c r="H121" i="1"/>
  <c r="G121" i="1"/>
  <c r="L120" i="1"/>
  <c r="K120" i="1"/>
  <c r="S120" i="1" s="1"/>
  <c r="J120" i="1"/>
  <c r="I120" i="1"/>
  <c r="H120" i="1"/>
  <c r="G120" i="1"/>
  <c r="L119" i="1"/>
  <c r="K119" i="1"/>
  <c r="S119" i="1" s="1"/>
  <c r="J119" i="1"/>
  <c r="I119" i="1"/>
  <c r="H119" i="1"/>
  <c r="G119" i="1"/>
  <c r="L118" i="1"/>
  <c r="K118" i="1"/>
  <c r="S118" i="1" s="1"/>
  <c r="J118" i="1"/>
  <c r="I118" i="1"/>
  <c r="H118" i="1"/>
  <c r="G118" i="1"/>
  <c r="L117" i="1"/>
  <c r="K117" i="1"/>
  <c r="S117" i="1" s="1"/>
  <c r="J117" i="1"/>
  <c r="I117" i="1"/>
  <c r="H117" i="1"/>
  <c r="G117" i="1"/>
  <c r="L116" i="1"/>
  <c r="K116" i="1"/>
  <c r="S116" i="1" s="1"/>
  <c r="J116" i="1"/>
  <c r="I116" i="1"/>
  <c r="H116" i="1"/>
  <c r="G116" i="1"/>
  <c r="L115" i="1"/>
  <c r="K115" i="1"/>
  <c r="S115" i="1" s="1"/>
  <c r="J115" i="1"/>
  <c r="I115" i="1"/>
  <c r="H115" i="1"/>
  <c r="G115" i="1"/>
  <c r="L114" i="1"/>
  <c r="K114" i="1"/>
  <c r="S114" i="1" s="1"/>
  <c r="J114" i="1"/>
  <c r="I114" i="1"/>
  <c r="H114" i="1"/>
  <c r="G114" i="1"/>
  <c r="L113" i="1"/>
  <c r="K113" i="1"/>
  <c r="S113" i="1" s="1"/>
  <c r="J113" i="1"/>
  <c r="I113" i="1"/>
  <c r="H113" i="1"/>
  <c r="G113" i="1"/>
  <c r="L112" i="1"/>
  <c r="K112" i="1"/>
  <c r="S112" i="1" s="1"/>
  <c r="J112" i="1"/>
  <c r="I112" i="1"/>
  <c r="H112" i="1"/>
  <c r="G112" i="1"/>
  <c r="L111" i="1"/>
  <c r="K111" i="1"/>
  <c r="S111" i="1" s="1"/>
  <c r="J111" i="1"/>
  <c r="I111" i="1"/>
  <c r="H111" i="1"/>
  <c r="G111" i="1"/>
  <c r="L110" i="1"/>
  <c r="K110" i="1"/>
  <c r="S110" i="1" s="1"/>
  <c r="J110" i="1"/>
  <c r="I110" i="1"/>
  <c r="H110" i="1"/>
  <c r="G110" i="1"/>
  <c r="L109" i="1"/>
  <c r="K109" i="1"/>
  <c r="S109" i="1" s="1"/>
  <c r="J109" i="1"/>
  <c r="I109" i="1"/>
  <c r="H109" i="1"/>
  <c r="G109" i="1"/>
  <c r="L108" i="1"/>
  <c r="K108" i="1"/>
  <c r="S108" i="1" s="1"/>
  <c r="J108" i="1"/>
  <c r="I108" i="1"/>
  <c r="H108" i="1"/>
  <c r="G108" i="1"/>
  <c r="L107" i="1"/>
  <c r="K107" i="1"/>
  <c r="S107" i="1" s="1"/>
  <c r="J107" i="1"/>
  <c r="I107" i="1"/>
  <c r="H107" i="1"/>
  <c r="G107" i="1"/>
  <c r="L106" i="1"/>
  <c r="K106" i="1"/>
  <c r="S106" i="1" s="1"/>
  <c r="J106" i="1"/>
  <c r="I106" i="1"/>
  <c r="H106" i="1"/>
  <c r="G106" i="1"/>
  <c r="L105" i="1"/>
  <c r="K105" i="1"/>
  <c r="S105" i="1" s="1"/>
  <c r="J105" i="1"/>
  <c r="I105" i="1"/>
  <c r="H105" i="1"/>
  <c r="G105" i="1"/>
  <c r="L104" i="1"/>
  <c r="K104" i="1"/>
  <c r="S104" i="1" s="1"/>
  <c r="J104" i="1"/>
  <c r="I104" i="1"/>
  <c r="H104" i="1"/>
  <c r="G104" i="1"/>
  <c r="L103" i="1"/>
  <c r="K103" i="1"/>
  <c r="S103" i="1" s="1"/>
  <c r="J103" i="1"/>
  <c r="I103" i="1"/>
  <c r="H103" i="1"/>
  <c r="G103" i="1"/>
  <c r="L102" i="1"/>
  <c r="K102" i="1"/>
  <c r="S102" i="1" s="1"/>
  <c r="J102" i="1"/>
  <c r="I102" i="1"/>
  <c r="H102" i="1"/>
  <c r="G102" i="1"/>
  <c r="L101" i="1"/>
  <c r="K101" i="1"/>
  <c r="S101" i="1" s="1"/>
  <c r="J101" i="1"/>
  <c r="I101" i="1"/>
  <c r="H101" i="1"/>
  <c r="G101" i="1"/>
  <c r="L100" i="1"/>
  <c r="K100" i="1"/>
  <c r="S100" i="1" s="1"/>
  <c r="J100" i="1"/>
  <c r="I100" i="1"/>
  <c r="H100" i="1"/>
  <c r="G100" i="1"/>
  <c r="L99" i="1"/>
  <c r="K99" i="1"/>
  <c r="S99" i="1" s="1"/>
  <c r="J99" i="1"/>
  <c r="I99" i="1"/>
  <c r="H99" i="1"/>
  <c r="G99" i="1"/>
  <c r="L98" i="1"/>
  <c r="K98" i="1"/>
  <c r="S98" i="1" s="1"/>
  <c r="J98" i="1"/>
  <c r="I98" i="1"/>
  <c r="H98" i="1"/>
  <c r="G98" i="1"/>
  <c r="L97" i="1"/>
  <c r="K97" i="1"/>
  <c r="S97" i="1" s="1"/>
  <c r="J97" i="1"/>
  <c r="I97" i="1"/>
  <c r="H97" i="1"/>
  <c r="G97" i="1"/>
  <c r="L96" i="1"/>
  <c r="K96" i="1"/>
  <c r="S96" i="1" s="1"/>
  <c r="J96" i="1"/>
  <c r="I96" i="1"/>
  <c r="H96" i="1"/>
  <c r="G96" i="1"/>
  <c r="L95" i="1"/>
  <c r="K95" i="1"/>
  <c r="S95" i="1" s="1"/>
  <c r="J95" i="1"/>
  <c r="I95" i="1"/>
  <c r="H95" i="1"/>
  <c r="G95" i="1"/>
  <c r="L94" i="1"/>
  <c r="K94" i="1"/>
  <c r="S94" i="1" s="1"/>
  <c r="J94" i="1"/>
  <c r="I94" i="1"/>
  <c r="H94" i="1"/>
  <c r="G94" i="1"/>
  <c r="L93" i="1"/>
  <c r="K93" i="1"/>
  <c r="S93" i="1" s="1"/>
  <c r="J93" i="1"/>
  <c r="I93" i="1"/>
  <c r="H93" i="1"/>
  <c r="G93" i="1"/>
  <c r="L92" i="1"/>
  <c r="K92" i="1"/>
  <c r="S92" i="1" s="1"/>
  <c r="J92" i="1"/>
  <c r="I92" i="1"/>
  <c r="H92" i="1"/>
  <c r="G92" i="1"/>
  <c r="L91" i="1"/>
  <c r="K91" i="1"/>
  <c r="S91" i="1" s="1"/>
  <c r="J91" i="1"/>
  <c r="I91" i="1"/>
  <c r="H91" i="1"/>
  <c r="G91" i="1"/>
  <c r="L90" i="1"/>
  <c r="K90" i="1"/>
  <c r="S90" i="1" s="1"/>
  <c r="J90" i="1"/>
  <c r="I90" i="1"/>
  <c r="H90" i="1"/>
  <c r="G90" i="1"/>
  <c r="L89" i="1"/>
  <c r="K89" i="1"/>
  <c r="S89" i="1" s="1"/>
  <c r="J89" i="1"/>
  <c r="I89" i="1"/>
  <c r="H89" i="1"/>
  <c r="G89" i="1"/>
  <c r="L88" i="1"/>
  <c r="K88" i="1"/>
  <c r="S88" i="1" s="1"/>
  <c r="J88" i="1"/>
  <c r="I88" i="1"/>
  <c r="H88" i="1"/>
  <c r="G88" i="1"/>
  <c r="L87" i="1"/>
  <c r="K87" i="1"/>
  <c r="S87" i="1" s="1"/>
  <c r="J87" i="1"/>
  <c r="I87" i="1"/>
  <c r="H87" i="1"/>
  <c r="G87" i="1"/>
  <c r="L86" i="1"/>
  <c r="K86" i="1"/>
  <c r="S86" i="1" s="1"/>
  <c r="J86" i="1"/>
  <c r="I86" i="1"/>
  <c r="H86" i="1"/>
  <c r="G86" i="1"/>
  <c r="L85" i="1"/>
  <c r="K85" i="1"/>
  <c r="S85" i="1" s="1"/>
  <c r="J85" i="1"/>
  <c r="I85" i="1"/>
  <c r="H85" i="1"/>
  <c r="G85" i="1"/>
  <c r="L84" i="1"/>
  <c r="K84" i="1"/>
  <c r="S84" i="1" s="1"/>
  <c r="J84" i="1"/>
  <c r="I84" i="1"/>
  <c r="H84" i="1"/>
  <c r="G84" i="1"/>
  <c r="L83" i="1"/>
  <c r="K83" i="1"/>
  <c r="S83" i="1" s="1"/>
  <c r="J83" i="1"/>
  <c r="I83" i="1"/>
  <c r="H83" i="1"/>
  <c r="G83" i="1"/>
  <c r="L82" i="1"/>
  <c r="K82" i="1"/>
  <c r="S82" i="1" s="1"/>
  <c r="J82" i="1"/>
  <c r="I82" i="1"/>
  <c r="H82" i="1"/>
  <c r="G82" i="1"/>
  <c r="L81" i="1"/>
  <c r="K81" i="1"/>
  <c r="S81" i="1" s="1"/>
  <c r="J81" i="1"/>
  <c r="I81" i="1"/>
  <c r="H81" i="1"/>
  <c r="G81" i="1"/>
  <c r="L80" i="1"/>
  <c r="K80" i="1"/>
  <c r="S80" i="1" s="1"/>
  <c r="J80" i="1"/>
  <c r="I80" i="1"/>
  <c r="H80" i="1"/>
  <c r="G80" i="1"/>
  <c r="L79" i="1"/>
  <c r="K79" i="1"/>
  <c r="S79" i="1" s="1"/>
  <c r="J79" i="1"/>
  <c r="I79" i="1"/>
  <c r="H79" i="1"/>
  <c r="G79" i="1"/>
  <c r="L78" i="1"/>
  <c r="K78" i="1"/>
  <c r="S78" i="1" s="1"/>
  <c r="J78" i="1"/>
  <c r="I78" i="1"/>
  <c r="H78" i="1"/>
  <c r="G78" i="1"/>
  <c r="L77" i="1"/>
  <c r="K77" i="1"/>
  <c r="S77" i="1" s="1"/>
  <c r="J77" i="1"/>
  <c r="I77" i="1"/>
  <c r="H77" i="1"/>
  <c r="G77" i="1"/>
  <c r="L76" i="1"/>
  <c r="K76" i="1"/>
  <c r="S76" i="1" s="1"/>
  <c r="J76" i="1"/>
  <c r="I76" i="1"/>
  <c r="H76" i="1"/>
  <c r="G76" i="1"/>
  <c r="L75" i="1"/>
  <c r="K75" i="1"/>
  <c r="S75" i="1" s="1"/>
  <c r="J75" i="1"/>
  <c r="I75" i="1"/>
  <c r="H75" i="1"/>
  <c r="G75" i="1"/>
  <c r="L74" i="1"/>
  <c r="K74" i="1"/>
  <c r="S74" i="1" s="1"/>
  <c r="J74" i="1"/>
  <c r="I74" i="1"/>
  <c r="H74" i="1"/>
  <c r="G74" i="1"/>
  <c r="E1259" i="1"/>
  <c r="D1259" i="1"/>
  <c r="E1258" i="1"/>
  <c r="D1258" i="1"/>
  <c r="E1257" i="1"/>
  <c r="D1257" i="1"/>
  <c r="E1256" i="1"/>
  <c r="D1256" i="1"/>
  <c r="E1255" i="1"/>
  <c r="D1255" i="1"/>
  <c r="E1254" i="1"/>
  <c r="D1254" i="1"/>
  <c r="E1253" i="1"/>
  <c r="D1253" i="1"/>
  <c r="E1252" i="1"/>
  <c r="D1252" i="1"/>
  <c r="E1251" i="1"/>
  <c r="D1251" i="1"/>
  <c r="E1250" i="1"/>
  <c r="D1250" i="1"/>
  <c r="E1249" i="1"/>
  <c r="D1249" i="1"/>
  <c r="E1248" i="1"/>
  <c r="D1248" i="1"/>
  <c r="E1247" i="1"/>
  <c r="D1247" i="1"/>
  <c r="E1246" i="1"/>
  <c r="D1246" i="1"/>
  <c r="E1245" i="1"/>
  <c r="D1245" i="1"/>
  <c r="E1244" i="1"/>
  <c r="D1244" i="1"/>
  <c r="E1243" i="1"/>
  <c r="D1243" i="1"/>
  <c r="E1242" i="1"/>
  <c r="D1242" i="1"/>
  <c r="E1241" i="1"/>
  <c r="D1241" i="1"/>
  <c r="E1240" i="1"/>
  <c r="D1240" i="1"/>
  <c r="E1239" i="1"/>
  <c r="D1239" i="1"/>
  <c r="E1238" i="1"/>
  <c r="D1238" i="1"/>
  <c r="E1237" i="1"/>
  <c r="D1237" i="1"/>
  <c r="E1236" i="1"/>
  <c r="D1236" i="1"/>
  <c r="E1235" i="1"/>
  <c r="D1235" i="1"/>
  <c r="E1234" i="1"/>
  <c r="D1234" i="1"/>
  <c r="E1233" i="1"/>
  <c r="D1233" i="1"/>
  <c r="E1232" i="1"/>
  <c r="D1232" i="1"/>
  <c r="E1231" i="1"/>
  <c r="D1231" i="1"/>
  <c r="E1230" i="1"/>
  <c r="D1230" i="1"/>
  <c r="E1229" i="1"/>
  <c r="D1229" i="1"/>
  <c r="E1228" i="1"/>
  <c r="D1228" i="1"/>
  <c r="E1227" i="1"/>
  <c r="D1227" i="1"/>
  <c r="E1226" i="1"/>
  <c r="D1226" i="1"/>
  <c r="E1225" i="1"/>
  <c r="D1225" i="1"/>
  <c r="E1224" i="1"/>
  <c r="D1224" i="1"/>
  <c r="E1223" i="1"/>
  <c r="D1223" i="1"/>
  <c r="E1222" i="1"/>
  <c r="D1222" i="1"/>
  <c r="E1221" i="1"/>
  <c r="D1221" i="1"/>
  <c r="E1220" i="1"/>
  <c r="D1220" i="1"/>
  <c r="E1219" i="1"/>
  <c r="D1219" i="1"/>
  <c r="E1218" i="1"/>
  <c r="D1218" i="1"/>
  <c r="E1217" i="1"/>
  <c r="D1217" i="1"/>
  <c r="E1216" i="1"/>
  <c r="D1216" i="1"/>
  <c r="E1215" i="1"/>
  <c r="D1215" i="1"/>
  <c r="E1214" i="1"/>
  <c r="D1214" i="1"/>
  <c r="E1213" i="1"/>
  <c r="D1213" i="1"/>
  <c r="E1212" i="1"/>
  <c r="D1212" i="1"/>
  <c r="E1211" i="1"/>
  <c r="D1211" i="1"/>
  <c r="E1210" i="1"/>
  <c r="D1210" i="1"/>
  <c r="E1209" i="1"/>
  <c r="D1209" i="1"/>
  <c r="E1208" i="1"/>
  <c r="D1208" i="1"/>
  <c r="E1207" i="1"/>
  <c r="D1207" i="1"/>
  <c r="E1206" i="1"/>
  <c r="D1206" i="1"/>
  <c r="E1205" i="1"/>
  <c r="D1205" i="1"/>
  <c r="E1204" i="1"/>
  <c r="D1204" i="1"/>
  <c r="E1203" i="1"/>
  <c r="D1203" i="1"/>
  <c r="E1202" i="1"/>
  <c r="D1202" i="1"/>
  <c r="E1201" i="1"/>
  <c r="D1201" i="1"/>
  <c r="E1200" i="1"/>
  <c r="D1200" i="1"/>
  <c r="E1199" i="1"/>
  <c r="D1199" i="1"/>
  <c r="E1198" i="1"/>
  <c r="D1198" i="1"/>
  <c r="E1197" i="1"/>
  <c r="D1197" i="1"/>
  <c r="E1196" i="1"/>
  <c r="D1196" i="1"/>
  <c r="E1195" i="1"/>
  <c r="D1195" i="1"/>
  <c r="E1194" i="1"/>
  <c r="D1194" i="1"/>
  <c r="E1193" i="1"/>
  <c r="D1193" i="1"/>
  <c r="E1192" i="1"/>
  <c r="D1192" i="1"/>
  <c r="E1191" i="1"/>
  <c r="D1191" i="1"/>
  <c r="E1190" i="1"/>
  <c r="D1190" i="1"/>
  <c r="E1189" i="1"/>
  <c r="D1189" i="1"/>
  <c r="E1188" i="1"/>
  <c r="D1188" i="1"/>
  <c r="E1187" i="1"/>
  <c r="D1187" i="1"/>
  <c r="E1186" i="1"/>
  <c r="D1186" i="1"/>
  <c r="E1185" i="1"/>
  <c r="D1185" i="1"/>
  <c r="E1184" i="1"/>
  <c r="D1184" i="1"/>
  <c r="E1183" i="1"/>
  <c r="D1183" i="1"/>
  <c r="E1182" i="1"/>
  <c r="D1182" i="1"/>
  <c r="E1181" i="1"/>
  <c r="D1181" i="1"/>
  <c r="E1180" i="1"/>
  <c r="D1180" i="1"/>
  <c r="E1179" i="1"/>
  <c r="D1179" i="1"/>
  <c r="E1178" i="1"/>
  <c r="D1178" i="1"/>
  <c r="E1177" i="1"/>
  <c r="D1177" i="1"/>
  <c r="E1176" i="1"/>
  <c r="D1176" i="1"/>
  <c r="E1175" i="1"/>
  <c r="D1175" i="1"/>
  <c r="E1174" i="1"/>
  <c r="D1174" i="1"/>
  <c r="E1173" i="1"/>
  <c r="D1173" i="1"/>
  <c r="E1172" i="1"/>
  <c r="D1172" i="1"/>
  <c r="E1171" i="1"/>
  <c r="D1171" i="1"/>
  <c r="E1170" i="1"/>
  <c r="D1170" i="1"/>
  <c r="E1169" i="1"/>
  <c r="D1169" i="1"/>
  <c r="E1168" i="1"/>
  <c r="D1168" i="1"/>
  <c r="E1167" i="1"/>
  <c r="D1167" i="1"/>
  <c r="E1166" i="1"/>
  <c r="D1166" i="1"/>
  <c r="E1165" i="1"/>
  <c r="D1165" i="1"/>
  <c r="E1164" i="1"/>
  <c r="D1164" i="1"/>
  <c r="E1163" i="1"/>
  <c r="D1163" i="1"/>
  <c r="E1161" i="1"/>
  <c r="D1161" i="1"/>
  <c r="E1160" i="1"/>
  <c r="D1160" i="1"/>
  <c r="E1159" i="1"/>
  <c r="D1159" i="1"/>
  <c r="E1158" i="1"/>
  <c r="D1158" i="1"/>
  <c r="E1157" i="1"/>
  <c r="D1157" i="1"/>
  <c r="E1156" i="1"/>
  <c r="D1156" i="1"/>
  <c r="E1155" i="1"/>
  <c r="D1155" i="1"/>
  <c r="E1154" i="1"/>
  <c r="D1154" i="1"/>
  <c r="E1153" i="1"/>
  <c r="D1153" i="1"/>
  <c r="E1152" i="1"/>
  <c r="D1152" i="1"/>
  <c r="E1151" i="1"/>
  <c r="D1151" i="1"/>
  <c r="E1150" i="1"/>
  <c r="D1150" i="1"/>
  <c r="E1149" i="1"/>
  <c r="D1149" i="1"/>
  <c r="E1148" i="1"/>
  <c r="D1148" i="1"/>
  <c r="E1147" i="1"/>
  <c r="D1147" i="1"/>
  <c r="E1146" i="1"/>
  <c r="D1146" i="1"/>
  <c r="E1145" i="1"/>
  <c r="D1145" i="1"/>
  <c r="E1144" i="1"/>
  <c r="D1144" i="1"/>
  <c r="E1143" i="1"/>
  <c r="D1143" i="1"/>
  <c r="E1142" i="1"/>
  <c r="D1142" i="1"/>
  <c r="E1141" i="1"/>
  <c r="D1141" i="1"/>
  <c r="E1140" i="1"/>
  <c r="D1140" i="1"/>
  <c r="E1139" i="1"/>
  <c r="D1139" i="1"/>
  <c r="E1138" i="1"/>
  <c r="D1138" i="1"/>
  <c r="E1137" i="1"/>
  <c r="D1137" i="1"/>
  <c r="E1136" i="1"/>
  <c r="D1136" i="1"/>
  <c r="E1135" i="1"/>
  <c r="D1135" i="1"/>
  <c r="E1134" i="1"/>
  <c r="D1134" i="1"/>
  <c r="E1133" i="1"/>
  <c r="D1133" i="1"/>
  <c r="E1131" i="1"/>
  <c r="D1131" i="1"/>
  <c r="E1130" i="1"/>
  <c r="D1130" i="1"/>
  <c r="E1129" i="1"/>
  <c r="D1129" i="1"/>
  <c r="E1128" i="1"/>
  <c r="D1128" i="1"/>
  <c r="E1127" i="1"/>
  <c r="D1127" i="1"/>
  <c r="E1126" i="1"/>
  <c r="D1126" i="1"/>
  <c r="E1125" i="1"/>
  <c r="D1125" i="1"/>
  <c r="E1124" i="1"/>
  <c r="D1124" i="1"/>
  <c r="E1123" i="1"/>
  <c r="D1123" i="1"/>
  <c r="E1122" i="1"/>
  <c r="D1122" i="1"/>
  <c r="E1121" i="1"/>
  <c r="D1121" i="1"/>
  <c r="E1120" i="1"/>
  <c r="D1120" i="1"/>
  <c r="E1119" i="1"/>
  <c r="D1119" i="1"/>
  <c r="E1118" i="1"/>
  <c r="D1118" i="1"/>
  <c r="E1117" i="1"/>
  <c r="D1117" i="1"/>
  <c r="E1116" i="1"/>
  <c r="D1116" i="1"/>
  <c r="E1115" i="1"/>
  <c r="D1115" i="1"/>
  <c r="E1114" i="1"/>
  <c r="D1114" i="1"/>
  <c r="E1113" i="1"/>
  <c r="D1113" i="1"/>
  <c r="E1112" i="1"/>
  <c r="D1112" i="1"/>
  <c r="E1111" i="1"/>
  <c r="D1111" i="1"/>
  <c r="E1110" i="1"/>
  <c r="D1110" i="1"/>
  <c r="E1109" i="1"/>
  <c r="D1109" i="1"/>
  <c r="E1108" i="1"/>
  <c r="D1108" i="1"/>
  <c r="E1107" i="1"/>
  <c r="D1107" i="1"/>
  <c r="E1106" i="1"/>
  <c r="D1106" i="1"/>
  <c r="E1105" i="1"/>
  <c r="D1105" i="1"/>
  <c r="E1104" i="1"/>
  <c r="D1104" i="1"/>
  <c r="E1103" i="1"/>
  <c r="D1103" i="1"/>
  <c r="E1102" i="1"/>
  <c r="D1102" i="1"/>
  <c r="E1101" i="1"/>
  <c r="D1101" i="1"/>
  <c r="E1100" i="1"/>
  <c r="D1100" i="1"/>
  <c r="E1099" i="1"/>
  <c r="D1099" i="1"/>
  <c r="E1098" i="1"/>
  <c r="D1098" i="1"/>
  <c r="E1097" i="1"/>
  <c r="D1097" i="1"/>
  <c r="E1096" i="1"/>
  <c r="D1096" i="1"/>
  <c r="E1095" i="1"/>
  <c r="D1095" i="1"/>
  <c r="E1094" i="1"/>
  <c r="D1094" i="1"/>
  <c r="E1093" i="1"/>
  <c r="D1093" i="1"/>
  <c r="E1092" i="1"/>
  <c r="D1092" i="1"/>
  <c r="E1091" i="1"/>
  <c r="D1091" i="1"/>
  <c r="E1090" i="1"/>
  <c r="D1090" i="1"/>
  <c r="E1089" i="1"/>
  <c r="D1089" i="1"/>
  <c r="E1088" i="1"/>
  <c r="D1088" i="1"/>
  <c r="E1087" i="1"/>
  <c r="D1087" i="1"/>
  <c r="E1086" i="1"/>
  <c r="D1086" i="1"/>
  <c r="E1085" i="1"/>
  <c r="D1085" i="1"/>
  <c r="E1084" i="1"/>
  <c r="D1084" i="1"/>
  <c r="E1083" i="1"/>
  <c r="D1083" i="1"/>
  <c r="E1082" i="1"/>
  <c r="D1082" i="1"/>
  <c r="E1081" i="1"/>
  <c r="D1081" i="1"/>
  <c r="E1080" i="1"/>
  <c r="D1080" i="1"/>
  <c r="E1079" i="1"/>
  <c r="D1079" i="1"/>
  <c r="E1078" i="1"/>
  <c r="D1078" i="1"/>
  <c r="E1077" i="1"/>
  <c r="D1077" i="1"/>
  <c r="E1076" i="1"/>
  <c r="D1076" i="1"/>
  <c r="E1075" i="1"/>
  <c r="D1075" i="1"/>
  <c r="E1074" i="1"/>
  <c r="D1074" i="1"/>
  <c r="E1073" i="1"/>
  <c r="D1073" i="1"/>
  <c r="E1072" i="1"/>
  <c r="D1072" i="1"/>
  <c r="E1071" i="1"/>
  <c r="D1071" i="1"/>
  <c r="E1062" i="1"/>
  <c r="D1062" i="1"/>
  <c r="E1061" i="1"/>
  <c r="D1061" i="1"/>
  <c r="E1060" i="1"/>
  <c r="D1060" i="1"/>
  <c r="E1052" i="1"/>
  <c r="D1052" i="1"/>
  <c r="E1049" i="1"/>
  <c r="D1049" i="1"/>
  <c r="E1033" i="1"/>
  <c r="D1033" i="1"/>
  <c r="E1031" i="1"/>
  <c r="D1031" i="1"/>
  <c r="E1025" i="1"/>
  <c r="D1025" i="1"/>
  <c r="E1019" i="1"/>
  <c r="D1019" i="1"/>
  <c r="E1070" i="1"/>
  <c r="D1070" i="1"/>
  <c r="E1004" i="1"/>
  <c r="D1004" i="1"/>
  <c r="E1069" i="1"/>
  <c r="D1069" i="1"/>
  <c r="E1068" i="1"/>
  <c r="D1068" i="1"/>
  <c r="E1067" i="1"/>
  <c r="D1067" i="1"/>
  <c r="E1066" i="1"/>
  <c r="D1066" i="1"/>
  <c r="E1064" i="1"/>
  <c r="D1064" i="1"/>
  <c r="E1063" i="1"/>
  <c r="D1063" i="1"/>
  <c r="E1059" i="1"/>
  <c r="D1059" i="1"/>
  <c r="E1058" i="1"/>
  <c r="D1058" i="1"/>
  <c r="E1057" i="1"/>
  <c r="D1057" i="1"/>
  <c r="E1056" i="1"/>
  <c r="D1056" i="1"/>
  <c r="E1055" i="1"/>
  <c r="D1055" i="1"/>
  <c r="E1054" i="1"/>
  <c r="D1054" i="1"/>
  <c r="E1053" i="1"/>
  <c r="D1053" i="1"/>
  <c r="E1051" i="1"/>
  <c r="D1051" i="1"/>
  <c r="E1050" i="1"/>
  <c r="D1050" i="1"/>
  <c r="E1048" i="1"/>
  <c r="D1048" i="1"/>
  <c r="E1047" i="1"/>
  <c r="D1047" i="1"/>
  <c r="E1046" i="1"/>
  <c r="D1046" i="1"/>
  <c r="E1045" i="1"/>
  <c r="D1045" i="1"/>
  <c r="E1044" i="1"/>
  <c r="D1044" i="1"/>
  <c r="E1043" i="1"/>
  <c r="D1043" i="1"/>
  <c r="E1042" i="1"/>
  <c r="D1042" i="1"/>
  <c r="E1041" i="1"/>
  <c r="D1041" i="1"/>
  <c r="E1040" i="1"/>
  <c r="D1040" i="1"/>
  <c r="E1039" i="1"/>
  <c r="D1039" i="1"/>
  <c r="E1038" i="1"/>
  <c r="D1038" i="1"/>
  <c r="E1037" i="1"/>
  <c r="D1037" i="1"/>
  <c r="E1036" i="1"/>
  <c r="D1036" i="1"/>
  <c r="E1035" i="1"/>
  <c r="D1035" i="1"/>
  <c r="E1034" i="1"/>
  <c r="D1034" i="1"/>
  <c r="E1032" i="1"/>
  <c r="D1032" i="1"/>
  <c r="E1030" i="1"/>
  <c r="D1030" i="1"/>
  <c r="E1029" i="1"/>
  <c r="D1029" i="1"/>
  <c r="E1028" i="1"/>
  <c r="D1028" i="1"/>
  <c r="E1027" i="1"/>
  <c r="D1027" i="1"/>
  <c r="E1026" i="1"/>
  <c r="D1026" i="1"/>
  <c r="E1024" i="1"/>
  <c r="D1024" i="1"/>
  <c r="E1023" i="1"/>
  <c r="D1023" i="1"/>
  <c r="E1022" i="1"/>
  <c r="D1022" i="1"/>
  <c r="E1021" i="1"/>
  <c r="D1021" i="1"/>
  <c r="E1020" i="1"/>
  <c r="D1020" i="1"/>
  <c r="E1018" i="1"/>
  <c r="D1018" i="1"/>
  <c r="E1017" i="1"/>
  <c r="D1017" i="1"/>
  <c r="E1016" i="1"/>
  <c r="D1016" i="1"/>
  <c r="E1015" i="1"/>
  <c r="D1015" i="1"/>
  <c r="E1014" i="1"/>
  <c r="D1014" i="1"/>
  <c r="E1013" i="1"/>
  <c r="D1013" i="1"/>
  <c r="E1012" i="1"/>
  <c r="D1012" i="1"/>
  <c r="E1011" i="1"/>
  <c r="D1011" i="1"/>
  <c r="E1010" i="1"/>
  <c r="D1010" i="1"/>
  <c r="E1009" i="1"/>
  <c r="D1009" i="1"/>
  <c r="E1008" i="1"/>
  <c r="D1008" i="1"/>
  <c r="E1007" i="1"/>
  <c r="D1007" i="1"/>
  <c r="E1006" i="1"/>
  <c r="D1006" i="1"/>
  <c r="E1005" i="1"/>
  <c r="D1005" i="1"/>
  <c r="E1003" i="1"/>
  <c r="D1003" i="1"/>
  <c r="E1002" i="1"/>
  <c r="D1002" i="1"/>
  <c r="E1001" i="1"/>
  <c r="D1001" i="1"/>
  <c r="E1000" i="1"/>
  <c r="D1000" i="1"/>
  <c r="E999" i="1"/>
  <c r="D999" i="1"/>
  <c r="E998" i="1"/>
  <c r="D998" i="1"/>
  <c r="E997" i="1"/>
  <c r="D997" i="1"/>
  <c r="E996" i="1"/>
  <c r="D996" i="1"/>
  <c r="E995" i="1"/>
  <c r="D995" i="1"/>
  <c r="E994" i="1"/>
  <c r="D994" i="1"/>
  <c r="E993" i="1"/>
  <c r="D993" i="1"/>
  <c r="E992" i="1"/>
  <c r="D992" i="1"/>
  <c r="E991" i="1"/>
  <c r="D991" i="1"/>
  <c r="E990" i="1"/>
  <c r="D990" i="1"/>
  <c r="E989" i="1"/>
  <c r="D989" i="1"/>
  <c r="E988" i="1"/>
  <c r="D988" i="1"/>
  <c r="E987" i="1"/>
  <c r="D987" i="1"/>
  <c r="E985" i="1"/>
  <c r="D985" i="1"/>
  <c r="E986" i="1"/>
  <c r="D986" i="1"/>
  <c r="E984" i="1"/>
  <c r="D984" i="1"/>
  <c r="E983" i="1"/>
  <c r="D983" i="1"/>
  <c r="E982" i="1"/>
  <c r="D982" i="1"/>
  <c r="E981" i="1"/>
  <c r="D981" i="1"/>
  <c r="E980" i="1"/>
  <c r="D980" i="1"/>
  <c r="E979" i="1"/>
  <c r="D979" i="1"/>
  <c r="E978" i="1"/>
  <c r="D978" i="1"/>
  <c r="E977" i="1"/>
  <c r="D977" i="1"/>
  <c r="E976" i="1"/>
  <c r="D976" i="1"/>
  <c r="E975" i="1"/>
  <c r="D975" i="1"/>
  <c r="E974" i="1"/>
  <c r="D974" i="1"/>
  <c r="E973" i="1"/>
  <c r="D973" i="1"/>
  <c r="E972" i="1"/>
  <c r="D972" i="1"/>
  <c r="E971" i="1"/>
  <c r="D971" i="1"/>
  <c r="E970" i="1"/>
  <c r="D970" i="1"/>
  <c r="E969" i="1"/>
  <c r="D969" i="1"/>
  <c r="E968" i="1"/>
  <c r="D968" i="1"/>
  <c r="E967" i="1"/>
  <c r="D967" i="1"/>
  <c r="E966" i="1"/>
  <c r="D966" i="1"/>
  <c r="E965" i="1"/>
  <c r="D965" i="1"/>
  <c r="E964" i="1"/>
  <c r="D964" i="1"/>
  <c r="E963" i="1"/>
  <c r="D963" i="1"/>
  <c r="E962" i="1"/>
  <c r="D962" i="1"/>
  <c r="E961" i="1"/>
  <c r="D961" i="1"/>
  <c r="E960" i="1"/>
  <c r="D960" i="1"/>
  <c r="E959" i="1"/>
  <c r="D959" i="1"/>
  <c r="E958" i="1"/>
  <c r="D958" i="1"/>
  <c r="E957" i="1"/>
  <c r="D957" i="1"/>
  <c r="E956" i="1"/>
  <c r="D956" i="1"/>
  <c r="E955" i="1"/>
  <c r="D955" i="1"/>
  <c r="E954" i="1"/>
  <c r="D954" i="1"/>
  <c r="E953" i="1"/>
  <c r="D953" i="1"/>
  <c r="E952" i="1"/>
  <c r="D952" i="1"/>
  <c r="E951" i="1"/>
  <c r="D951" i="1"/>
  <c r="E950" i="1"/>
  <c r="D950" i="1"/>
  <c r="E949" i="1"/>
  <c r="D949" i="1"/>
  <c r="E948" i="1"/>
  <c r="D948" i="1"/>
  <c r="E947" i="1"/>
  <c r="D947" i="1"/>
  <c r="E946" i="1"/>
  <c r="D946" i="1"/>
  <c r="E945" i="1"/>
  <c r="D945" i="1"/>
  <c r="E944" i="1"/>
  <c r="D944" i="1"/>
  <c r="E943" i="1"/>
  <c r="D943" i="1"/>
  <c r="E942" i="1"/>
  <c r="D942" i="1"/>
  <c r="E941" i="1"/>
  <c r="D941" i="1"/>
  <c r="E940" i="1"/>
  <c r="D940" i="1"/>
  <c r="E939" i="1"/>
  <c r="D939" i="1"/>
  <c r="E938" i="1"/>
  <c r="D938" i="1"/>
  <c r="E937" i="1"/>
  <c r="D937" i="1"/>
  <c r="E936" i="1"/>
  <c r="D936" i="1"/>
  <c r="E935" i="1"/>
  <c r="D935" i="1"/>
  <c r="E934" i="1"/>
  <c r="D934" i="1"/>
  <c r="E933" i="1"/>
  <c r="D933" i="1"/>
  <c r="E932" i="1"/>
  <c r="D932" i="1"/>
  <c r="E931" i="1"/>
  <c r="D931" i="1"/>
  <c r="E930" i="1"/>
  <c r="D930" i="1"/>
  <c r="E929" i="1"/>
  <c r="D929" i="1"/>
  <c r="E928" i="1"/>
  <c r="D928" i="1"/>
  <c r="E927" i="1"/>
  <c r="D927" i="1"/>
  <c r="E926" i="1"/>
  <c r="D926" i="1"/>
  <c r="E925" i="1"/>
  <c r="D925" i="1"/>
  <c r="E924" i="1"/>
  <c r="D924" i="1"/>
  <c r="E923" i="1"/>
  <c r="D923" i="1"/>
  <c r="E922" i="1"/>
  <c r="D922" i="1"/>
  <c r="E921" i="1"/>
  <c r="D921" i="1"/>
  <c r="E920" i="1"/>
  <c r="D920" i="1"/>
  <c r="E919" i="1"/>
  <c r="D919" i="1"/>
  <c r="E918" i="1"/>
  <c r="D918" i="1"/>
  <c r="E917" i="1"/>
  <c r="D917" i="1"/>
  <c r="E916" i="1"/>
  <c r="D916" i="1"/>
  <c r="E915" i="1"/>
  <c r="D915" i="1"/>
  <c r="E914" i="1"/>
  <c r="D914" i="1"/>
  <c r="E913" i="1"/>
  <c r="D913" i="1"/>
  <c r="E912" i="1"/>
  <c r="D912" i="1"/>
  <c r="E911" i="1"/>
  <c r="D911" i="1"/>
  <c r="E910" i="1"/>
  <c r="D910" i="1"/>
  <c r="E909" i="1"/>
  <c r="D909" i="1"/>
  <c r="E908" i="1"/>
  <c r="D908" i="1"/>
  <c r="E907" i="1"/>
  <c r="D907" i="1"/>
  <c r="E906" i="1"/>
  <c r="D906" i="1"/>
  <c r="E905" i="1"/>
  <c r="D905" i="1"/>
  <c r="E904" i="1"/>
  <c r="D904" i="1"/>
  <c r="E903" i="1"/>
  <c r="D903" i="1"/>
  <c r="E902" i="1"/>
  <c r="D902" i="1"/>
  <c r="E901" i="1"/>
  <c r="D901" i="1"/>
  <c r="E900" i="1"/>
  <c r="D900" i="1"/>
  <c r="E899" i="1"/>
  <c r="D899" i="1"/>
  <c r="E898" i="1"/>
  <c r="D898" i="1"/>
  <c r="E897" i="1"/>
  <c r="D897" i="1"/>
  <c r="E896" i="1"/>
  <c r="D896" i="1"/>
  <c r="E895" i="1"/>
  <c r="D895" i="1"/>
  <c r="E894" i="1"/>
  <c r="D894" i="1"/>
  <c r="E893" i="1"/>
  <c r="D893" i="1"/>
  <c r="E892" i="1"/>
  <c r="D892" i="1"/>
  <c r="E891" i="1"/>
  <c r="D891" i="1"/>
  <c r="E890" i="1"/>
  <c r="D890" i="1"/>
  <c r="E889" i="1"/>
  <c r="D889" i="1"/>
  <c r="E888" i="1"/>
  <c r="D888" i="1"/>
  <c r="E887" i="1"/>
  <c r="D887" i="1"/>
  <c r="E886" i="1"/>
  <c r="D886" i="1"/>
  <c r="E885" i="1"/>
  <c r="D885" i="1"/>
  <c r="E884" i="1"/>
  <c r="D884" i="1"/>
  <c r="E883" i="1"/>
  <c r="D883" i="1"/>
  <c r="E882" i="1"/>
  <c r="D882" i="1"/>
  <c r="E881" i="1"/>
  <c r="D881" i="1"/>
  <c r="E880" i="1"/>
  <c r="D880" i="1"/>
  <c r="E879" i="1"/>
  <c r="D879" i="1"/>
  <c r="E878" i="1"/>
  <c r="D878" i="1"/>
  <c r="E877" i="1"/>
  <c r="D877" i="1"/>
  <c r="E876" i="1"/>
  <c r="D876" i="1"/>
  <c r="E875" i="1"/>
  <c r="D875" i="1"/>
  <c r="E874" i="1"/>
  <c r="D874" i="1"/>
  <c r="E873" i="1"/>
  <c r="D873" i="1"/>
  <c r="E872" i="1"/>
  <c r="D872" i="1"/>
  <c r="E871" i="1"/>
  <c r="D871" i="1"/>
  <c r="E870" i="1"/>
  <c r="D870" i="1"/>
  <c r="E869" i="1"/>
  <c r="D869" i="1"/>
  <c r="E868" i="1"/>
  <c r="D868" i="1"/>
  <c r="E867" i="1"/>
  <c r="D867" i="1"/>
  <c r="E866" i="1"/>
  <c r="D866" i="1"/>
  <c r="E865" i="1"/>
  <c r="D865" i="1"/>
  <c r="E864" i="1"/>
  <c r="D864" i="1"/>
  <c r="E863" i="1"/>
  <c r="D863" i="1"/>
  <c r="E862" i="1"/>
  <c r="D862" i="1"/>
  <c r="E861" i="1"/>
  <c r="D861" i="1"/>
  <c r="E860" i="1"/>
  <c r="D860" i="1"/>
  <c r="E859" i="1"/>
  <c r="D859" i="1"/>
  <c r="E858" i="1"/>
  <c r="D858" i="1"/>
  <c r="E857" i="1"/>
  <c r="D857" i="1"/>
  <c r="E856" i="1"/>
  <c r="D856" i="1"/>
  <c r="E855" i="1"/>
  <c r="D855" i="1"/>
  <c r="E854" i="1"/>
  <c r="D854" i="1"/>
  <c r="E853" i="1"/>
  <c r="D853" i="1"/>
  <c r="E852" i="1"/>
  <c r="D852" i="1"/>
  <c r="E851" i="1"/>
  <c r="D851" i="1"/>
  <c r="E850" i="1"/>
  <c r="D850" i="1"/>
  <c r="E849" i="1"/>
  <c r="D849" i="1"/>
  <c r="E848" i="1"/>
  <c r="D848" i="1"/>
  <c r="E847" i="1"/>
  <c r="D847" i="1"/>
  <c r="E846" i="1"/>
  <c r="D846" i="1"/>
  <c r="E845" i="1"/>
  <c r="D845" i="1"/>
  <c r="E844" i="1"/>
  <c r="D844" i="1"/>
  <c r="E843" i="1"/>
  <c r="D843" i="1"/>
  <c r="E842" i="1"/>
  <c r="D842" i="1"/>
  <c r="E841" i="1"/>
  <c r="D841" i="1"/>
  <c r="E840" i="1"/>
  <c r="D840" i="1"/>
  <c r="E839" i="1"/>
  <c r="D839" i="1"/>
  <c r="E838" i="1"/>
  <c r="D838" i="1"/>
  <c r="E837" i="1"/>
  <c r="D837" i="1"/>
  <c r="E836" i="1"/>
  <c r="D836" i="1"/>
  <c r="E835" i="1"/>
  <c r="D835" i="1"/>
  <c r="E834" i="1"/>
  <c r="D834" i="1"/>
  <c r="E833" i="1"/>
  <c r="D833" i="1"/>
  <c r="E832" i="1"/>
  <c r="D832" i="1"/>
  <c r="E831" i="1"/>
  <c r="D831" i="1"/>
  <c r="E830" i="1"/>
  <c r="D830" i="1"/>
  <c r="E829" i="1"/>
  <c r="D829" i="1"/>
  <c r="E828" i="1"/>
  <c r="D828" i="1"/>
  <c r="E827" i="1"/>
  <c r="D827" i="1"/>
  <c r="E826" i="1"/>
  <c r="D826" i="1"/>
  <c r="E825" i="1"/>
  <c r="D825" i="1"/>
  <c r="E824" i="1"/>
  <c r="D824" i="1"/>
  <c r="E823" i="1"/>
  <c r="D823" i="1"/>
  <c r="E822" i="1"/>
  <c r="D822" i="1"/>
  <c r="E821" i="1"/>
  <c r="D821" i="1"/>
  <c r="E820" i="1"/>
  <c r="D820" i="1"/>
  <c r="E819" i="1"/>
  <c r="D819" i="1"/>
  <c r="E818" i="1"/>
  <c r="D818" i="1"/>
  <c r="E817" i="1"/>
  <c r="D817" i="1"/>
  <c r="E816" i="1"/>
  <c r="D816" i="1"/>
  <c r="E815" i="1"/>
  <c r="D815" i="1"/>
  <c r="E814" i="1"/>
  <c r="D814" i="1"/>
  <c r="E813" i="1"/>
  <c r="D813" i="1"/>
  <c r="E812" i="1"/>
  <c r="D812" i="1"/>
  <c r="E811" i="1"/>
  <c r="D811" i="1"/>
  <c r="E810" i="1"/>
  <c r="D810" i="1"/>
  <c r="E809" i="1"/>
  <c r="D809" i="1"/>
  <c r="E808" i="1"/>
  <c r="D808" i="1"/>
  <c r="E807" i="1"/>
  <c r="D807" i="1"/>
  <c r="E806" i="1"/>
  <c r="D806" i="1"/>
  <c r="E805" i="1"/>
  <c r="D805" i="1"/>
  <c r="E804" i="1"/>
  <c r="D804" i="1"/>
  <c r="E803" i="1"/>
  <c r="D803" i="1"/>
  <c r="E802" i="1"/>
  <c r="D802" i="1"/>
  <c r="E801" i="1"/>
  <c r="D801" i="1"/>
  <c r="E800" i="1"/>
  <c r="D800" i="1"/>
  <c r="E799" i="1"/>
  <c r="D799" i="1"/>
  <c r="E798" i="1"/>
  <c r="D798" i="1"/>
  <c r="E797" i="1"/>
  <c r="D797" i="1"/>
  <c r="E796" i="1"/>
  <c r="D796" i="1"/>
  <c r="E795" i="1"/>
  <c r="D795" i="1"/>
  <c r="E794" i="1"/>
  <c r="D794" i="1"/>
  <c r="E793" i="1"/>
  <c r="D793" i="1"/>
  <c r="E792" i="1"/>
  <c r="D792" i="1"/>
  <c r="E791" i="1"/>
  <c r="D791" i="1"/>
  <c r="E790" i="1"/>
  <c r="D790" i="1"/>
  <c r="E789" i="1"/>
  <c r="D789" i="1"/>
  <c r="E788" i="1"/>
  <c r="D788" i="1"/>
  <c r="E787" i="1"/>
  <c r="D787" i="1"/>
  <c r="E786" i="1"/>
  <c r="D786" i="1"/>
  <c r="E785" i="1"/>
  <c r="D785" i="1"/>
  <c r="E784" i="1"/>
  <c r="D784" i="1"/>
  <c r="E783" i="1"/>
  <c r="D783" i="1"/>
  <c r="E782" i="1"/>
  <c r="D782" i="1"/>
  <c r="E781" i="1"/>
  <c r="D781" i="1"/>
  <c r="E780" i="1"/>
  <c r="D780" i="1"/>
  <c r="E779" i="1"/>
  <c r="D779" i="1"/>
  <c r="E778" i="1"/>
  <c r="D778" i="1"/>
  <c r="E777" i="1"/>
  <c r="D777" i="1"/>
  <c r="E776" i="1"/>
  <c r="D776" i="1"/>
  <c r="E775" i="1"/>
  <c r="D775" i="1"/>
  <c r="E774" i="1"/>
  <c r="D774" i="1"/>
  <c r="E773" i="1"/>
  <c r="D773" i="1"/>
  <c r="E772" i="1"/>
  <c r="D772" i="1"/>
  <c r="E771" i="1"/>
  <c r="D771" i="1"/>
  <c r="E770" i="1"/>
  <c r="D770" i="1"/>
  <c r="E769" i="1"/>
  <c r="D769" i="1"/>
  <c r="E768" i="1"/>
  <c r="D768" i="1"/>
  <c r="E767" i="1"/>
  <c r="D767" i="1"/>
  <c r="E766" i="1"/>
  <c r="D766" i="1"/>
  <c r="E765" i="1"/>
  <c r="D765" i="1"/>
  <c r="E764" i="1"/>
  <c r="D764" i="1"/>
  <c r="E763" i="1"/>
  <c r="D763" i="1"/>
  <c r="E762" i="1"/>
  <c r="D762" i="1"/>
  <c r="E761" i="1"/>
  <c r="D761" i="1"/>
  <c r="E760" i="1"/>
  <c r="D760" i="1"/>
  <c r="E759" i="1"/>
  <c r="D759" i="1"/>
  <c r="E758" i="1"/>
  <c r="D758" i="1"/>
  <c r="E757" i="1"/>
  <c r="D757" i="1"/>
  <c r="E756" i="1"/>
  <c r="D756" i="1"/>
  <c r="E755" i="1"/>
  <c r="D755" i="1"/>
  <c r="E754" i="1"/>
  <c r="D754" i="1"/>
  <c r="E753" i="1"/>
  <c r="D753" i="1"/>
  <c r="E752" i="1"/>
  <c r="D752" i="1"/>
  <c r="E751" i="1"/>
  <c r="D751" i="1"/>
  <c r="E750" i="1"/>
  <c r="D750" i="1"/>
  <c r="E749" i="1"/>
  <c r="D749" i="1"/>
  <c r="E748" i="1"/>
  <c r="D748" i="1"/>
  <c r="E747" i="1"/>
  <c r="D747" i="1"/>
  <c r="E746" i="1"/>
  <c r="D746" i="1"/>
  <c r="E745" i="1"/>
  <c r="D745" i="1"/>
  <c r="E744" i="1"/>
  <c r="D744" i="1"/>
  <c r="E743" i="1"/>
  <c r="D743" i="1"/>
  <c r="E742" i="1"/>
  <c r="D742" i="1"/>
  <c r="E741" i="1"/>
  <c r="D741" i="1"/>
  <c r="E740" i="1"/>
  <c r="D740" i="1"/>
  <c r="E739" i="1"/>
  <c r="D739" i="1"/>
  <c r="E738" i="1"/>
  <c r="D738" i="1"/>
  <c r="E737" i="1"/>
  <c r="D737" i="1"/>
  <c r="E736" i="1"/>
  <c r="D736" i="1"/>
  <c r="E735" i="1"/>
  <c r="D735" i="1"/>
  <c r="E734" i="1"/>
  <c r="D734" i="1"/>
  <c r="E733" i="1"/>
  <c r="D733" i="1"/>
  <c r="E732" i="1"/>
  <c r="D732" i="1"/>
  <c r="E731" i="1"/>
  <c r="D731" i="1"/>
  <c r="E730" i="1"/>
  <c r="D730" i="1"/>
  <c r="E729" i="1"/>
  <c r="D729" i="1"/>
  <c r="E728" i="1"/>
  <c r="D728" i="1"/>
  <c r="E727" i="1"/>
  <c r="D727" i="1"/>
  <c r="E726" i="1"/>
  <c r="D726" i="1"/>
  <c r="E725" i="1"/>
  <c r="D725" i="1"/>
  <c r="E724" i="1"/>
  <c r="D724" i="1"/>
  <c r="E723" i="1"/>
  <c r="D723" i="1"/>
  <c r="E722" i="1"/>
  <c r="D722" i="1"/>
  <c r="E721" i="1"/>
  <c r="D721" i="1"/>
  <c r="E720" i="1"/>
  <c r="D720" i="1"/>
  <c r="E719" i="1"/>
  <c r="D719" i="1"/>
  <c r="E718" i="1"/>
  <c r="D718" i="1"/>
  <c r="E717" i="1"/>
  <c r="D717" i="1"/>
  <c r="E716" i="1"/>
  <c r="D716" i="1"/>
  <c r="E715" i="1"/>
  <c r="D715" i="1"/>
  <c r="E714" i="1"/>
  <c r="D714" i="1"/>
  <c r="E713" i="1"/>
  <c r="D713" i="1"/>
  <c r="E712" i="1"/>
  <c r="D712" i="1"/>
  <c r="E711" i="1"/>
  <c r="D711" i="1"/>
  <c r="E710" i="1"/>
  <c r="D710" i="1"/>
  <c r="E709" i="1"/>
  <c r="D709" i="1"/>
  <c r="E708" i="1"/>
  <c r="D708" i="1"/>
  <c r="E707" i="1"/>
  <c r="D707" i="1"/>
  <c r="E706" i="1"/>
  <c r="D706" i="1"/>
  <c r="E705" i="1"/>
  <c r="D705" i="1"/>
  <c r="E704" i="1"/>
  <c r="D704" i="1"/>
  <c r="E703" i="1"/>
  <c r="D703" i="1"/>
  <c r="E702" i="1"/>
  <c r="D702" i="1"/>
  <c r="E701" i="1"/>
  <c r="D701" i="1"/>
  <c r="E700" i="1"/>
  <c r="D700" i="1"/>
  <c r="E699" i="1"/>
  <c r="D699" i="1"/>
  <c r="E698" i="1"/>
  <c r="D698" i="1"/>
  <c r="E697" i="1"/>
  <c r="D697" i="1"/>
  <c r="E696" i="1"/>
  <c r="D696" i="1"/>
  <c r="E695" i="1"/>
  <c r="D695" i="1"/>
  <c r="E694" i="1"/>
  <c r="D694" i="1"/>
  <c r="E693" i="1"/>
  <c r="D693" i="1"/>
  <c r="E692" i="1"/>
  <c r="D692" i="1"/>
  <c r="E691" i="1"/>
  <c r="D691" i="1"/>
  <c r="E690" i="1"/>
  <c r="D690" i="1"/>
  <c r="E689" i="1"/>
  <c r="D689" i="1"/>
  <c r="E688" i="1"/>
  <c r="D688" i="1"/>
  <c r="E687" i="1"/>
  <c r="D687" i="1"/>
  <c r="E686" i="1"/>
  <c r="D686" i="1"/>
  <c r="E685" i="1"/>
  <c r="D685" i="1"/>
  <c r="E684" i="1"/>
  <c r="D684" i="1"/>
  <c r="E683" i="1"/>
  <c r="D683" i="1"/>
  <c r="E682" i="1"/>
  <c r="D682" i="1"/>
  <c r="E681" i="1"/>
  <c r="D681" i="1"/>
  <c r="E680" i="1"/>
  <c r="D680" i="1"/>
  <c r="E679" i="1"/>
  <c r="D679" i="1"/>
  <c r="E678" i="1"/>
  <c r="D678" i="1"/>
  <c r="E677" i="1"/>
  <c r="D677" i="1"/>
  <c r="E676" i="1"/>
  <c r="D676" i="1"/>
  <c r="E675" i="1"/>
  <c r="D675" i="1"/>
  <c r="E674" i="1"/>
  <c r="D674" i="1"/>
  <c r="E673" i="1"/>
  <c r="D673" i="1"/>
  <c r="E672" i="1"/>
  <c r="D672" i="1"/>
  <c r="E671" i="1"/>
  <c r="D671" i="1"/>
  <c r="E670" i="1"/>
  <c r="D670" i="1"/>
  <c r="E669" i="1"/>
  <c r="D669" i="1"/>
  <c r="E668" i="1"/>
  <c r="D668" i="1"/>
  <c r="E667" i="1"/>
  <c r="D667" i="1"/>
  <c r="E666" i="1"/>
  <c r="D666" i="1"/>
  <c r="E665" i="1"/>
  <c r="D665" i="1"/>
  <c r="E664" i="1"/>
  <c r="D664" i="1"/>
  <c r="E663" i="1"/>
  <c r="D663" i="1"/>
  <c r="E662" i="1"/>
  <c r="D662" i="1"/>
  <c r="E661" i="1"/>
  <c r="D661" i="1"/>
  <c r="E660" i="1"/>
  <c r="D660" i="1"/>
  <c r="E659" i="1"/>
  <c r="D659" i="1"/>
  <c r="E658" i="1"/>
  <c r="D658" i="1"/>
  <c r="E657" i="1"/>
  <c r="D657" i="1"/>
  <c r="E656" i="1"/>
  <c r="D656" i="1"/>
  <c r="E655" i="1"/>
  <c r="D655" i="1"/>
  <c r="E654" i="1"/>
  <c r="D654" i="1"/>
  <c r="E653" i="1"/>
  <c r="D653" i="1"/>
  <c r="E652" i="1"/>
  <c r="D652" i="1"/>
  <c r="E651" i="1"/>
  <c r="D651" i="1"/>
  <c r="E650" i="1"/>
  <c r="D650" i="1"/>
  <c r="E649" i="1"/>
  <c r="D649" i="1"/>
  <c r="E648" i="1"/>
  <c r="D648" i="1"/>
  <c r="E647" i="1"/>
  <c r="D647" i="1"/>
  <c r="E646" i="1"/>
  <c r="D646" i="1"/>
  <c r="E645" i="1"/>
  <c r="D645" i="1"/>
  <c r="E644" i="1"/>
  <c r="D644" i="1"/>
  <c r="E643" i="1"/>
  <c r="D643" i="1"/>
  <c r="E642" i="1"/>
  <c r="D642" i="1"/>
  <c r="E641" i="1"/>
  <c r="D641" i="1"/>
  <c r="E640" i="1"/>
  <c r="D640" i="1"/>
  <c r="E639" i="1"/>
  <c r="D639" i="1"/>
  <c r="E638" i="1"/>
  <c r="D638" i="1"/>
  <c r="E637" i="1"/>
  <c r="D637" i="1"/>
  <c r="E636" i="1"/>
  <c r="D636" i="1"/>
  <c r="E635" i="1"/>
  <c r="D635" i="1"/>
  <c r="E634" i="1"/>
  <c r="D634" i="1"/>
  <c r="E633" i="1"/>
  <c r="D633" i="1"/>
  <c r="E632" i="1"/>
  <c r="D632" i="1"/>
  <c r="E631" i="1"/>
  <c r="D631" i="1"/>
  <c r="E630" i="1"/>
  <c r="D630" i="1"/>
  <c r="E629" i="1"/>
  <c r="D629" i="1"/>
  <c r="E628" i="1"/>
  <c r="D628" i="1"/>
  <c r="E627" i="1"/>
  <c r="D627" i="1"/>
  <c r="E626" i="1"/>
  <c r="D626" i="1"/>
  <c r="E625" i="1"/>
  <c r="D625" i="1"/>
  <c r="E624" i="1"/>
  <c r="D624" i="1"/>
  <c r="E623" i="1"/>
  <c r="D623" i="1"/>
  <c r="E622" i="1"/>
  <c r="D622" i="1"/>
  <c r="E621" i="1"/>
  <c r="D621" i="1"/>
  <c r="E620" i="1"/>
  <c r="D620" i="1"/>
  <c r="E619" i="1"/>
  <c r="D619" i="1"/>
  <c r="E618" i="1"/>
  <c r="D618" i="1"/>
  <c r="E617" i="1"/>
  <c r="D617" i="1"/>
  <c r="E616" i="1"/>
  <c r="D616" i="1"/>
  <c r="E615" i="1"/>
  <c r="D615" i="1"/>
  <c r="E614" i="1"/>
  <c r="D614" i="1"/>
  <c r="E613" i="1"/>
  <c r="D613" i="1"/>
  <c r="E612" i="1"/>
  <c r="D612" i="1"/>
  <c r="E611" i="1"/>
  <c r="D611" i="1"/>
  <c r="E610" i="1"/>
  <c r="D610" i="1"/>
  <c r="E609" i="1"/>
  <c r="D609" i="1"/>
  <c r="E608" i="1"/>
  <c r="D608" i="1"/>
  <c r="E607" i="1"/>
  <c r="D607" i="1"/>
  <c r="E606" i="1"/>
  <c r="D606" i="1"/>
  <c r="E605" i="1"/>
  <c r="D605" i="1"/>
  <c r="E604" i="1"/>
  <c r="D604" i="1"/>
  <c r="E603" i="1"/>
  <c r="D603" i="1"/>
  <c r="E602" i="1"/>
  <c r="D602" i="1"/>
  <c r="E601" i="1"/>
  <c r="D601" i="1"/>
  <c r="E600" i="1"/>
  <c r="D600" i="1"/>
  <c r="E599" i="1"/>
  <c r="D599" i="1"/>
  <c r="E598" i="1"/>
  <c r="D598" i="1"/>
  <c r="E597" i="1"/>
  <c r="D597" i="1"/>
  <c r="E596" i="1"/>
  <c r="D596" i="1"/>
  <c r="E595" i="1"/>
  <c r="D595" i="1"/>
  <c r="E594" i="1"/>
  <c r="D594" i="1"/>
  <c r="E593" i="1"/>
  <c r="D593" i="1"/>
  <c r="E592" i="1"/>
  <c r="D592" i="1"/>
  <c r="E591" i="1"/>
  <c r="D591" i="1"/>
  <c r="E590" i="1"/>
  <c r="D590" i="1"/>
  <c r="E589" i="1"/>
  <c r="D589" i="1"/>
  <c r="E588" i="1"/>
  <c r="D588" i="1"/>
  <c r="E587" i="1"/>
  <c r="D587" i="1"/>
  <c r="E586" i="1"/>
  <c r="D586" i="1"/>
  <c r="E585" i="1"/>
  <c r="D585" i="1"/>
  <c r="E584" i="1"/>
  <c r="D584" i="1"/>
  <c r="E583" i="1"/>
  <c r="D583" i="1"/>
  <c r="E582" i="1"/>
  <c r="D582" i="1"/>
  <c r="E581" i="1"/>
  <c r="D581" i="1"/>
  <c r="E580" i="1"/>
  <c r="D580" i="1"/>
  <c r="E573" i="1"/>
  <c r="D573" i="1"/>
  <c r="E567" i="1"/>
  <c r="D567" i="1"/>
  <c r="E579" i="1"/>
  <c r="D579" i="1"/>
  <c r="E553" i="1"/>
  <c r="D553" i="1"/>
  <c r="E578" i="1"/>
  <c r="D578" i="1"/>
  <c r="E577" i="1"/>
  <c r="D577" i="1"/>
  <c r="E574" i="1"/>
  <c r="D574" i="1"/>
  <c r="E572" i="1"/>
  <c r="D572" i="1"/>
  <c r="E571" i="1"/>
  <c r="D571" i="1"/>
  <c r="E570" i="1"/>
  <c r="D570" i="1"/>
  <c r="E569" i="1"/>
  <c r="D569" i="1"/>
  <c r="E566" i="1"/>
  <c r="D566" i="1"/>
  <c r="E565" i="1"/>
  <c r="D565" i="1"/>
  <c r="E564" i="1"/>
  <c r="D564" i="1"/>
  <c r="E563" i="1"/>
  <c r="D563" i="1"/>
  <c r="E562" i="1"/>
  <c r="D562" i="1"/>
  <c r="E561" i="1"/>
  <c r="D561" i="1"/>
  <c r="E560" i="1"/>
  <c r="D560" i="1"/>
  <c r="E559" i="1"/>
  <c r="D559" i="1"/>
  <c r="E558" i="1"/>
  <c r="D558" i="1"/>
  <c r="E557" i="1"/>
  <c r="D557" i="1"/>
  <c r="E556" i="1"/>
  <c r="D556" i="1"/>
  <c r="E555" i="1"/>
  <c r="D555" i="1"/>
  <c r="E554" i="1"/>
  <c r="D554" i="1"/>
  <c r="E552" i="1"/>
  <c r="D552" i="1"/>
  <c r="E551" i="1"/>
  <c r="D551" i="1"/>
  <c r="E550" i="1"/>
  <c r="D550" i="1"/>
  <c r="E549" i="1"/>
  <c r="D549" i="1"/>
  <c r="E548" i="1"/>
  <c r="D548" i="1"/>
  <c r="E547" i="1"/>
  <c r="D547" i="1"/>
  <c r="E546" i="1"/>
  <c r="D546" i="1"/>
  <c r="E545" i="1"/>
  <c r="D545" i="1"/>
  <c r="E544" i="1"/>
  <c r="D544" i="1"/>
  <c r="E543" i="1"/>
  <c r="D543" i="1"/>
  <c r="E542" i="1"/>
  <c r="D542" i="1"/>
  <c r="E541" i="1"/>
  <c r="D541" i="1"/>
  <c r="E540" i="1"/>
  <c r="D540" i="1"/>
  <c r="E539" i="1"/>
  <c r="D539" i="1"/>
  <c r="E538" i="1"/>
  <c r="D538" i="1"/>
  <c r="E537" i="1"/>
  <c r="D537" i="1"/>
  <c r="E536" i="1"/>
  <c r="D536" i="1"/>
  <c r="E535" i="1"/>
  <c r="D535" i="1"/>
  <c r="E534" i="1"/>
  <c r="D534" i="1"/>
  <c r="E533" i="1"/>
  <c r="D533" i="1"/>
  <c r="E531" i="1"/>
  <c r="D531" i="1"/>
  <c r="E530" i="1"/>
  <c r="D530" i="1"/>
  <c r="E529" i="1"/>
  <c r="D529" i="1"/>
  <c r="E528" i="1"/>
  <c r="D528" i="1"/>
  <c r="E527" i="1"/>
  <c r="D527" i="1"/>
  <c r="E526" i="1"/>
  <c r="D526" i="1"/>
  <c r="E525" i="1"/>
  <c r="D525" i="1"/>
  <c r="E524" i="1"/>
  <c r="D524" i="1"/>
  <c r="E523" i="1"/>
  <c r="D523" i="1"/>
  <c r="E522" i="1"/>
  <c r="D522" i="1"/>
  <c r="E521" i="1"/>
  <c r="D521" i="1"/>
  <c r="E520" i="1"/>
  <c r="D520" i="1"/>
  <c r="E519" i="1"/>
  <c r="D519" i="1"/>
  <c r="E518" i="1"/>
  <c r="D518" i="1"/>
  <c r="E517" i="1"/>
  <c r="D517" i="1"/>
  <c r="E516" i="1"/>
  <c r="D516" i="1"/>
  <c r="E515" i="1"/>
  <c r="D515" i="1"/>
  <c r="E514" i="1"/>
  <c r="D514" i="1"/>
  <c r="E513" i="1"/>
  <c r="D513" i="1"/>
  <c r="E512" i="1"/>
  <c r="D512" i="1"/>
  <c r="E511" i="1"/>
  <c r="D511" i="1"/>
  <c r="E510" i="1"/>
  <c r="D510" i="1"/>
  <c r="E509" i="1"/>
  <c r="D509" i="1"/>
  <c r="E508" i="1"/>
  <c r="D508" i="1"/>
  <c r="E507" i="1"/>
  <c r="D507" i="1"/>
  <c r="E506" i="1"/>
  <c r="D506" i="1"/>
  <c r="E505" i="1"/>
  <c r="D505" i="1"/>
  <c r="E504" i="1"/>
  <c r="D504" i="1"/>
  <c r="E503" i="1"/>
  <c r="D503" i="1"/>
  <c r="E502" i="1"/>
  <c r="D502" i="1"/>
  <c r="E500" i="1"/>
  <c r="D500" i="1"/>
  <c r="E499" i="1"/>
  <c r="D499" i="1"/>
  <c r="E498" i="1"/>
  <c r="D498" i="1"/>
  <c r="E497" i="1"/>
  <c r="D497" i="1"/>
  <c r="E496" i="1"/>
  <c r="D496" i="1"/>
  <c r="E495" i="1"/>
  <c r="D495" i="1"/>
  <c r="E494" i="1"/>
  <c r="D494" i="1"/>
  <c r="E493" i="1"/>
  <c r="D493" i="1"/>
  <c r="E492" i="1"/>
  <c r="D492" i="1"/>
  <c r="E491" i="1"/>
  <c r="D491" i="1"/>
  <c r="E490" i="1"/>
  <c r="D490" i="1"/>
  <c r="E489" i="1"/>
  <c r="D489" i="1"/>
  <c r="E488" i="1"/>
  <c r="D488" i="1"/>
  <c r="E487" i="1"/>
  <c r="D487" i="1"/>
  <c r="E486" i="1"/>
  <c r="D486" i="1"/>
  <c r="E485" i="1"/>
  <c r="D485" i="1"/>
  <c r="E484" i="1"/>
  <c r="D484" i="1"/>
  <c r="E483" i="1"/>
  <c r="D483" i="1"/>
  <c r="E482" i="1"/>
  <c r="D482" i="1"/>
  <c r="E481" i="1"/>
  <c r="D481" i="1"/>
  <c r="E480" i="1"/>
  <c r="D480" i="1"/>
  <c r="E479" i="1"/>
  <c r="D479" i="1"/>
  <c r="E478" i="1"/>
  <c r="D478" i="1"/>
  <c r="E477" i="1"/>
  <c r="D477" i="1"/>
  <c r="E476" i="1"/>
  <c r="D476" i="1"/>
  <c r="E475" i="1"/>
  <c r="D475" i="1"/>
  <c r="E474" i="1"/>
  <c r="D474" i="1"/>
  <c r="E473" i="1"/>
  <c r="D473" i="1"/>
  <c r="E472" i="1"/>
  <c r="D472" i="1"/>
  <c r="E471" i="1"/>
  <c r="D471" i="1"/>
  <c r="E470" i="1"/>
  <c r="D470" i="1"/>
  <c r="E469" i="1"/>
  <c r="D469" i="1"/>
  <c r="E468" i="1"/>
  <c r="D468" i="1"/>
  <c r="E467" i="1"/>
  <c r="D467" i="1"/>
  <c r="E466" i="1"/>
  <c r="D466" i="1"/>
  <c r="E465" i="1"/>
  <c r="D465" i="1"/>
  <c r="E464" i="1"/>
  <c r="D464" i="1"/>
  <c r="E463" i="1"/>
  <c r="D463" i="1"/>
  <c r="E462" i="1"/>
  <c r="D462" i="1"/>
  <c r="E461" i="1"/>
  <c r="D461" i="1"/>
  <c r="E460" i="1"/>
  <c r="D460" i="1"/>
  <c r="E458" i="1"/>
  <c r="D458" i="1"/>
  <c r="E457" i="1"/>
  <c r="D457" i="1"/>
  <c r="E456" i="1"/>
  <c r="D456" i="1"/>
  <c r="E455" i="1"/>
  <c r="D455" i="1"/>
  <c r="E454" i="1"/>
  <c r="D454" i="1"/>
  <c r="E453" i="1"/>
  <c r="D453" i="1"/>
  <c r="E451" i="1"/>
  <c r="D451" i="1"/>
  <c r="E450" i="1"/>
  <c r="D450" i="1"/>
  <c r="E449" i="1"/>
  <c r="D449" i="1"/>
  <c r="E448" i="1"/>
  <c r="D448" i="1"/>
  <c r="E447" i="1"/>
  <c r="D447" i="1"/>
  <c r="E446" i="1"/>
  <c r="D446" i="1"/>
  <c r="E445" i="1"/>
  <c r="D445" i="1"/>
  <c r="E444" i="1"/>
  <c r="D444" i="1"/>
  <c r="E443" i="1"/>
  <c r="D443" i="1"/>
  <c r="E441" i="1"/>
  <c r="D441" i="1"/>
  <c r="E440" i="1"/>
  <c r="D440" i="1"/>
  <c r="E439" i="1"/>
  <c r="D439" i="1"/>
  <c r="E438" i="1"/>
  <c r="D438" i="1"/>
  <c r="E437" i="1"/>
  <c r="D437" i="1"/>
  <c r="E436" i="1"/>
  <c r="D436" i="1"/>
  <c r="E435" i="1"/>
  <c r="D435" i="1"/>
  <c r="E434" i="1"/>
  <c r="D434" i="1"/>
  <c r="E433" i="1"/>
  <c r="D433" i="1"/>
  <c r="E432" i="1"/>
  <c r="D432" i="1"/>
  <c r="E431" i="1"/>
  <c r="D431" i="1"/>
  <c r="E430" i="1"/>
  <c r="D430" i="1"/>
  <c r="E429" i="1"/>
  <c r="D429" i="1"/>
  <c r="E428" i="1"/>
  <c r="D428" i="1"/>
  <c r="E427" i="1"/>
  <c r="D427" i="1"/>
  <c r="E426" i="1"/>
  <c r="D426" i="1"/>
  <c r="E425" i="1"/>
  <c r="D425" i="1"/>
  <c r="E424" i="1"/>
  <c r="D424" i="1"/>
  <c r="E423" i="1"/>
  <c r="D423" i="1"/>
  <c r="E422" i="1"/>
  <c r="D422" i="1"/>
  <c r="E421" i="1"/>
  <c r="D421" i="1"/>
  <c r="E420" i="1"/>
  <c r="D420" i="1"/>
  <c r="E419" i="1"/>
  <c r="D419" i="1"/>
  <c r="E418" i="1"/>
  <c r="D418" i="1"/>
  <c r="E417" i="1"/>
  <c r="D417" i="1"/>
  <c r="E416" i="1"/>
  <c r="D416" i="1"/>
  <c r="E415" i="1"/>
  <c r="D415" i="1"/>
  <c r="E414" i="1"/>
  <c r="D414" i="1"/>
  <c r="E413" i="1"/>
  <c r="D413" i="1"/>
  <c r="E412" i="1"/>
  <c r="D412" i="1"/>
  <c r="E411" i="1"/>
  <c r="D411" i="1"/>
  <c r="E410" i="1"/>
  <c r="D410" i="1"/>
  <c r="E409" i="1"/>
  <c r="D409" i="1"/>
  <c r="E408" i="1"/>
  <c r="D408" i="1"/>
  <c r="E407" i="1"/>
  <c r="D407" i="1"/>
  <c r="E406" i="1"/>
  <c r="D406" i="1"/>
  <c r="E405" i="1"/>
  <c r="D405" i="1"/>
  <c r="E404" i="1"/>
  <c r="D404" i="1"/>
  <c r="E403" i="1"/>
  <c r="D403" i="1"/>
  <c r="E402" i="1"/>
  <c r="D402" i="1"/>
  <c r="E401" i="1"/>
  <c r="D401" i="1"/>
  <c r="E400" i="1"/>
  <c r="D400" i="1"/>
  <c r="E399" i="1"/>
  <c r="D399" i="1"/>
  <c r="E398" i="1"/>
  <c r="D398" i="1"/>
  <c r="E397" i="1"/>
  <c r="D397" i="1"/>
  <c r="E396" i="1"/>
  <c r="D396" i="1"/>
  <c r="E395" i="1"/>
  <c r="D395" i="1"/>
  <c r="E394" i="1"/>
  <c r="D394" i="1"/>
  <c r="E393" i="1"/>
  <c r="D393" i="1"/>
  <c r="E392" i="1"/>
  <c r="D392" i="1"/>
  <c r="E391" i="1"/>
  <c r="D391" i="1"/>
  <c r="E389" i="1"/>
  <c r="D389" i="1"/>
  <c r="E388" i="1"/>
  <c r="D388" i="1"/>
  <c r="E386" i="1"/>
  <c r="D386" i="1"/>
  <c r="E385" i="1"/>
  <c r="D385" i="1"/>
  <c r="E384" i="1"/>
  <c r="D384" i="1"/>
  <c r="E383" i="1"/>
  <c r="D383" i="1"/>
  <c r="E382" i="1"/>
  <c r="D382" i="1"/>
  <c r="E381" i="1"/>
  <c r="D381" i="1"/>
  <c r="E380" i="1"/>
  <c r="D380" i="1"/>
  <c r="E379" i="1"/>
  <c r="D379" i="1"/>
  <c r="E378" i="1"/>
  <c r="D378" i="1"/>
  <c r="E377" i="1"/>
  <c r="D377" i="1"/>
  <c r="E376" i="1"/>
  <c r="D376" i="1"/>
  <c r="E375" i="1"/>
  <c r="D375" i="1"/>
  <c r="E442" i="1"/>
  <c r="D442" i="1"/>
  <c r="E374" i="1"/>
  <c r="D374" i="1"/>
  <c r="E373" i="1"/>
  <c r="D373" i="1"/>
  <c r="E372" i="1"/>
  <c r="D372" i="1"/>
  <c r="E371" i="1"/>
  <c r="D371" i="1"/>
  <c r="E370" i="1"/>
  <c r="D370" i="1"/>
  <c r="E369" i="1"/>
  <c r="D369" i="1"/>
  <c r="E368" i="1"/>
  <c r="D368" i="1"/>
  <c r="E367" i="1"/>
  <c r="D367" i="1"/>
  <c r="E366" i="1"/>
  <c r="D366" i="1"/>
  <c r="E365" i="1"/>
  <c r="D365" i="1"/>
  <c r="E364" i="1"/>
  <c r="D364" i="1"/>
  <c r="E363" i="1"/>
  <c r="D363" i="1"/>
  <c r="E362" i="1"/>
  <c r="D362" i="1"/>
  <c r="E361" i="1"/>
  <c r="D361" i="1"/>
  <c r="E360" i="1"/>
  <c r="D360" i="1"/>
  <c r="E359" i="1"/>
  <c r="D359" i="1"/>
  <c r="E358" i="1"/>
  <c r="D358" i="1"/>
  <c r="E357" i="1"/>
  <c r="D357" i="1"/>
  <c r="E355" i="1"/>
  <c r="D355" i="1"/>
  <c r="E354" i="1"/>
  <c r="D354" i="1"/>
  <c r="E353" i="1"/>
  <c r="D353" i="1"/>
  <c r="E352" i="1"/>
  <c r="D352" i="1"/>
  <c r="E351" i="1"/>
  <c r="D351" i="1"/>
  <c r="E350" i="1"/>
  <c r="D350" i="1"/>
  <c r="E349" i="1"/>
  <c r="D349" i="1"/>
  <c r="E348" i="1"/>
  <c r="D348" i="1"/>
  <c r="E347" i="1"/>
  <c r="D347" i="1"/>
  <c r="E346" i="1"/>
  <c r="D346" i="1"/>
  <c r="E345" i="1"/>
  <c r="D345" i="1"/>
  <c r="E344" i="1"/>
  <c r="D344" i="1"/>
  <c r="E341" i="1"/>
  <c r="D341" i="1"/>
  <c r="E339" i="1"/>
  <c r="D339" i="1"/>
  <c r="E336" i="1"/>
  <c r="D336" i="1"/>
  <c r="E334" i="1"/>
  <c r="D334" i="1"/>
  <c r="E328" i="1"/>
  <c r="D328" i="1"/>
  <c r="E321" i="1"/>
  <c r="D321" i="1"/>
  <c r="E327" i="1"/>
  <c r="D327" i="1"/>
  <c r="E343" i="1"/>
  <c r="D343" i="1"/>
  <c r="E342" i="1"/>
  <c r="D342" i="1"/>
  <c r="E340" i="1"/>
  <c r="D340" i="1"/>
  <c r="E338" i="1"/>
  <c r="D338" i="1"/>
  <c r="E337" i="1"/>
  <c r="D337" i="1"/>
  <c r="E335" i="1"/>
  <c r="D335" i="1"/>
  <c r="E333" i="1"/>
  <c r="D333" i="1"/>
  <c r="E332" i="1"/>
  <c r="D332" i="1"/>
  <c r="E331" i="1"/>
  <c r="D331" i="1"/>
  <c r="E330" i="1"/>
  <c r="D330" i="1"/>
  <c r="E329" i="1"/>
  <c r="D329" i="1"/>
  <c r="E326" i="1"/>
  <c r="D326" i="1"/>
  <c r="E325" i="1"/>
  <c r="D325" i="1"/>
  <c r="E324" i="1"/>
  <c r="D324" i="1"/>
  <c r="E323" i="1"/>
  <c r="D323" i="1"/>
  <c r="E322" i="1"/>
  <c r="D322" i="1"/>
  <c r="E319" i="1"/>
  <c r="D319" i="1"/>
  <c r="E318" i="1"/>
  <c r="D318" i="1"/>
  <c r="E317" i="1"/>
  <c r="D317" i="1"/>
  <c r="E316" i="1"/>
  <c r="D316" i="1"/>
  <c r="E315" i="1"/>
  <c r="D315" i="1"/>
  <c r="E314" i="1"/>
  <c r="D314" i="1"/>
  <c r="E312" i="1"/>
  <c r="D312" i="1"/>
  <c r="E311" i="1"/>
  <c r="D311" i="1"/>
  <c r="E310" i="1"/>
  <c r="D310" i="1"/>
  <c r="E309" i="1"/>
  <c r="D309" i="1"/>
  <c r="E308" i="1"/>
  <c r="D308" i="1"/>
  <c r="E307" i="1"/>
  <c r="D307" i="1"/>
  <c r="E306" i="1"/>
  <c r="D306" i="1"/>
  <c r="E305" i="1"/>
  <c r="D305" i="1"/>
  <c r="E304" i="1"/>
  <c r="D304" i="1"/>
  <c r="E303" i="1"/>
  <c r="D303" i="1"/>
  <c r="E302" i="1"/>
  <c r="D302" i="1"/>
  <c r="E301" i="1"/>
  <c r="D301" i="1"/>
  <c r="E299" i="1"/>
  <c r="D299" i="1"/>
  <c r="E298" i="1"/>
  <c r="D298" i="1"/>
  <c r="E297" i="1"/>
  <c r="D297" i="1"/>
  <c r="E296" i="1"/>
  <c r="D296" i="1"/>
  <c r="E295" i="1"/>
  <c r="D295" i="1"/>
  <c r="E294" i="1"/>
  <c r="D294" i="1"/>
  <c r="E293" i="1"/>
  <c r="D293" i="1"/>
  <c r="E292" i="1"/>
  <c r="D292" i="1"/>
  <c r="E291" i="1"/>
  <c r="D291" i="1"/>
  <c r="E290" i="1"/>
  <c r="D290" i="1"/>
  <c r="E289" i="1"/>
  <c r="D289" i="1"/>
  <c r="E288" i="1"/>
  <c r="D288" i="1"/>
  <c r="E287" i="1"/>
  <c r="D287" i="1"/>
  <c r="E286" i="1"/>
  <c r="D286" i="1"/>
  <c r="E285" i="1"/>
  <c r="D285" i="1"/>
  <c r="E284" i="1"/>
  <c r="D284" i="1"/>
  <c r="E283" i="1"/>
  <c r="D283" i="1"/>
  <c r="E282" i="1"/>
  <c r="D282" i="1"/>
  <c r="E280" i="1"/>
  <c r="D280" i="1"/>
  <c r="E279" i="1"/>
  <c r="D279" i="1"/>
  <c r="E278" i="1"/>
  <c r="D278" i="1"/>
  <c r="E277" i="1"/>
  <c r="D277" i="1"/>
  <c r="E276" i="1"/>
  <c r="D276" i="1"/>
  <c r="E275" i="1"/>
  <c r="D275" i="1"/>
  <c r="E274" i="1"/>
  <c r="D274" i="1"/>
  <c r="E273" i="1"/>
  <c r="D273" i="1"/>
  <c r="E272" i="1"/>
  <c r="D272" i="1"/>
  <c r="E271" i="1"/>
  <c r="D271" i="1"/>
  <c r="E270" i="1"/>
  <c r="D270" i="1"/>
  <c r="E269" i="1"/>
  <c r="D269" i="1"/>
  <c r="E268" i="1"/>
  <c r="D268" i="1"/>
  <c r="E267" i="1"/>
  <c r="D267" i="1"/>
  <c r="E266" i="1"/>
  <c r="D266" i="1"/>
  <c r="E265" i="1"/>
  <c r="D265" i="1"/>
  <c r="E264" i="1"/>
  <c r="D264" i="1"/>
  <c r="E263" i="1"/>
  <c r="D263" i="1"/>
  <c r="E262" i="1"/>
  <c r="D262" i="1"/>
  <c r="E261" i="1"/>
  <c r="D261" i="1"/>
  <c r="E260" i="1"/>
  <c r="D260" i="1"/>
  <c r="E259" i="1"/>
  <c r="D259" i="1"/>
  <c r="E258" i="1"/>
  <c r="D258" i="1"/>
  <c r="E257" i="1"/>
  <c r="D257" i="1"/>
  <c r="E256" i="1"/>
  <c r="D256" i="1"/>
  <c r="E255" i="1"/>
  <c r="D255" i="1"/>
  <c r="E254" i="1"/>
  <c r="D254" i="1"/>
  <c r="E253" i="1"/>
  <c r="D253" i="1"/>
  <c r="E252" i="1"/>
  <c r="D252" i="1"/>
  <c r="E251" i="1"/>
  <c r="D251" i="1"/>
  <c r="E250" i="1"/>
  <c r="D250" i="1"/>
  <c r="E249" i="1"/>
  <c r="D249" i="1"/>
  <c r="E248" i="1"/>
  <c r="D248" i="1"/>
  <c r="E247" i="1"/>
  <c r="D247" i="1"/>
  <c r="E246" i="1"/>
  <c r="D246" i="1"/>
  <c r="E245" i="1"/>
  <c r="D245" i="1"/>
  <c r="E244" i="1"/>
  <c r="D244" i="1"/>
  <c r="E243" i="1"/>
  <c r="D243" i="1"/>
  <c r="E242" i="1"/>
  <c r="D242" i="1"/>
  <c r="E241" i="1"/>
  <c r="D241" i="1"/>
  <c r="E240" i="1"/>
  <c r="D240" i="1"/>
  <c r="E239" i="1"/>
  <c r="D239" i="1"/>
  <c r="E238" i="1"/>
  <c r="D238" i="1"/>
  <c r="E237" i="1"/>
  <c r="D237" i="1"/>
  <c r="E236" i="1"/>
  <c r="D236" i="1"/>
  <c r="E235" i="1"/>
  <c r="D235" i="1"/>
  <c r="E234" i="1"/>
  <c r="D234" i="1"/>
  <c r="E233" i="1"/>
  <c r="D233" i="1"/>
  <c r="E232" i="1"/>
  <c r="D232" i="1"/>
  <c r="E231" i="1"/>
  <c r="D231" i="1"/>
  <c r="E230" i="1"/>
  <c r="D230" i="1"/>
  <c r="E229" i="1"/>
  <c r="D229" i="1"/>
  <c r="E228" i="1"/>
  <c r="D228" i="1"/>
  <c r="E227" i="1"/>
  <c r="D227" i="1"/>
  <c r="E226" i="1"/>
  <c r="D226" i="1"/>
  <c r="E225" i="1"/>
  <c r="D225" i="1"/>
  <c r="E224" i="1"/>
  <c r="D224" i="1"/>
  <c r="E223" i="1"/>
  <c r="D223" i="1"/>
  <c r="E222" i="1"/>
  <c r="D222" i="1"/>
  <c r="E221" i="1"/>
  <c r="D221" i="1"/>
  <c r="E220" i="1"/>
  <c r="D220" i="1"/>
  <c r="E219" i="1"/>
  <c r="D219" i="1"/>
  <c r="E218" i="1"/>
  <c r="D218" i="1"/>
  <c r="E217" i="1"/>
  <c r="D217" i="1"/>
  <c r="E216" i="1"/>
  <c r="D216" i="1"/>
  <c r="E215" i="1"/>
  <c r="D215" i="1"/>
  <c r="E214" i="1"/>
  <c r="D214" i="1"/>
  <c r="E213" i="1"/>
  <c r="D213" i="1"/>
  <c r="E212" i="1"/>
  <c r="D212" i="1"/>
  <c r="E211" i="1"/>
  <c r="D211" i="1"/>
  <c r="E210" i="1"/>
  <c r="D210" i="1"/>
  <c r="E209" i="1"/>
  <c r="D209" i="1"/>
  <c r="E208" i="1"/>
  <c r="D208" i="1"/>
  <c r="E207" i="1"/>
  <c r="D207" i="1"/>
  <c r="E206" i="1"/>
  <c r="D206" i="1"/>
  <c r="E205" i="1"/>
  <c r="D205" i="1"/>
  <c r="E203" i="1"/>
  <c r="D203" i="1"/>
  <c r="E202" i="1"/>
  <c r="D202" i="1"/>
  <c r="E201" i="1"/>
  <c r="D201" i="1"/>
  <c r="E200" i="1"/>
  <c r="D200" i="1"/>
  <c r="E199" i="1"/>
  <c r="D199" i="1"/>
  <c r="E198" i="1"/>
  <c r="D198" i="1"/>
  <c r="E197" i="1"/>
  <c r="D197" i="1"/>
  <c r="E196" i="1"/>
  <c r="D196" i="1"/>
  <c r="E195" i="1"/>
  <c r="D195" i="1"/>
  <c r="E194" i="1"/>
  <c r="D194" i="1"/>
  <c r="E193" i="1"/>
  <c r="D193" i="1"/>
  <c r="E192" i="1"/>
  <c r="D192" i="1"/>
  <c r="E191" i="1"/>
  <c r="D191" i="1"/>
  <c r="E190" i="1"/>
  <c r="D190" i="1"/>
  <c r="E189" i="1"/>
  <c r="D189" i="1"/>
  <c r="E188" i="1"/>
  <c r="D188" i="1"/>
  <c r="E187" i="1"/>
  <c r="D187" i="1"/>
  <c r="E185" i="1"/>
  <c r="D185" i="1"/>
  <c r="E184" i="1"/>
  <c r="D184" i="1"/>
  <c r="E183" i="1"/>
  <c r="D183" i="1"/>
  <c r="E182" i="1"/>
  <c r="D182" i="1"/>
  <c r="E181" i="1"/>
  <c r="D181" i="1"/>
  <c r="E180" i="1"/>
  <c r="D180" i="1"/>
  <c r="E179" i="1"/>
  <c r="D179" i="1"/>
  <c r="E178" i="1"/>
  <c r="D178" i="1"/>
  <c r="E177" i="1"/>
  <c r="D177" i="1"/>
  <c r="E176" i="1"/>
  <c r="D176" i="1"/>
  <c r="E175" i="1"/>
  <c r="D175" i="1"/>
  <c r="E174" i="1"/>
  <c r="D174" i="1"/>
  <c r="E173" i="1"/>
  <c r="D173" i="1"/>
  <c r="E172" i="1"/>
  <c r="D172" i="1"/>
  <c r="E171" i="1"/>
  <c r="D171" i="1"/>
  <c r="E170" i="1"/>
  <c r="D170" i="1"/>
  <c r="E169" i="1"/>
  <c r="D169" i="1"/>
  <c r="E168" i="1"/>
  <c r="D168" i="1"/>
  <c r="E167" i="1"/>
  <c r="D167" i="1"/>
  <c r="E166" i="1"/>
  <c r="D166" i="1"/>
  <c r="E165" i="1"/>
  <c r="D165" i="1"/>
  <c r="E164" i="1"/>
  <c r="D164" i="1"/>
  <c r="E163" i="1"/>
  <c r="D163" i="1"/>
  <c r="E162" i="1"/>
  <c r="D162" i="1"/>
  <c r="E161" i="1"/>
  <c r="D161" i="1"/>
  <c r="E160" i="1"/>
  <c r="D160" i="1"/>
  <c r="E159" i="1"/>
  <c r="D159" i="1"/>
  <c r="E158" i="1"/>
  <c r="D158" i="1"/>
  <c r="E157" i="1"/>
  <c r="D157" i="1"/>
  <c r="E156" i="1"/>
  <c r="D156" i="1"/>
  <c r="E155" i="1"/>
  <c r="D155" i="1"/>
  <c r="E154" i="1"/>
  <c r="D154" i="1"/>
  <c r="E153" i="1"/>
  <c r="D153" i="1"/>
  <c r="E152" i="1"/>
  <c r="D152" i="1"/>
  <c r="E151" i="1"/>
  <c r="D151" i="1"/>
  <c r="E150" i="1"/>
  <c r="D150" i="1"/>
  <c r="E149" i="1"/>
  <c r="D149" i="1"/>
  <c r="E148" i="1"/>
  <c r="D148" i="1"/>
  <c r="E147" i="1"/>
  <c r="D147" i="1"/>
  <c r="E146" i="1"/>
  <c r="D146" i="1"/>
  <c r="E145" i="1"/>
  <c r="D145" i="1"/>
  <c r="E144" i="1"/>
  <c r="D144" i="1"/>
  <c r="E143" i="1"/>
  <c r="D143" i="1"/>
  <c r="E142" i="1"/>
  <c r="D142" i="1"/>
  <c r="E140" i="1"/>
  <c r="D140" i="1"/>
  <c r="E139" i="1"/>
  <c r="D139" i="1"/>
  <c r="E138" i="1"/>
  <c r="D138" i="1"/>
  <c r="E137" i="1"/>
  <c r="D137" i="1"/>
  <c r="E136" i="1"/>
  <c r="D136" i="1"/>
  <c r="E135" i="1"/>
  <c r="D135" i="1"/>
  <c r="E134" i="1"/>
  <c r="D134" i="1"/>
  <c r="E133" i="1"/>
  <c r="D133" i="1"/>
  <c r="E132" i="1"/>
  <c r="D132" i="1"/>
  <c r="E131" i="1"/>
  <c r="D131" i="1"/>
  <c r="E130" i="1"/>
  <c r="D130" i="1"/>
  <c r="E129" i="1"/>
  <c r="D129" i="1"/>
  <c r="E128" i="1"/>
  <c r="D128" i="1"/>
  <c r="E127" i="1"/>
  <c r="D127" i="1"/>
  <c r="E126" i="1"/>
  <c r="D126" i="1"/>
  <c r="E125" i="1"/>
  <c r="D125" i="1"/>
  <c r="E124" i="1"/>
  <c r="D124" i="1"/>
  <c r="E123" i="1"/>
  <c r="D123" i="1"/>
  <c r="E122" i="1"/>
  <c r="D122" i="1"/>
  <c r="E121" i="1"/>
  <c r="D121" i="1"/>
  <c r="E120" i="1"/>
  <c r="D120" i="1"/>
  <c r="E119" i="1"/>
  <c r="D119" i="1"/>
  <c r="E118" i="1"/>
  <c r="D118" i="1"/>
  <c r="E117" i="1"/>
  <c r="D117" i="1"/>
  <c r="E116" i="1"/>
  <c r="D116" i="1"/>
  <c r="E115" i="1"/>
  <c r="D115" i="1"/>
  <c r="E114" i="1"/>
  <c r="D114" i="1"/>
  <c r="E113" i="1"/>
  <c r="D113" i="1"/>
  <c r="E112" i="1"/>
  <c r="D112" i="1"/>
  <c r="E111" i="1"/>
  <c r="D111" i="1"/>
  <c r="E110" i="1"/>
  <c r="D110" i="1"/>
  <c r="E109" i="1"/>
  <c r="D109" i="1"/>
  <c r="E108" i="1"/>
  <c r="D108" i="1"/>
  <c r="E107" i="1"/>
  <c r="D107" i="1"/>
  <c r="E106" i="1"/>
  <c r="D106" i="1"/>
  <c r="E105" i="1"/>
  <c r="D105" i="1"/>
  <c r="E104" i="1"/>
  <c r="D104" i="1"/>
  <c r="E103" i="1"/>
  <c r="D103" i="1"/>
  <c r="E102" i="1"/>
  <c r="D102" i="1"/>
  <c r="E101" i="1"/>
  <c r="D101" i="1"/>
  <c r="E100" i="1"/>
  <c r="D100" i="1"/>
  <c r="E99" i="1"/>
  <c r="D99" i="1"/>
  <c r="E98" i="1"/>
  <c r="D98" i="1"/>
  <c r="E97" i="1"/>
  <c r="D97" i="1"/>
  <c r="E96" i="1"/>
  <c r="D96" i="1"/>
  <c r="E95" i="1"/>
  <c r="D95" i="1"/>
  <c r="E94" i="1"/>
  <c r="D94" i="1"/>
  <c r="E93" i="1"/>
  <c r="D93" i="1"/>
  <c r="E92" i="1"/>
  <c r="D92" i="1"/>
  <c r="E91" i="1"/>
  <c r="D91" i="1"/>
  <c r="E90" i="1"/>
  <c r="D90" i="1"/>
  <c r="E89" i="1"/>
  <c r="D89" i="1"/>
  <c r="E88" i="1"/>
  <c r="D88" i="1"/>
  <c r="E87" i="1"/>
  <c r="D87" i="1"/>
  <c r="E86" i="1"/>
  <c r="D86" i="1"/>
  <c r="E85" i="1"/>
  <c r="D85" i="1"/>
  <c r="E84" i="1"/>
  <c r="D84" i="1"/>
  <c r="E83" i="1"/>
  <c r="D83" i="1"/>
  <c r="E82" i="1"/>
  <c r="D82" i="1"/>
  <c r="E81" i="1"/>
  <c r="D81" i="1"/>
  <c r="E80" i="1"/>
  <c r="D80" i="1"/>
  <c r="E79" i="1"/>
  <c r="D79" i="1"/>
  <c r="E78" i="1"/>
  <c r="D78" i="1"/>
  <c r="E77" i="1"/>
  <c r="D77" i="1"/>
  <c r="E76" i="1"/>
  <c r="D76" i="1"/>
  <c r="E75" i="1"/>
  <c r="D75" i="1"/>
  <c r="E74" i="1"/>
  <c r="D74" i="1"/>
  <c r="K72" i="1"/>
  <c r="S72" i="1" s="1"/>
  <c r="L73" i="1"/>
  <c r="S73" i="1"/>
  <c r="Q73" i="1"/>
  <c r="E73" i="1"/>
  <c r="D73" i="1"/>
  <c r="L72" i="1"/>
  <c r="E72" i="1"/>
  <c r="D72" i="1"/>
  <c r="L63" i="1"/>
  <c r="K63" i="1"/>
  <c r="S63" i="1" s="1"/>
  <c r="J63" i="1"/>
  <c r="H63" i="1"/>
  <c r="E63" i="1"/>
  <c r="D63" i="1"/>
  <c r="L39" i="1"/>
  <c r="K39" i="1"/>
  <c r="S39" i="1" s="1"/>
  <c r="J39" i="1"/>
  <c r="H39" i="1"/>
  <c r="G39" i="1"/>
  <c r="E39" i="1"/>
  <c r="D39" i="1"/>
  <c r="L71" i="1"/>
  <c r="L64" i="1"/>
  <c r="L66" i="1"/>
  <c r="L69" i="1"/>
  <c r="L68" i="1"/>
  <c r="L67" i="1"/>
  <c r="L70" i="1"/>
  <c r="L62" i="1"/>
  <c r="L65" i="1"/>
  <c r="L60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L35" i="1"/>
  <c r="L37" i="1"/>
  <c r="L38" i="1"/>
  <c r="L36" i="1"/>
  <c r="L34" i="1"/>
  <c r="L33" i="1"/>
  <c r="L32" i="1"/>
  <c r="L31" i="1"/>
  <c r="L30" i="1"/>
  <c r="L29" i="1"/>
  <c r="L28" i="1"/>
  <c r="L27" i="1"/>
  <c r="L26" i="1"/>
  <c r="L24" i="1"/>
  <c r="L23" i="1"/>
  <c r="L22" i="1"/>
  <c r="L21" i="1"/>
  <c r="L20" i="1"/>
  <c r="L19" i="1"/>
  <c r="L18" i="1"/>
  <c r="L17" i="1"/>
  <c r="L16" i="1"/>
  <c r="L15" i="1"/>
  <c r="L14" i="1"/>
  <c r="L13" i="1"/>
  <c r="L12" i="1"/>
  <c r="L11" i="1"/>
  <c r="L10" i="1"/>
  <c r="L9" i="1"/>
  <c r="L8" i="1"/>
  <c r="L7" i="1"/>
  <c r="L6" i="1"/>
  <c r="L5" i="1"/>
  <c r="L4" i="1"/>
  <c r="L3" i="1"/>
  <c r="L2" i="1"/>
  <c r="L61" i="1"/>
  <c r="L25" i="1"/>
  <c r="K71" i="1"/>
  <c r="S71" i="1" s="1"/>
  <c r="J71" i="1"/>
  <c r="H71" i="1"/>
  <c r="K64" i="1"/>
  <c r="S64" i="1" s="1"/>
  <c r="J64" i="1"/>
  <c r="H64" i="1"/>
  <c r="K66" i="1"/>
  <c r="S66" i="1" s="1"/>
  <c r="J66" i="1"/>
  <c r="H66" i="1"/>
  <c r="K69" i="1"/>
  <c r="S69" i="1" s="1"/>
  <c r="J69" i="1"/>
  <c r="H69" i="1"/>
  <c r="K68" i="1"/>
  <c r="S68" i="1" s="1"/>
  <c r="J68" i="1"/>
  <c r="H68" i="1"/>
  <c r="K67" i="1"/>
  <c r="S67" i="1" s="1"/>
  <c r="J67" i="1"/>
  <c r="H67" i="1"/>
  <c r="K70" i="1"/>
  <c r="S70" i="1" s="1"/>
  <c r="J70" i="1"/>
  <c r="H70" i="1"/>
  <c r="K62" i="1"/>
  <c r="S62" i="1" s="1"/>
  <c r="J62" i="1"/>
  <c r="H62" i="1"/>
  <c r="K65" i="1"/>
  <c r="S65" i="1" s="1"/>
  <c r="J65" i="1"/>
  <c r="H65" i="1"/>
  <c r="K60" i="1"/>
  <c r="S60" i="1" s="1"/>
  <c r="J60" i="1"/>
  <c r="I60" i="1"/>
  <c r="H60" i="1"/>
  <c r="K59" i="1"/>
  <c r="S59" i="1" s="1"/>
  <c r="J59" i="1"/>
  <c r="I59" i="1"/>
  <c r="H59" i="1"/>
  <c r="K58" i="1"/>
  <c r="S58" i="1" s="1"/>
  <c r="J58" i="1"/>
  <c r="I58" i="1"/>
  <c r="H58" i="1"/>
  <c r="K57" i="1"/>
  <c r="S57" i="1" s="1"/>
  <c r="J57" i="1"/>
  <c r="I57" i="1"/>
  <c r="H57" i="1"/>
  <c r="K56" i="1"/>
  <c r="S56" i="1" s="1"/>
  <c r="J56" i="1"/>
  <c r="I56" i="1"/>
  <c r="H56" i="1"/>
  <c r="K55" i="1"/>
  <c r="S55" i="1" s="1"/>
  <c r="J55" i="1"/>
  <c r="I55" i="1"/>
  <c r="H55" i="1"/>
  <c r="K54" i="1"/>
  <c r="S54" i="1" s="1"/>
  <c r="J54" i="1"/>
  <c r="I54" i="1"/>
  <c r="H54" i="1"/>
  <c r="K53" i="1"/>
  <c r="S53" i="1" s="1"/>
  <c r="J53" i="1"/>
  <c r="I53" i="1"/>
  <c r="H53" i="1"/>
  <c r="K52" i="1"/>
  <c r="S52" i="1" s="1"/>
  <c r="J52" i="1"/>
  <c r="I52" i="1"/>
  <c r="H52" i="1"/>
  <c r="K51" i="1"/>
  <c r="S51" i="1" s="1"/>
  <c r="J51" i="1"/>
  <c r="I51" i="1"/>
  <c r="H51" i="1"/>
  <c r="K50" i="1"/>
  <c r="S50" i="1" s="1"/>
  <c r="J50" i="1"/>
  <c r="I50" i="1"/>
  <c r="H50" i="1"/>
  <c r="K49" i="1"/>
  <c r="S49" i="1" s="1"/>
  <c r="J49" i="1"/>
  <c r="I49" i="1"/>
  <c r="H49" i="1"/>
  <c r="K48" i="1"/>
  <c r="S48" i="1" s="1"/>
  <c r="J48" i="1"/>
  <c r="I48" i="1"/>
  <c r="H48" i="1"/>
  <c r="K47" i="1"/>
  <c r="S47" i="1" s="1"/>
  <c r="J47" i="1"/>
  <c r="I47" i="1"/>
  <c r="H47" i="1"/>
  <c r="K46" i="1"/>
  <c r="S46" i="1" s="1"/>
  <c r="J46" i="1"/>
  <c r="I46" i="1"/>
  <c r="H46" i="1"/>
  <c r="K45" i="1"/>
  <c r="S45" i="1" s="1"/>
  <c r="J45" i="1"/>
  <c r="I45" i="1"/>
  <c r="H45" i="1"/>
  <c r="K44" i="1"/>
  <c r="S44" i="1" s="1"/>
  <c r="J44" i="1"/>
  <c r="I44" i="1"/>
  <c r="H44" i="1"/>
  <c r="K43" i="1"/>
  <c r="S43" i="1" s="1"/>
  <c r="J43" i="1"/>
  <c r="I43" i="1"/>
  <c r="H43" i="1"/>
  <c r="K42" i="1"/>
  <c r="S42" i="1" s="1"/>
  <c r="J42" i="1"/>
  <c r="I42" i="1"/>
  <c r="H42" i="1"/>
  <c r="K41" i="1"/>
  <c r="S41" i="1" s="1"/>
  <c r="J41" i="1"/>
  <c r="I41" i="1"/>
  <c r="H41" i="1"/>
  <c r="K40" i="1"/>
  <c r="S40" i="1" s="1"/>
  <c r="J40" i="1"/>
  <c r="H40" i="1"/>
  <c r="K35" i="1"/>
  <c r="S35" i="1" s="1"/>
  <c r="J35" i="1"/>
  <c r="H35" i="1"/>
  <c r="K37" i="1"/>
  <c r="S37" i="1" s="1"/>
  <c r="J37" i="1"/>
  <c r="H37" i="1"/>
  <c r="K38" i="1"/>
  <c r="S38" i="1" s="1"/>
  <c r="J38" i="1"/>
  <c r="H38" i="1"/>
  <c r="K36" i="1"/>
  <c r="S36" i="1" s="1"/>
  <c r="J36" i="1"/>
  <c r="H36" i="1"/>
  <c r="K34" i="1"/>
  <c r="S34" i="1" s="1"/>
  <c r="J34" i="1"/>
  <c r="I34" i="1"/>
  <c r="H34" i="1"/>
  <c r="K33" i="1"/>
  <c r="J33" i="1"/>
  <c r="I33" i="1"/>
  <c r="H33" i="1"/>
  <c r="K32" i="1"/>
  <c r="S32" i="1" s="1"/>
  <c r="J32" i="1"/>
  <c r="I32" i="1"/>
  <c r="H32" i="1"/>
  <c r="K31" i="1"/>
  <c r="S31" i="1" s="1"/>
  <c r="J31" i="1"/>
  <c r="I31" i="1"/>
  <c r="H31" i="1"/>
  <c r="K30" i="1"/>
  <c r="J30" i="1"/>
  <c r="I30" i="1"/>
  <c r="H30" i="1"/>
  <c r="K29" i="1"/>
  <c r="S29" i="1" s="1"/>
  <c r="J29" i="1"/>
  <c r="I29" i="1"/>
  <c r="H29" i="1"/>
  <c r="K28" i="1"/>
  <c r="S28" i="1" s="1"/>
  <c r="J28" i="1"/>
  <c r="I28" i="1"/>
  <c r="H28" i="1"/>
  <c r="K27" i="1"/>
  <c r="S27" i="1" s="1"/>
  <c r="J27" i="1"/>
  <c r="I27" i="1"/>
  <c r="H27" i="1"/>
  <c r="K26" i="1"/>
  <c r="S26" i="1" s="1"/>
  <c r="J26" i="1"/>
  <c r="I26" i="1"/>
  <c r="H26" i="1"/>
  <c r="K24" i="1"/>
  <c r="S24" i="1" s="1"/>
  <c r="J24" i="1"/>
  <c r="I24" i="1"/>
  <c r="H24" i="1"/>
  <c r="K23" i="1"/>
  <c r="J23" i="1"/>
  <c r="I23" i="1"/>
  <c r="H23" i="1"/>
  <c r="K22" i="1"/>
  <c r="S22" i="1" s="1"/>
  <c r="J22" i="1"/>
  <c r="I22" i="1"/>
  <c r="H22" i="1"/>
  <c r="K21" i="1"/>
  <c r="S21" i="1" s="1"/>
  <c r="J21" i="1"/>
  <c r="I21" i="1"/>
  <c r="H21" i="1"/>
  <c r="K20" i="1"/>
  <c r="S20" i="1" s="1"/>
  <c r="J20" i="1"/>
  <c r="I20" i="1"/>
  <c r="H20" i="1"/>
  <c r="K19" i="1"/>
  <c r="J19" i="1"/>
  <c r="I19" i="1"/>
  <c r="H19" i="1"/>
  <c r="K18" i="1"/>
  <c r="S18" i="1" s="1"/>
  <c r="J18" i="1"/>
  <c r="I18" i="1"/>
  <c r="H18" i="1"/>
  <c r="K17" i="1"/>
  <c r="S17" i="1" s="1"/>
  <c r="J17" i="1"/>
  <c r="I17" i="1"/>
  <c r="H17" i="1"/>
  <c r="K16" i="1"/>
  <c r="S16" i="1" s="1"/>
  <c r="J16" i="1"/>
  <c r="I16" i="1"/>
  <c r="H16" i="1"/>
  <c r="K15" i="1"/>
  <c r="S15" i="1" s="1"/>
  <c r="J15" i="1"/>
  <c r="I15" i="1"/>
  <c r="H15" i="1"/>
  <c r="K14" i="1"/>
  <c r="J14" i="1"/>
  <c r="I14" i="1"/>
  <c r="H14" i="1"/>
  <c r="K13" i="1"/>
  <c r="S13" i="1" s="1"/>
  <c r="J13" i="1"/>
  <c r="I13" i="1"/>
  <c r="H13" i="1"/>
  <c r="K12" i="1"/>
  <c r="S12" i="1" s="1"/>
  <c r="J12" i="1"/>
  <c r="I12" i="1"/>
  <c r="H12" i="1"/>
  <c r="K11" i="1"/>
  <c r="J11" i="1"/>
  <c r="I11" i="1"/>
  <c r="H11" i="1"/>
  <c r="K10" i="1"/>
  <c r="S10" i="1" s="1"/>
  <c r="J10" i="1"/>
  <c r="I10" i="1"/>
  <c r="H10" i="1"/>
  <c r="K9" i="1"/>
  <c r="S9" i="1" s="1"/>
  <c r="J9" i="1"/>
  <c r="I9" i="1"/>
  <c r="H9" i="1"/>
  <c r="K8" i="1"/>
  <c r="S8" i="1" s="1"/>
  <c r="J8" i="1"/>
  <c r="I8" i="1"/>
  <c r="H8" i="1"/>
  <c r="K7" i="1"/>
  <c r="J7" i="1"/>
  <c r="I7" i="1"/>
  <c r="H7" i="1"/>
  <c r="K6" i="1"/>
  <c r="S6" i="1" s="1"/>
  <c r="J6" i="1"/>
  <c r="I6" i="1"/>
  <c r="H6" i="1"/>
  <c r="K5" i="1"/>
  <c r="S5" i="1" s="1"/>
  <c r="J5" i="1"/>
  <c r="I5" i="1"/>
  <c r="H5" i="1"/>
  <c r="K4" i="1"/>
  <c r="S4" i="1" s="1"/>
  <c r="J4" i="1"/>
  <c r="I4" i="1"/>
  <c r="H4" i="1"/>
  <c r="K3" i="1"/>
  <c r="S3" i="1" s="1"/>
  <c r="J3" i="1"/>
  <c r="I3" i="1"/>
  <c r="H3" i="1"/>
  <c r="K2" i="1"/>
  <c r="J2" i="1"/>
  <c r="I2" i="1"/>
  <c r="H2" i="1"/>
  <c r="K61" i="1"/>
  <c r="S61" i="1" s="1"/>
  <c r="J61" i="1"/>
  <c r="I61" i="1"/>
  <c r="H61" i="1"/>
  <c r="K25" i="1"/>
  <c r="S25" i="1" s="1"/>
  <c r="J25" i="1"/>
  <c r="I25" i="1"/>
  <c r="H25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5" i="1"/>
  <c r="G37" i="1"/>
  <c r="G38" i="1"/>
  <c r="G36" i="1"/>
  <c r="G34" i="1"/>
  <c r="G33" i="1"/>
  <c r="G32" i="1"/>
  <c r="G31" i="1"/>
  <c r="G30" i="1"/>
  <c r="G29" i="1"/>
  <c r="G28" i="1"/>
  <c r="G27" i="1"/>
  <c r="G26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  <c r="G3" i="1"/>
  <c r="G2" i="1"/>
  <c r="G25" i="1"/>
  <c r="E71" i="1"/>
  <c r="D71" i="1"/>
  <c r="E64" i="1"/>
  <c r="D64" i="1"/>
  <c r="E66" i="1"/>
  <c r="D66" i="1"/>
  <c r="E69" i="1"/>
  <c r="D69" i="1"/>
  <c r="E68" i="1"/>
  <c r="D68" i="1"/>
  <c r="E67" i="1"/>
  <c r="D67" i="1"/>
  <c r="E70" i="1"/>
  <c r="D70" i="1"/>
  <c r="E62" i="1"/>
  <c r="D62" i="1"/>
  <c r="E65" i="1"/>
  <c r="D65" i="1"/>
  <c r="E60" i="1"/>
  <c r="D60" i="1"/>
  <c r="E59" i="1"/>
  <c r="D59" i="1"/>
  <c r="E58" i="1"/>
  <c r="D58" i="1"/>
  <c r="E57" i="1"/>
  <c r="D57" i="1"/>
  <c r="E56" i="1"/>
  <c r="D56" i="1"/>
  <c r="E55" i="1"/>
  <c r="D55" i="1"/>
  <c r="E54" i="1"/>
  <c r="D54" i="1"/>
  <c r="E53" i="1"/>
  <c r="D53" i="1"/>
  <c r="E52" i="1"/>
  <c r="D52" i="1"/>
  <c r="E51" i="1"/>
  <c r="D51" i="1"/>
  <c r="E50" i="1"/>
  <c r="D50" i="1"/>
  <c r="E49" i="1"/>
  <c r="D49" i="1"/>
  <c r="E48" i="1"/>
  <c r="D48" i="1"/>
  <c r="E47" i="1"/>
  <c r="D47" i="1"/>
  <c r="E46" i="1"/>
  <c r="D46" i="1"/>
  <c r="E45" i="1"/>
  <c r="D45" i="1"/>
  <c r="E44" i="1"/>
  <c r="D44" i="1"/>
  <c r="E43" i="1"/>
  <c r="D43" i="1"/>
  <c r="E42" i="1"/>
  <c r="D42" i="1"/>
  <c r="E41" i="1"/>
  <c r="D41" i="1"/>
  <c r="E40" i="1"/>
  <c r="D40" i="1"/>
  <c r="E35" i="1"/>
  <c r="D35" i="1"/>
  <c r="E37" i="1"/>
  <c r="D37" i="1"/>
  <c r="E38" i="1"/>
  <c r="D38" i="1"/>
  <c r="E36" i="1"/>
  <c r="D36" i="1"/>
  <c r="E34" i="1"/>
  <c r="D34" i="1"/>
  <c r="E33" i="1"/>
  <c r="D33" i="1"/>
  <c r="E32" i="1"/>
  <c r="D32" i="1"/>
  <c r="E31" i="1"/>
  <c r="D31" i="1"/>
  <c r="E30" i="1"/>
  <c r="D30" i="1"/>
  <c r="E29" i="1"/>
  <c r="D29" i="1"/>
  <c r="E28" i="1"/>
  <c r="D28" i="1"/>
  <c r="E27" i="1"/>
  <c r="D27" i="1"/>
  <c r="E26" i="1"/>
  <c r="D26" i="1"/>
  <c r="E24" i="1"/>
  <c r="D24" i="1"/>
  <c r="E23" i="1"/>
  <c r="D23" i="1"/>
  <c r="E22" i="1"/>
  <c r="D22" i="1"/>
  <c r="E21" i="1"/>
  <c r="D21" i="1"/>
  <c r="E20" i="1"/>
  <c r="D20" i="1"/>
  <c r="E19" i="1"/>
  <c r="D19" i="1"/>
  <c r="E18" i="1"/>
  <c r="D18" i="1"/>
  <c r="E17" i="1"/>
  <c r="D17" i="1"/>
  <c r="E16" i="1"/>
  <c r="D16" i="1"/>
  <c r="E15" i="1"/>
  <c r="D15" i="1"/>
  <c r="E14" i="1"/>
  <c r="D14" i="1"/>
  <c r="E13" i="1"/>
  <c r="D13" i="1"/>
  <c r="E12" i="1"/>
  <c r="D12" i="1"/>
  <c r="E11" i="1"/>
  <c r="D11" i="1"/>
  <c r="E10" i="1"/>
  <c r="D10" i="1"/>
  <c r="E9" i="1"/>
  <c r="D9" i="1"/>
  <c r="E8" i="1"/>
  <c r="D8" i="1"/>
  <c r="E7" i="1"/>
  <c r="D7" i="1"/>
  <c r="E6" i="1"/>
  <c r="D6" i="1"/>
  <c r="E5" i="1"/>
  <c r="D5" i="1"/>
  <c r="E4" i="1"/>
  <c r="D4" i="1"/>
  <c r="E3" i="1"/>
  <c r="D3" i="1"/>
  <c r="E2" i="1"/>
  <c r="D2" i="1"/>
  <c r="E61" i="1"/>
  <c r="D61" i="1"/>
  <c r="E25" i="1"/>
  <c r="D25" i="1"/>
  <c r="Q281" i="1" l="1"/>
  <c r="Q313" i="1"/>
  <c r="Q300" i="1"/>
  <c r="Q143" i="1"/>
  <c r="Q145" i="1"/>
  <c r="Q147" i="1"/>
  <c r="Q149" i="1"/>
  <c r="Q151" i="1"/>
  <c r="Q153" i="1"/>
  <c r="Q155" i="1"/>
  <c r="Q157" i="1"/>
  <c r="Q159" i="1"/>
  <c r="Q161" i="1"/>
  <c r="Q163" i="1"/>
  <c r="Q165" i="1"/>
  <c r="Q167" i="1"/>
  <c r="Q169" i="1"/>
  <c r="Q171" i="1"/>
  <c r="Q173" i="1"/>
  <c r="Q175" i="1"/>
  <c r="Q177" i="1"/>
  <c r="Q179" i="1"/>
  <c r="Q181" i="1"/>
  <c r="Q183" i="1"/>
  <c r="Q185" i="1"/>
  <c r="Q141" i="1"/>
  <c r="Q74" i="1"/>
  <c r="Q78" i="1"/>
  <c r="Q80" i="1"/>
  <c r="Q82" i="1"/>
  <c r="Q84" i="1"/>
  <c r="Q86" i="1"/>
  <c r="Q88" i="1"/>
  <c r="Q90" i="1"/>
  <c r="Q92" i="1"/>
  <c r="Q94" i="1"/>
  <c r="Q96" i="1"/>
  <c r="Q98" i="1"/>
  <c r="Q100" i="1"/>
  <c r="Q102" i="1"/>
  <c r="Q104" i="1"/>
  <c r="Q106" i="1"/>
  <c r="Q108" i="1"/>
  <c r="Q110" i="1"/>
  <c r="Q112" i="1"/>
  <c r="Q114" i="1"/>
  <c r="Q116" i="1"/>
  <c r="Q118" i="1"/>
  <c r="Q120" i="1"/>
  <c r="Q122" i="1"/>
  <c r="Q124" i="1"/>
  <c r="Q126" i="1"/>
  <c r="Q128" i="1"/>
  <c r="Q130" i="1"/>
  <c r="Q132" i="1"/>
  <c r="Q134" i="1"/>
  <c r="Q136" i="1"/>
  <c r="Q138" i="1"/>
  <c r="Q204" i="1"/>
  <c r="Q188" i="1"/>
  <c r="Q190" i="1"/>
  <c r="Q192" i="1"/>
  <c r="Q194" i="1"/>
  <c r="Q196" i="1"/>
  <c r="Q198" i="1"/>
  <c r="Q200" i="1"/>
  <c r="Q202" i="1"/>
  <c r="Q205" i="1"/>
  <c r="Q207" i="1"/>
  <c r="Q209" i="1"/>
  <c r="Q211" i="1"/>
  <c r="Q213" i="1"/>
  <c r="Q215" i="1"/>
  <c r="Q217" i="1"/>
  <c r="Q219" i="1"/>
  <c r="Q221" i="1"/>
  <c r="Q223" i="1"/>
  <c r="Q225" i="1"/>
  <c r="Q227" i="1"/>
  <c r="Q229" i="1"/>
  <c r="Q231" i="1"/>
  <c r="Q233" i="1"/>
  <c r="Q235" i="1"/>
  <c r="Q237" i="1"/>
  <c r="Q239" i="1"/>
  <c r="Q241" i="1"/>
  <c r="Q243" i="1"/>
  <c r="Q245" i="1"/>
  <c r="Q247" i="1"/>
  <c r="Q249" i="1"/>
  <c r="Q251" i="1"/>
  <c r="Q253" i="1"/>
  <c r="Q255" i="1"/>
  <c r="Q257" i="1"/>
  <c r="Q259" i="1"/>
  <c r="Q261" i="1"/>
  <c r="Q263" i="1"/>
  <c r="Q265" i="1"/>
  <c r="Q267" i="1"/>
  <c r="Q269" i="1"/>
  <c r="Q271" i="1"/>
  <c r="Q273" i="1"/>
  <c r="Q275" i="1"/>
  <c r="Q277" i="1"/>
  <c r="Q279" i="1"/>
  <c r="Q282" i="1"/>
  <c r="Q284" i="1"/>
  <c r="Q286" i="1"/>
  <c r="Q288" i="1"/>
  <c r="Q290" i="1"/>
  <c r="Q292" i="1"/>
  <c r="Q294" i="1"/>
  <c r="Q296" i="1"/>
  <c r="Q298" i="1"/>
  <c r="Q301" i="1"/>
  <c r="Q303" i="1"/>
  <c r="Q305" i="1"/>
  <c r="Q307" i="1"/>
  <c r="Q309" i="1"/>
  <c r="Q311" i="1"/>
  <c r="Q314" i="1"/>
  <c r="Q316" i="1"/>
  <c r="Q318" i="1"/>
  <c r="Q323" i="1"/>
  <c r="Q325" i="1"/>
  <c r="Q329" i="1"/>
  <c r="Q331" i="1"/>
  <c r="Q333" i="1"/>
  <c r="Q337" i="1"/>
  <c r="Q340" i="1"/>
  <c r="Q343" i="1"/>
  <c r="Q321" i="1"/>
  <c r="Q334" i="1"/>
  <c r="Q339" i="1"/>
  <c r="Q344" i="1"/>
  <c r="Q346" i="1"/>
  <c r="Q348" i="1"/>
  <c r="Q350" i="1"/>
  <c r="Q352" i="1"/>
  <c r="Q354" i="1"/>
  <c r="Q357" i="1"/>
  <c r="Q359" i="1"/>
  <c r="Q361" i="1"/>
  <c r="Q363" i="1"/>
  <c r="Q365" i="1"/>
  <c r="Q367" i="1"/>
  <c r="Q369" i="1"/>
  <c r="Q371" i="1"/>
  <c r="Q373" i="1"/>
  <c r="Q442" i="1"/>
  <c r="Q376" i="1"/>
  <c r="Q378" i="1"/>
  <c r="Q380" i="1"/>
  <c r="Q382" i="1"/>
  <c r="Q384" i="1"/>
  <c r="Q386" i="1"/>
  <c r="Q389" i="1"/>
  <c r="Q392" i="1"/>
  <c r="Q394" i="1"/>
  <c r="Q396" i="1"/>
  <c r="Q398" i="1"/>
  <c r="Q400" i="1"/>
  <c r="Q402" i="1"/>
  <c r="Q406" i="1"/>
  <c r="Q408" i="1"/>
  <c r="Q410" i="1"/>
  <c r="Q412" i="1"/>
  <c r="Q414" i="1"/>
  <c r="Q416" i="1"/>
  <c r="Q418" i="1"/>
  <c r="Q420" i="1"/>
  <c r="Q422" i="1"/>
  <c r="Q424" i="1"/>
  <c r="Q426" i="1"/>
  <c r="Q428" i="1"/>
  <c r="Q430" i="1"/>
  <c r="Q432" i="1"/>
  <c r="Q434" i="1"/>
  <c r="Q436" i="1"/>
  <c r="Q438" i="1"/>
  <c r="Q440" i="1"/>
  <c r="Q443" i="1"/>
  <c r="Q445" i="1"/>
  <c r="Q447" i="1"/>
  <c r="Q449" i="1"/>
  <c r="Q451" i="1"/>
  <c r="Q454" i="1"/>
  <c r="Q456" i="1"/>
  <c r="Q458" i="1"/>
  <c r="Q461" i="1"/>
  <c r="Q463" i="1"/>
  <c r="Q465" i="1"/>
  <c r="Q467" i="1"/>
  <c r="Q469" i="1"/>
  <c r="Q471" i="1"/>
  <c r="Q473" i="1"/>
  <c r="Q475" i="1"/>
  <c r="Q477" i="1"/>
  <c r="Q479" i="1"/>
  <c r="Q481" i="1"/>
  <c r="Q483" i="1"/>
  <c r="Q485" i="1"/>
  <c r="Q487" i="1"/>
  <c r="Q489" i="1"/>
  <c r="Q491" i="1"/>
  <c r="Q493" i="1"/>
  <c r="Q495" i="1"/>
  <c r="Q497" i="1"/>
  <c r="Q499" i="1"/>
  <c r="Q502" i="1"/>
  <c r="Q504" i="1"/>
  <c r="Q506" i="1"/>
  <c r="Q508" i="1"/>
  <c r="Q510" i="1"/>
  <c r="Q512" i="1"/>
  <c r="Q514" i="1"/>
  <c r="Q516" i="1"/>
  <c r="Q518" i="1"/>
  <c r="Q520" i="1"/>
  <c r="Q522" i="1"/>
  <c r="Q524" i="1"/>
  <c r="Q526" i="1"/>
  <c r="Q528" i="1"/>
  <c r="Q530" i="1"/>
  <c r="Q533" i="1"/>
  <c r="Q535" i="1"/>
  <c r="Q537" i="1"/>
  <c r="Q539" i="1"/>
  <c r="Q541" i="1"/>
  <c r="Q543" i="1"/>
  <c r="Q545" i="1"/>
  <c r="Q547" i="1"/>
  <c r="Q549" i="1"/>
  <c r="Q551" i="1"/>
  <c r="Q554" i="1"/>
  <c r="Q556" i="1"/>
  <c r="Q558" i="1"/>
  <c r="Q560" i="1"/>
  <c r="Q562" i="1"/>
  <c r="Q564" i="1"/>
  <c r="Q566" i="1"/>
  <c r="Q570" i="1"/>
  <c r="Q572" i="1"/>
  <c r="Q577" i="1"/>
  <c r="Q553" i="1"/>
  <c r="Q567" i="1"/>
  <c r="Q580" i="1"/>
  <c r="Q582" i="1"/>
  <c r="Q186" i="1"/>
  <c r="Q584" i="1"/>
  <c r="Q586" i="1"/>
  <c r="Q588" i="1"/>
  <c r="Q590" i="1"/>
  <c r="Q592" i="1"/>
  <c r="Q594" i="1"/>
  <c r="Q596" i="1"/>
  <c r="Q598" i="1"/>
  <c r="Q600" i="1"/>
  <c r="Q602" i="1"/>
  <c r="Q604" i="1"/>
  <c r="Q606" i="1"/>
  <c r="Q608" i="1"/>
  <c r="Q610" i="1"/>
  <c r="Q612" i="1"/>
  <c r="Q614" i="1"/>
  <c r="Q616" i="1"/>
  <c r="Q618" i="1"/>
  <c r="Q620" i="1"/>
  <c r="Q622" i="1"/>
  <c r="Q624" i="1"/>
  <c r="Q626" i="1"/>
  <c r="Q628" i="1"/>
  <c r="Q630" i="1"/>
  <c r="Q632" i="1"/>
  <c r="Q634" i="1"/>
  <c r="Q636" i="1"/>
  <c r="Q638" i="1"/>
  <c r="Q640" i="1"/>
  <c r="Q642" i="1"/>
  <c r="Q644" i="1"/>
  <c r="Q646" i="1"/>
  <c r="Q648" i="1"/>
  <c r="Q650" i="1"/>
  <c r="Q652" i="1"/>
  <c r="Q654" i="1"/>
  <c r="Q656" i="1"/>
  <c r="Q658" i="1"/>
  <c r="Q660" i="1"/>
  <c r="Q662" i="1"/>
  <c r="Q664" i="1"/>
  <c r="Q666" i="1"/>
  <c r="Q668" i="1"/>
  <c r="Q670" i="1"/>
  <c r="Q672" i="1"/>
  <c r="Q674" i="1"/>
  <c r="Q676" i="1"/>
  <c r="Q678" i="1"/>
  <c r="Q680" i="1"/>
  <c r="Q682" i="1"/>
  <c r="Q684" i="1"/>
  <c r="Q686" i="1"/>
  <c r="Q688" i="1"/>
  <c r="Q690" i="1"/>
  <c r="Q692" i="1"/>
  <c r="Q694" i="1"/>
  <c r="Q696" i="1"/>
  <c r="Q698" i="1"/>
  <c r="Q700" i="1"/>
  <c r="Q702" i="1"/>
  <c r="Q704" i="1"/>
  <c r="Q706" i="1"/>
  <c r="Q708" i="1"/>
  <c r="Q710" i="1"/>
  <c r="Q712" i="1"/>
  <c r="Q714" i="1"/>
  <c r="Q716" i="1"/>
  <c r="Q718" i="1"/>
  <c r="Q720" i="1"/>
  <c r="Q722" i="1"/>
  <c r="Q724" i="1"/>
  <c r="Q726" i="1"/>
  <c r="Q728" i="1"/>
  <c r="Q730" i="1"/>
  <c r="Q732" i="1"/>
  <c r="Q734" i="1"/>
  <c r="Q736" i="1"/>
  <c r="Q738" i="1"/>
  <c r="Q740" i="1"/>
  <c r="Q742" i="1"/>
  <c r="Q744" i="1"/>
  <c r="Q746" i="1"/>
  <c r="Q748" i="1"/>
  <c r="Q750" i="1"/>
  <c r="Q1258" i="1"/>
  <c r="Q76" i="1"/>
  <c r="Q140" i="1"/>
  <c r="Q752" i="1"/>
  <c r="Q754" i="1"/>
  <c r="Q756" i="1"/>
  <c r="Q758" i="1"/>
  <c r="Q760" i="1"/>
  <c r="Q762" i="1"/>
  <c r="Q764" i="1"/>
  <c r="Q766" i="1"/>
  <c r="Q768" i="1"/>
  <c r="Q770" i="1"/>
  <c r="Q772" i="1"/>
  <c r="Q774" i="1"/>
  <c r="Q776" i="1"/>
  <c r="Q778" i="1"/>
  <c r="Q780" i="1"/>
  <c r="Q782" i="1"/>
  <c r="Q784" i="1"/>
  <c r="Q786" i="1"/>
  <c r="Q788" i="1"/>
  <c r="Q790" i="1"/>
  <c r="Q792" i="1"/>
  <c r="Q794" i="1"/>
  <c r="Q796" i="1"/>
  <c r="Q798" i="1"/>
  <c r="Q800" i="1"/>
  <c r="Q802" i="1"/>
  <c r="Q804" i="1"/>
  <c r="Q806" i="1"/>
  <c r="Q808" i="1"/>
  <c r="Q810" i="1"/>
  <c r="Q812" i="1"/>
  <c r="Q814" i="1"/>
  <c r="Q816" i="1"/>
  <c r="Q818" i="1"/>
  <c r="Q820" i="1"/>
  <c r="Q822" i="1"/>
  <c r="Q824" i="1"/>
  <c r="Q826" i="1"/>
  <c r="Q828" i="1"/>
  <c r="Q830" i="1"/>
  <c r="Q832" i="1"/>
  <c r="Q834" i="1"/>
  <c r="Q836" i="1"/>
  <c r="Q838" i="1"/>
  <c r="Q840" i="1"/>
  <c r="Q842" i="1"/>
  <c r="Q844" i="1"/>
  <c r="Q846" i="1"/>
  <c r="Q848" i="1"/>
  <c r="Q850" i="1"/>
  <c r="Q852" i="1"/>
  <c r="Q854" i="1"/>
  <c r="Q856" i="1"/>
  <c r="Q858" i="1"/>
  <c r="Q860" i="1"/>
  <c r="Q862" i="1"/>
  <c r="Q864" i="1"/>
  <c r="Q866" i="1"/>
  <c r="Q868" i="1"/>
  <c r="Q870" i="1"/>
  <c r="Q872" i="1"/>
  <c r="Q874" i="1"/>
  <c r="Q876" i="1"/>
  <c r="Q878" i="1"/>
  <c r="Q880" i="1"/>
  <c r="Q882" i="1"/>
  <c r="Q884" i="1"/>
  <c r="Q886" i="1"/>
  <c r="Q888" i="1"/>
  <c r="Q890" i="1"/>
  <c r="Q892" i="1"/>
  <c r="Q894" i="1"/>
  <c r="Q908" i="1"/>
  <c r="Q912" i="1"/>
  <c r="Q914" i="1"/>
  <c r="Q916" i="1"/>
  <c r="Q918" i="1"/>
  <c r="Q920" i="1"/>
  <c r="Q922" i="1"/>
  <c r="Q924" i="1"/>
  <c r="Q926" i="1"/>
  <c r="Q928" i="1"/>
  <c r="Q930" i="1"/>
  <c r="Q932" i="1"/>
  <c r="Q934" i="1"/>
  <c r="Q936" i="1"/>
  <c r="Q938" i="1"/>
  <c r="Q940" i="1"/>
  <c r="Q942" i="1"/>
  <c r="Q944" i="1"/>
  <c r="Q946" i="1"/>
  <c r="Q948" i="1"/>
  <c r="Q950" i="1"/>
  <c r="Q952" i="1"/>
  <c r="Q954" i="1"/>
  <c r="Q956" i="1"/>
  <c r="Q958" i="1"/>
  <c r="Q960" i="1"/>
  <c r="Q962" i="1"/>
  <c r="Q964" i="1"/>
  <c r="Q966" i="1"/>
  <c r="Q968" i="1"/>
  <c r="Q970" i="1"/>
  <c r="Q972" i="1"/>
  <c r="Q974" i="1"/>
  <c r="Q976" i="1"/>
  <c r="Q978" i="1"/>
  <c r="Q980" i="1"/>
  <c r="Q982" i="1"/>
  <c r="Q984" i="1"/>
  <c r="Q985" i="1"/>
  <c r="Q988" i="1"/>
  <c r="Q990" i="1"/>
  <c r="Q992" i="1"/>
  <c r="Q994" i="1"/>
  <c r="Q996" i="1"/>
  <c r="Q998" i="1"/>
  <c r="Q1000" i="1"/>
  <c r="Q1002" i="1"/>
  <c r="Q1005" i="1"/>
  <c r="Q1007" i="1"/>
  <c r="Q1009" i="1"/>
  <c r="Q1011" i="1"/>
  <c r="Q1013" i="1"/>
  <c r="Q1015" i="1"/>
  <c r="Q1017" i="1"/>
  <c r="Q404" i="1"/>
  <c r="Q898" i="1"/>
  <c r="Q902" i="1"/>
  <c r="Q910" i="1"/>
  <c r="Q896" i="1"/>
  <c r="Q904" i="1"/>
  <c r="Q900" i="1"/>
  <c r="Q906" i="1"/>
  <c r="Q75" i="1"/>
  <c r="Q77" i="1"/>
  <c r="Q79" i="1"/>
  <c r="Q81" i="1"/>
  <c r="Q83" i="1"/>
  <c r="Q85" i="1"/>
  <c r="Q87" i="1"/>
  <c r="Q89" i="1"/>
  <c r="Q91" i="1"/>
  <c r="Q93" i="1"/>
  <c r="Q95" i="1"/>
  <c r="Q97" i="1"/>
  <c r="Q99" i="1"/>
  <c r="Q101" i="1"/>
  <c r="Q103" i="1"/>
  <c r="Q105" i="1"/>
  <c r="Q107" i="1"/>
  <c r="Q109" i="1"/>
  <c r="Q111" i="1"/>
  <c r="Q113" i="1"/>
  <c r="Q115" i="1"/>
  <c r="Q117" i="1"/>
  <c r="Q119" i="1"/>
  <c r="Q121" i="1"/>
  <c r="Q123" i="1"/>
  <c r="Q125" i="1"/>
  <c r="Q127" i="1"/>
  <c r="Q129" i="1"/>
  <c r="Q131" i="1"/>
  <c r="Q133" i="1"/>
  <c r="Q135" i="1"/>
  <c r="Q137" i="1"/>
  <c r="Q139" i="1"/>
  <c r="Q142" i="1"/>
  <c r="Q144" i="1"/>
  <c r="Q146" i="1"/>
  <c r="Q148" i="1"/>
  <c r="Q150" i="1"/>
  <c r="Q152" i="1"/>
  <c r="Q154" i="1"/>
  <c r="Q156" i="1"/>
  <c r="Q158" i="1"/>
  <c r="Q160" i="1"/>
  <c r="Q162" i="1"/>
  <c r="Q164" i="1"/>
  <c r="Q166" i="1"/>
  <c r="Q168" i="1"/>
  <c r="Q170" i="1"/>
  <c r="Q172" i="1"/>
  <c r="Q174" i="1"/>
  <c r="Q176" i="1"/>
  <c r="Q178" i="1"/>
  <c r="Q180" i="1"/>
  <c r="Q182" i="1"/>
  <c r="Q184" i="1"/>
  <c r="Q187" i="1"/>
  <c r="Q189" i="1"/>
  <c r="Q191" i="1"/>
  <c r="Q193" i="1"/>
  <c r="Q195" i="1"/>
  <c r="Q197" i="1"/>
  <c r="Q199" i="1"/>
  <c r="Q201" i="1"/>
  <c r="Q203" i="1"/>
  <c r="Q206" i="1"/>
  <c r="Q208" i="1"/>
  <c r="Q210" i="1"/>
  <c r="Q212" i="1"/>
  <c r="Q214" i="1"/>
  <c r="Q216" i="1"/>
  <c r="Q218" i="1"/>
  <c r="Q220" i="1"/>
  <c r="Q222" i="1"/>
  <c r="Q224" i="1"/>
  <c r="Q226" i="1"/>
  <c r="Q228" i="1"/>
  <c r="Q230" i="1"/>
  <c r="Q232" i="1"/>
  <c r="Q234" i="1"/>
  <c r="Q236" i="1"/>
  <c r="Q238" i="1"/>
  <c r="Q240" i="1"/>
  <c r="Q242" i="1"/>
  <c r="Q244" i="1"/>
  <c r="Q246" i="1"/>
  <c r="Q248" i="1"/>
  <c r="Q250" i="1"/>
  <c r="Q252" i="1"/>
  <c r="Q254" i="1"/>
  <c r="Q256" i="1"/>
  <c r="Q258" i="1"/>
  <c r="Q260" i="1"/>
  <c r="Q262" i="1"/>
  <c r="Q264" i="1"/>
  <c r="Q266" i="1"/>
  <c r="Q268" i="1"/>
  <c r="Q270" i="1"/>
  <c r="Q272" i="1"/>
  <c r="Q274" i="1"/>
  <c r="Q276" i="1"/>
  <c r="Q278" i="1"/>
  <c r="Q280" i="1"/>
  <c r="Q283" i="1"/>
  <c r="Q285" i="1"/>
  <c r="Q287" i="1"/>
  <c r="Q289" i="1"/>
  <c r="Q291" i="1"/>
  <c r="Q293" i="1"/>
  <c r="Q295" i="1"/>
  <c r="Q297" i="1"/>
  <c r="Q299" i="1"/>
  <c r="Q302" i="1"/>
  <c r="Q304" i="1"/>
  <c r="Q306" i="1"/>
  <c r="Q308" i="1"/>
  <c r="Q310" i="1"/>
  <c r="Q312" i="1"/>
  <c r="Q315" i="1"/>
  <c r="Q317" i="1"/>
  <c r="Q319" i="1"/>
  <c r="Q322" i="1"/>
  <c r="Q324" i="1"/>
  <c r="Q326" i="1"/>
  <c r="Q330" i="1"/>
  <c r="Q332" i="1"/>
  <c r="Q335" i="1"/>
  <c r="Q338" i="1"/>
  <c r="Q342" i="1"/>
  <c r="Q327" i="1"/>
  <c r="Q328" i="1"/>
  <c r="Q336" i="1"/>
  <c r="Q341" i="1"/>
  <c r="Q345" i="1"/>
  <c r="Q347" i="1"/>
  <c r="Q349" i="1"/>
  <c r="Q351" i="1"/>
  <c r="Q353" i="1"/>
  <c r="Q355" i="1"/>
  <c r="Q358" i="1"/>
  <c r="Q360" i="1"/>
  <c r="Q362" i="1"/>
  <c r="Q364" i="1"/>
  <c r="Q366" i="1"/>
  <c r="Q368" i="1"/>
  <c r="Q370" i="1"/>
  <c r="Q372" i="1"/>
  <c r="Q374" i="1"/>
  <c r="Q375" i="1"/>
  <c r="Q377" i="1"/>
  <c r="Q379" i="1"/>
  <c r="Q381" i="1"/>
  <c r="Q383" i="1"/>
  <c r="Q385" i="1"/>
  <c r="Q388" i="1"/>
  <c r="Q391" i="1"/>
  <c r="Q393" i="1"/>
  <c r="Q395" i="1"/>
  <c r="Q397" i="1"/>
  <c r="Q399" i="1"/>
  <c r="Q401" i="1"/>
  <c r="Q403" i="1"/>
  <c r="Q405" i="1"/>
  <c r="Q407" i="1"/>
  <c r="Q409" i="1"/>
  <c r="Q411" i="1"/>
  <c r="Q413" i="1"/>
  <c r="Q415" i="1"/>
  <c r="Q417" i="1"/>
  <c r="Q419" i="1"/>
  <c r="Q421" i="1"/>
  <c r="Q423" i="1"/>
  <c r="Q425" i="1"/>
  <c r="Q427" i="1"/>
  <c r="Q429" i="1"/>
  <c r="Q431" i="1"/>
  <c r="Q433" i="1"/>
  <c r="Q435" i="1"/>
  <c r="Q437" i="1"/>
  <c r="Q439" i="1"/>
  <c r="Q441" i="1"/>
  <c r="Q444" i="1"/>
  <c r="Q446" i="1"/>
  <c r="Q448" i="1"/>
  <c r="Q450" i="1"/>
  <c r="Q453" i="1"/>
  <c r="Q455" i="1"/>
  <c r="Q457" i="1"/>
  <c r="Q460" i="1"/>
  <c r="Q462" i="1"/>
  <c r="Q464" i="1"/>
  <c r="Q466" i="1"/>
  <c r="Q468" i="1"/>
  <c r="Q470" i="1"/>
  <c r="Q472" i="1"/>
  <c r="Q474" i="1"/>
  <c r="Q476" i="1"/>
  <c r="Q527" i="1"/>
  <c r="Q529" i="1"/>
  <c r="Q557" i="1"/>
  <c r="Q559" i="1"/>
  <c r="Q561" i="1"/>
  <c r="Q563" i="1"/>
  <c r="Q565" i="1"/>
  <c r="Q569" i="1"/>
  <c r="Q571" i="1"/>
  <c r="Q574" i="1"/>
  <c r="Q578" i="1"/>
  <c r="Q579" i="1"/>
  <c r="Q573" i="1"/>
  <c r="Q581" i="1"/>
  <c r="Q583" i="1"/>
  <c r="Q585" i="1"/>
  <c r="Q587" i="1"/>
  <c r="Q589" i="1"/>
  <c r="Q591" i="1"/>
  <c r="Q593" i="1"/>
  <c r="Q595" i="1"/>
  <c r="Q597" i="1"/>
  <c r="Q599" i="1"/>
  <c r="Q601" i="1"/>
  <c r="Q603" i="1"/>
  <c r="Q605" i="1"/>
  <c r="Q607" i="1"/>
  <c r="Q609" i="1"/>
  <c r="Q611" i="1"/>
  <c r="Q613" i="1"/>
  <c r="Q615" i="1"/>
  <c r="Q617" i="1"/>
  <c r="Q1020" i="1"/>
  <c r="Q1022" i="1"/>
  <c r="Q1024" i="1"/>
  <c r="Q1027" i="1"/>
  <c r="Q1029" i="1"/>
  <c r="Q1032" i="1"/>
  <c r="Q1035" i="1"/>
  <c r="Q1037" i="1"/>
  <c r="Q1039" i="1"/>
  <c r="Q1041" i="1"/>
  <c r="Q1043" i="1"/>
  <c r="Q1045" i="1"/>
  <c r="Q1047" i="1"/>
  <c r="Q1050" i="1"/>
  <c r="Q1053" i="1"/>
  <c r="Q1055" i="1"/>
  <c r="Q1057" i="1"/>
  <c r="Q1059" i="1"/>
  <c r="Q1064" i="1"/>
  <c r="Q1068" i="1"/>
  <c r="Q1004" i="1"/>
  <c r="Q1019" i="1"/>
  <c r="Q1031" i="1"/>
  <c r="Q1049" i="1"/>
  <c r="Q1060" i="1"/>
  <c r="Q1062" i="1"/>
  <c r="Q1072" i="1"/>
  <c r="Q1074" i="1"/>
  <c r="Q1076" i="1"/>
  <c r="Q1078" i="1"/>
  <c r="Q1080" i="1"/>
  <c r="Q1082" i="1"/>
  <c r="Q1084" i="1"/>
  <c r="Q1086" i="1"/>
  <c r="Q619" i="1"/>
  <c r="Q621" i="1"/>
  <c r="Q623" i="1"/>
  <c r="Q625" i="1"/>
  <c r="Q627" i="1"/>
  <c r="Q629" i="1"/>
  <c r="Q631" i="1"/>
  <c r="Q633" i="1"/>
  <c r="Q635" i="1"/>
  <c r="Q691" i="1"/>
  <c r="Q717" i="1"/>
  <c r="Q719" i="1"/>
  <c r="Q721" i="1"/>
  <c r="Q723" i="1"/>
  <c r="Q725" i="1"/>
  <c r="Q727" i="1"/>
  <c r="Q729" i="1"/>
  <c r="Q731" i="1"/>
  <c r="Q733" i="1"/>
  <c r="Q735" i="1"/>
  <c r="Q737" i="1"/>
  <c r="Q739" i="1"/>
  <c r="Q741" i="1"/>
  <c r="Q743" i="1"/>
  <c r="Q745" i="1"/>
  <c r="Q747" i="1"/>
  <c r="Q749" i="1"/>
  <c r="Q751" i="1"/>
  <c r="Q753" i="1"/>
  <c r="Q755" i="1"/>
  <c r="Q757" i="1"/>
  <c r="Q759" i="1"/>
  <c r="Q761" i="1"/>
  <c r="Q763" i="1"/>
  <c r="Q765" i="1"/>
  <c r="Q767" i="1"/>
  <c r="Q769" i="1"/>
  <c r="Q771" i="1"/>
  <c r="Q773" i="1"/>
  <c r="Q775" i="1"/>
  <c r="Q777" i="1"/>
  <c r="Q779" i="1"/>
  <c r="Q781" i="1"/>
  <c r="Q783" i="1"/>
  <c r="Q785" i="1"/>
  <c r="Q787" i="1"/>
  <c r="Q789" i="1"/>
  <c r="Q791" i="1"/>
  <c r="Q793" i="1"/>
  <c r="Q795" i="1"/>
  <c r="Q797" i="1"/>
  <c r="Q799" i="1"/>
  <c r="Q801" i="1"/>
  <c r="Q803" i="1"/>
  <c r="Q805" i="1"/>
  <c r="Q807" i="1"/>
  <c r="Q809" i="1"/>
  <c r="Q811" i="1"/>
  <c r="Q813" i="1"/>
  <c r="Q815" i="1"/>
  <c r="Q817" i="1"/>
  <c r="Q819" i="1"/>
  <c r="Q821" i="1"/>
  <c r="Q823" i="1"/>
  <c r="Q825" i="1"/>
  <c r="Q827" i="1"/>
  <c r="Q829" i="1"/>
  <c r="Q831" i="1"/>
  <c r="Q833" i="1"/>
  <c r="Q835" i="1"/>
  <c r="Q837" i="1"/>
  <c r="Q839" i="1"/>
  <c r="Q841" i="1"/>
  <c r="Q843" i="1"/>
  <c r="Q845" i="1"/>
  <c r="Q847" i="1"/>
  <c r="Q849" i="1"/>
  <c r="Q851" i="1"/>
  <c r="Q853" i="1"/>
  <c r="Q855" i="1"/>
  <c r="Q857" i="1"/>
  <c r="Q859" i="1"/>
  <c r="Q861" i="1"/>
  <c r="Q863" i="1"/>
  <c r="Q865" i="1"/>
  <c r="Q867" i="1"/>
  <c r="Q869" i="1"/>
  <c r="Q871" i="1"/>
  <c r="Q873" i="1"/>
  <c r="Q875" i="1"/>
  <c r="Q877" i="1"/>
  <c r="Q879" i="1"/>
  <c r="Q881" i="1"/>
  <c r="Q883" i="1"/>
  <c r="Q885" i="1"/>
  <c r="Q887" i="1"/>
  <c r="Q889" i="1"/>
  <c r="Q891" i="1"/>
  <c r="Q893" i="1"/>
  <c r="Q895" i="1"/>
  <c r="Q897" i="1"/>
  <c r="Q899" i="1"/>
  <c r="Q901" i="1"/>
  <c r="Q903" i="1"/>
  <c r="Q905" i="1"/>
  <c r="Q907" i="1"/>
  <c r="Q909" i="1"/>
  <c r="Q911" i="1"/>
  <c r="Q913" i="1"/>
  <c r="Q915" i="1"/>
  <c r="Q917" i="1"/>
  <c r="Q919" i="1"/>
  <c r="Q921" i="1"/>
  <c r="Q923" i="1"/>
  <c r="Q925" i="1"/>
  <c r="Q1026" i="1"/>
  <c r="Q1054" i="1"/>
  <c r="Q1087" i="1"/>
  <c r="Q1134" i="1"/>
  <c r="Q1088" i="1"/>
  <c r="Q1090" i="1"/>
  <c r="Q1092" i="1"/>
  <c r="Q1094" i="1"/>
  <c r="Q1096" i="1"/>
  <c r="Q1098" i="1"/>
  <c r="Q1100" i="1"/>
  <c r="Q1102" i="1"/>
  <c r="Q1104" i="1"/>
  <c r="Q1106" i="1"/>
  <c r="Q1108" i="1"/>
  <c r="Q1110" i="1"/>
  <c r="Q1112" i="1"/>
  <c r="Q1114" i="1"/>
  <c r="Q1116" i="1"/>
  <c r="Q1118" i="1"/>
  <c r="Q1120" i="1"/>
  <c r="Q1122" i="1"/>
  <c r="Q1124" i="1"/>
  <c r="Q1126" i="1"/>
  <c r="Q1128" i="1"/>
  <c r="Q1130" i="1"/>
  <c r="Q1133" i="1"/>
  <c r="Q1135" i="1"/>
  <c r="Q1137" i="1"/>
  <c r="Q1139" i="1"/>
  <c r="Q1141" i="1"/>
  <c r="Q1143" i="1"/>
  <c r="Q1145" i="1"/>
  <c r="Q1147" i="1"/>
  <c r="Q1149" i="1"/>
  <c r="Q1151" i="1"/>
  <c r="Q1153" i="1"/>
  <c r="Q1155" i="1"/>
  <c r="Q1157" i="1"/>
  <c r="Q1159" i="1"/>
  <c r="Q1161" i="1"/>
  <c r="Q1164" i="1"/>
  <c r="Q1166" i="1"/>
  <c r="Q1168" i="1"/>
  <c r="Q1170" i="1"/>
  <c r="Q1172" i="1"/>
  <c r="Q1174" i="1"/>
  <c r="Q1176" i="1"/>
  <c r="Q1178" i="1"/>
  <c r="Q1180" i="1"/>
  <c r="Q1182" i="1"/>
  <c r="Q1184" i="1"/>
  <c r="Q1186" i="1"/>
  <c r="Q1188" i="1"/>
  <c r="Q1190" i="1"/>
  <c r="Q1192" i="1"/>
  <c r="Q1194" i="1"/>
  <c r="Q1196" i="1"/>
  <c r="Q1198" i="1"/>
  <c r="Q1200" i="1"/>
  <c r="Q1202" i="1"/>
  <c r="Q1204" i="1"/>
  <c r="Q1206" i="1"/>
  <c r="Q1208" i="1"/>
  <c r="Q1210" i="1"/>
  <c r="Q1212" i="1"/>
  <c r="Q1214" i="1"/>
  <c r="Q1216" i="1"/>
  <c r="Q1218" i="1"/>
  <c r="Q1220" i="1"/>
  <c r="Q1222" i="1"/>
  <c r="Q1224" i="1"/>
  <c r="Q1226" i="1"/>
  <c r="Q1228" i="1"/>
  <c r="Q1230" i="1"/>
  <c r="Q1232" i="1"/>
  <c r="Q1234" i="1"/>
  <c r="Q1236" i="1"/>
  <c r="Q1238" i="1"/>
  <c r="Q1240" i="1"/>
  <c r="Q1242" i="1"/>
  <c r="Q1244" i="1"/>
  <c r="Q1246" i="1"/>
  <c r="Q1248" i="1"/>
  <c r="Q1250" i="1"/>
  <c r="Q1252" i="1"/>
  <c r="Q1254" i="1"/>
  <c r="Q1256" i="1"/>
  <c r="S1136" i="1"/>
  <c r="Q1136" i="1"/>
  <c r="S1197" i="1"/>
  <c r="Q1197" i="1"/>
  <c r="S1215" i="1"/>
  <c r="Q1215" i="1"/>
  <c r="S1217" i="1"/>
  <c r="Q1217" i="1"/>
  <c r="S1219" i="1"/>
  <c r="Q1219" i="1"/>
  <c r="S1221" i="1"/>
  <c r="Q1221" i="1"/>
  <c r="S1227" i="1"/>
  <c r="Q1227" i="1"/>
  <c r="S1237" i="1"/>
  <c r="Q1237" i="1"/>
  <c r="Q933" i="1"/>
  <c r="Q927" i="1"/>
  <c r="Q929" i="1"/>
  <c r="Q931" i="1"/>
  <c r="Q935" i="1"/>
  <c r="Q937" i="1"/>
  <c r="Q939" i="1"/>
  <c r="Q941" i="1"/>
  <c r="Q943" i="1"/>
  <c r="Q945" i="1"/>
  <c r="Q947" i="1"/>
  <c r="Q949" i="1"/>
  <c r="Q951" i="1"/>
  <c r="Q953" i="1"/>
  <c r="Q955" i="1"/>
  <c r="Q957" i="1"/>
  <c r="Q959" i="1"/>
  <c r="Q961" i="1"/>
  <c r="Q963" i="1"/>
  <c r="Q965" i="1"/>
  <c r="Q967" i="1"/>
  <c r="Q969" i="1"/>
  <c r="Q971" i="1"/>
  <c r="Q973" i="1"/>
  <c r="Q975" i="1"/>
  <c r="Q977" i="1"/>
  <c r="Q979" i="1"/>
  <c r="Q981" i="1"/>
  <c r="Q983" i="1"/>
  <c r="Q986" i="1"/>
  <c r="Q987" i="1"/>
  <c r="Q989" i="1"/>
  <c r="Q991" i="1"/>
  <c r="Q993" i="1"/>
  <c r="Q995" i="1"/>
  <c r="Q997" i="1"/>
  <c r="Q999" i="1"/>
  <c r="Q1001" i="1"/>
  <c r="Q1003" i="1"/>
  <c r="Q1006" i="1"/>
  <c r="Q1008" i="1"/>
  <c r="Q1010" i="1"/>
  <c r="Q1012" i="1"/>
  <c r="Q1014" i="1"/>
  <c r="Q1016" i="1"/>
  <c r="Q1018" i="1"/>
  <c r="Q1021" i="1"/>
  <c r="Q1023" i="1"/>
  <c r="Q1028" i="1"/>
  <c r="Q1030" i="1"/>
  <c r="Q1034" i="1"/>
  <c r="Q1036" i="1"/>
  <c r="Q1038" i="1"/>
  <c r="Q1040" i="1"/>
  <c r="Q1042" i="1"/>
  <c r="Q1044" i="1"/>
  <c r="Q1046" i="1"/>
  <c r="Q1048" i="1"/>
  <c r="Q1051" i="1"/>
  <c r="Q1056" i="1"/>
  <c r="Q1058" i="1"/>
  <c r="Q1063" i="1"/>
  <c r="Q1066" i="1"/>
  <c r="Q1067" i="1"/>
  <c r="Q1069" i="1"/>
  <c r="Q1070" i="1"/>
  <c r="Q1025" i="1"/>
  <c r="Q1033" i="1"/>
  <c r="Q1052" i="1"/>
  <c r="Q1061" i="1"/>
  <c r="Q1071" i="1"/>
  <c r="Q1073" i="1"/>
  <c r="Q1075" i="1"/>
  <c r="Q1077" i="1"/>
  <c r="Q1079" i="1"/>
  <c r="Q1081" i="1"/>
  <c r="Q1083" i="1"/>
  <c r="Q1085" i="1"/>
  <c r="Q1167" i="1"/>
  <c r="Q1239" i="1"/>
  <c r="Q1243" i="1"/>
  <c r="Q1247" i="1"/>
  <c r="Q478" i="1"/>
  <c r="Q480" i="1"/>
  <c r="Q482" i="1"/>
  <c r="Q484" i="1"/>
  <c r="Q486" i="1"/>
  <c r="Q488" i="1"/>
  <c r="Q490" i="1"/>
  <c r="Q492" i="1"/>
  <c r="Q494" i="1"/>
  <c r="Q496" i="1"/>
  <c r="Q498" i="1"/>
  <c r="Q500" i="1"/>
  <c r="Q503" i="1"/>
  <c r="Q505" i="1"/>
  <c r="Q507" i="1"/>
  <c r="Q509" i="1"/>
  <c r="Q511" i="1"/>
  <c r="Q513" i="1"/>
  <c r="Q515" i="1"/>
  <c r="Q517" i="1"/>
  <c r="Q519" i="1"/>
  <c r="Q521" i="1"/>
  <c r="Q523" i="1"/>
  <c r="Q525" i="1"/>
  <c r="Q531" i="1"/>
  <c r="Q534" i="1"/>
  <c r="Q536" i="1"/>
  <c r="Q538" i="1"/>
  <c r="Q540" i="1"/>
  <c r="Q542" i="1"/>
  <c r="Q544" i="1"/>
  <c r="Q546" i="1"/>
  <c r="Q548" i="1"/>
  <c r="Q550" i="1"/>
  <c r="Q552" i="1"/>
  <c r="Q555" i="1"/>
  <c r="Q637" i="1"/>
  <c r="Q639" i="1"/>
  <c r="Q641" i="1"/>
  <c r="Q643" i="1"/>
  <c r="Q645" i="1"/>
  <c r="Q647" i="1"/>
  <c r="Q649" i="1"/>
  <c r="Q651" i="1"/>
  <c r="Q653" i="1"/>
  <c r="Q655" i="1"/>
  <c r="Q657" i="1"/>
  <c r="Q659" i="1"/>
  <c r="Q661" i="1"/>
  <c r="Q663" i="1"/>
  <c r="Q665" i="1"/>
  <c r="Q667" i="1"/>
  <c r="Q669" i="1"/>
  <c r="Q671" i="1"/>
  <c r="Q673" i="1"/>
  <c r="Q675" i="1"/>
  <c r="Q677" i="1"/>
  <c r="Q679" i="1"/>
  <c r="Q681" i="1"/>
  <c r="Q683" i="1"/>
  <c r="Q685" i="1"/>
  <c r="Q687" i="1"/>
  <c r="Q689" i="1"/>
  <c r="Q693" i="1"/>
  <c r="Q695" i="1"/>
  <c r="Q697" i="1"/>
  <c r="Q699" i="1"/>
  <c r="Q701" i="1"/>
  <c r="Q703" i="1"/>
  <c r="Q705" i="1"/>
  <c r="Q707" i="1"/>
  <c r="Q709" i="1"/>
  <c r="Q711" i="1"/>
  <c r="Q713" i="1"/>
  <c r="Q715" i="1"/>
  <c r="Q1089" i="1"/>
  <c r="Q1091" i="1"/>
  <c r="Q1093" i="1"/>
  <c r="Q1095" i="1"/>
  <c r="Q1097" i="1"/>
  <c r="Q1099" i="1"/>
  <c r="Q1101" i="1"/>
  <c r="Q1103" i="1"/>
  <c r="Q1105" i="1"/>
  <c r="Q1107" i="1"/>
  <c r="Q1109" i="1"/>
  <c r="Q1111" i="1"/>
  <c r="Q1113" i="1"/>
  <c r="Q1115" i="1"/>
  <c r="Q1117" i="1"/>
  <c r="Q1119" i="1"/>
  <c r="Q1121" i="1"/>
  <c r="Q1123" i="1"/>
  <c r="Q1125" i="1"/>
  <c r="Q1127" i="1"/>
  <c r="Q1129" i="1"/>
  <c r="Q1131" i="1"/>
  <c r="Q1138" i="1"/>
  <c r="Q1140" i="1"/>
  <c r="Q1142" i="1"/>
  <c r="Q1144" i="1"/>
  <c r="Q1146" i="1"/>
  <c r="Q1148" i="1"/>
  <c r="Q1150" i="1"/>
  <c r="Q1152" i="1"/>
  <c r="Q1154" i="1"/>
  <c r="Q1156" i="1"/>
  <c r="Q1158" i="1"/>
  <c r="Q1160" i="1"/>
  <c r="Q1163" i="1"/>
  <c r="Q1165" i="1"/>
  <c r="Q1169" i="1"/>
  <c r="Q1171" i="1"/>
  <c r="Q1173" i="1"/>
  <c r="Q1175" i="1"/>
  <c r="Q1177" i="1"/>
  <c r="Q1179" i="1"/>
  <c r="Q1181" i="1"/>
  <c r="Q1183" i="1"/>
  <c r="Q1185" i="1"/>
  <c r="Q1187" i="1"/>
  <c r="Q1189" i="1"/>
  <c r="Q1191" i="1"/>
  <c r="Q1193" i="1"/>
  <c r="Q1195" i="1"/>
  <c r="Q1199" i="1"/>
  <c r="Q1201" i="1"/>
  <c r="Q1203" i="1"/>
  <c r="Q1205" i="1"/>
  <c r="Q1207" i="1"/>
  <c r="Q1211" i="1"/>
  <c r="Q1213" i="1"/>
  <c r="Q1223" i="1"/>
  <c r="Q1225" i="1"/>
  <c r="Q1229" i="1"/>
  <c r="Q1231" i="1"/>
  <c r="Q1235" i="1"/>
  <c r="Q1241" i="1"/>
  <c r="Q1245" i="1"/>
  <c r="Q1249" i="1"/>
  <c r="Q1251" i="1"/>
  <c r="Q1253" i="1"/>
  <c r="Q1255" i="1"/>
  <c r="Q1209" i="1"/>
  <c r="Q1233" i="1"/>
  <c r="Q1257" i="1"/>
  <c r="Q1259" i="1"/>
  <c r="Q61" i="1"/>
  <c r="Q10" i="1"/>
  <c r="Q13" i="1"/>
  <c r="Q16" i="1"/>
  <c r="Q22" i="1"/>
  <c r="Q26" i="1"/>
  <c r="Q29" i="1"/>
  <c r="Q32" i="1"/>
  <c r="Q63" i="1"/>
  <c r="Q72" i="1"/>
  <c r="Q36" i="1"/>
  <c r="Q40" i="1"/>
  <c r="Q43" i="1"/>
  <c r="Q46" i="1"/>
  <c r="Q49" i="1"/>
  <c r="Q52" i="1"/>
  <c r="Q55" i="1"/>
  <c r="Q58" i="1"/>
  <c r="Q65" i="1"/>
  <c r="Q71" i="1"/>
  <c r="Q38" i="1"/>
  <c r="Q62" i="1"/>
  <c r="Q69" i="1"/>
  <c r="Q41" i="1"/>
  <c r="Q44" i="1"/>
  <c r="Q47" i="1"/>
  <c r="Q50" i="1"/>
  <c r="Q53" i="1"/>
  <c r="Q56" i="1"/>
  <c r="Q59" i="1"/>
  <c r="Q5" i="1"/>
  <c r="Q8" i="1"/>
  <c r="Q17" i="1"/>
  <c r="Q20" i="1"/>
  <c r="Q66" i="1"/>
  <c r="Q67" i="1"/>
  <c r="Q39" i="1"/>
  <c r="Q4" i="1"/>
  <c r="Q25" i="1"/>
  <c r="Q3" i="1"/>
  <c r="Q6" i="1"/>
  <c r="Q9" i="1"/>
  <c r="Q12" i="1"/>
  <c r="Q15" i="1"/>
  <c r="Q18" i="1"/>
  <c r="Q21" i="1"/>
  <c r="Q24" i="1"/>
  <c r="Q28" i="1"/>
  <c r="Q31" i="1"/>
  <c r="Q34" i="1"/>
  <c r="Q35" i="1"/>
  <c r="Q42" i="1"/>
  <c r="Q45" i="1"/>
  <c r="Q48" i="1"/>
  <c r="Q51" i="1"/>
  <c r="Q54" i="1"/>
  <c r="Q57" i="1"/>
  <c r="Q60" i="1"/>
  <c r="Q70" i="1"/>
  <c r="Q68" i="1"/>
  <c r="Q64" i="1"/>
  <c r="Q19" i="1"/>
  <c r="Q2" i="1"/>
  <c r="Q11" i="1"/>
  <c r="Q14" i="1"/>
  <c r="Q23" i="1"/>
  <c r="Q30" i="1"/>
  <c r="Q33" i="1"/>
  <c r="Q37" i="1"/>
  <c r="Q7" i="1"/>
  <c r="Q27" i="1"/>
  <c r="S14" i="1"/>
  <c r="S2" i="1"/>
  <c r="S11" i="1"/>
  <c r="S33" i="1"/>
  <c r="S30" i="1"/>
  <c r="S19" i="1"/>
  <c r="S7" i="1"/>
  <c r="S23" i="1"/>
  <c r="Q1118" i="15" l="1"/>
  <c r="Q1117" i="15"/>
  <c r="Q1116" i="15"/>
  <c r="Q1115" i="15"/>
  <c r="K1115" i="15"/>
  <c r="Q1114" i="15"/>
  <c r="K1113" i="15"/>
  <c r="Q1113" i="15" s="1"/>
  <c r="K1112" i="15"/>
  <c r="Q1112" i="15" s="1"/>
  <c r="Q1111" i="15"/>
  <c r="Q1110" i="15"/>
  <c r="K1109" i="15"/>
  <c r="Q1109" i="15" s="1"/>
  <c r="K1108" i="15"/>
  <c r="Q1108" i="15" s="1"/>
  <c r="Q1107" i="15"/>
  <c r="K1106" i="15"/>
  <c r="Q1106" i="15" s="1"/>
  <c r="K1105" i="15"/>
  <c r="Q1105" i="15" s="1"/>
  <c r="Q1104" i="15"/>
  <c r="Q1103" i="15"/>
  <c r="Q1102" i="15"/>
  <c r="Q1101" i="15"/>
  <c r="K1101" i="15"/>
  <c r="K1100" i="15"/>
  <c r="Q1100" i="15" s="1"/>
  <c r="K1099" i="15"/>
  <c r="Q1099" i="15" s="1"/>
  <c r="Q1098" i="15"/>
  <c r="K1098" i="15"/>
  <c r="Q1097" i="15"/>
  <c r="L1096" i="15"/>
  <c r="K1096" i="15"/>
  <c r="Q1096" i="15" s="1"/>
  <c r="J1096" i="15"/>
  <c r="I1096" i="15"/>
  <c r="H1096" i="15"/>
  <c r="G1096" i="15"/>
  <c r="E1096" i="15"/>
  <c r="D1096" i="15"/>
  <c r="L1095" i="15"/>
  <c r="K1095" i="15"/>
  <c r="J1095" i="15"/>
  <c r="Q1095" i="15" s="1"/>
  <c r="I1095" i="15"/>
  <c r="H1095" i="15"/>
  <c r="G1095" i="15"/>
  <c r="E1095" i="15"/>
  <c r="D1095" i="15"/>
  <c r="Q1094" i="15"/>
  <c r="L1094" i="15"/>
  <c r="K1094" i="15"/>
  <c r="J1094" i="15"/>
  <c r="I1094" i="15"/>
  <c r="H1094" i="15"/>
  <c r="G1094" i="15"/>
  <c r="E1094" i="15"/>
  <c r="D1094" i="15"/>
  <c r="L1093" i="15"/>
  <c r="K1093" i="15"/>
  <c r="J1093" i="15"/>
  <c r="Q1093" i="15" s="1"/>
  <c r="I1093" i="15"/>
  <c r="H1093" i="15"/>
  <c r="G1093" i="15"/>
  <c r="E1093" i="15"/>
  <c r="D1093" i="15"/>
  <c r="L1092" i="15"/>
  <c r="K1092" i="15"/>
  <c r="Q1092" i="15" s="1"/>
  <c r="J1092" i="15"/>
  <c r="I1092" i="15"/>
  <c r="H1092" i="15"/>
  <c r="G1092" i="15"/>
  <c r="E1092" i="15"/>
  <c r="D1092" i="15"/>
  <c r="Q1091" i="15"/>
  <c r="L1091" i="15"/>
  <c r="K1091" i="15"/>
  <c r="J1091" i="15"/>
  <c r="I1091" i="15"/>
  <c r="H1091" i="15"/>
  <c r="G1091" i="15"/>
  <c r="E1091" i="15"/>
  <c r="D1091" i="15"/>
  <c r="Q1090" i="15"/>
  <c r="L1090" i="15"/>
  <c r="K1090" i="15"/>
  <c r="J1090" i="15"/>
  <c r="I1090" i="15"/>
  <c r="H1090" i="15"/>
  <c r="G1090" i="15"/>
  <c r="E1090" i="15"/>
  <c r="D1090" i="15"/>
  <c r="L1089" i="15"/>
  <c r="K1089" i="15"/>
  <c r="J1089" i="15"/>
  <c r="Q1089" i="15" s="1"/>
  <c r="I1089" i="15"/>
  <c r="H1089" i="15"/>
  <c r="G1089" i="15"/>
  <c r="E1089" i="15"/>
  <c r="D1089" i="15"/>
  <c r="L1088" i="15"/>
  <c r="K1088" i="15"/>
  <c r="Q1088" i="15" s="1"/>
  <c r="J1088" i="15"/>
  <c r="I1088" i="15"/>
  <c r="H1088" i="15"/>
  <c r="G1088" i="15"/>
  <c r="E1088" i="15"/>
  <c r="D1088" i="15"/>
  <c r="Q1087" i="15"/>
  <c r="L1087" i="15"/>
  <c r="K1087" i="15"/>
  <c r="J1087" i="15"/>
  <c r="I1087" i="15"/>
  <c r="H1087" i="15"/>
  <c r="G1087" i="15"/>
  <c r="E1087" i="15"/>
  <c r="D1087" i="15"/>
  <c r="L1086" i="15"/>
  <c r="K1086" i="15"/>
  <c r="J1086" i="15"/>
  <c r="Q1086" i="15" s="1"/>
  <c r="I1086" i="15"/>
  <c r="H1086" i="15"/>
  <c r="G1086" i="15"/>
  <c r="E1086" i="15"/>
  <c r="D1086" i="15"/>
  <c r="L1085" i="15"/>
  <c r="K1085" i="15"/>
  <c r="J1085" i="15"/>
  <c r="Q1085" i="15" s="1"/>
  <c r="I1085" i="15"/>
  <c r="H1085" i="15"/>
  <c r="G1085" i="15"/>
  <c r="E1085" i="15"/>
  <c r="D1085" i="15"/>
  <c r="L1084" i="15"/>
  <c r="K1084" i="15"/>
  <c r="Q1084" i="15" s="1"/>
  <c r="J1084" i="15"/>
  <c r="I1084" i="15"/>
  <c r="H1084" i="15"/>
  <c r="G1084" i="15"/>
  <c r="E1084" i="15"/>
  <c r="D1084" i="15"/>
  <c r="Q1083" i="15"/>
  <c r="L1083" i="15"/>
  <c r="K1083" i="15"/>
  <c r="J1083" i="15"/>
  <c r="I1083" i="15"/>
  <c r="H1083" i="15"/>
  <c r="G1083" i="15"/>
  <c r="E1083" i="15"/>
  <c r="D1083" i="15"/>
  <c r="L1082" i="15"/>
  <c r="K1082" i="15"/>
  <c r="J1082" i="15"/>
  <c r="Q1082" i="15" s="1"/>
  <c r="I1082" i="15"/>
  <c r="H1082" i="15"/>
  <c r="G1082" i="15"/>
  <c r="E1082" i="15"/>
  <c r="D1082" i="15"/>
  <c r="L1081" i="15"/>
  <c r="K1081" i="15"/>
  <c r="J1081" i="15"/>
  <c r="Q1081" i="15" s="1"/>
  <c r="I1081" i="15"/>
  <c r="H1081" i="15"/>
  <c r="G1081" i="15"/>
  <c r="E1081" i="15"/>
  <c r="D1081" i="15"/>
  <c r="Q1080" i="15"/>
  <c r="L1080" i="15"/>
  <c r="K1080" i="15"/>
  <c r="J1080" i="15"/>
  <c r="I1080" i="15"/>
  <c r="H1080" i="15"/>
  <c r="G1080" i="15"/>
  <c r="E1080" i="15"/>
  <c r="D1080" i="15"/>
  <c r="L1079" i="15"/>
  <c r="K1079" i="15"/>
  <c r="Q1079" i="15" s="1"/>
  <c r="J1079" i="15"/>
  <c r="I1079" i="15"/>
  <c r="H1079" i="15"/>
  <c r="G1079" i="15"/>
  <c r="E1079" i="15"/>
  <c r="D1079" i="15"/>
  <c r="Q1078" i="15"/>
  <c r="L1078" i="15"/>
  <c r="K1078" i="15"/>
  <c r="J1078" i="15"/>
  <c r="I1078" i="15"/>
  <c r="H1078" i="15"/>
  <c r="G1078" i="15"/>
  <c r="E1078" i="15"/>
  <c r="D1078" i="15"/>
  <c r="L1077" i="15"/>
  <c r="K1077" i="15"/>
  <c r="J1077" i="15"/>
  <c r="Q1077" i="15" s="1"/>
  <c r="I1077" i="15"/>
  <c r="H1077" i="15"/>
  <c r="G1077" i="15"/>
  <c r="E1077" i="15"/>
  <c r="D1077" i="15"/>
  <c r="Q1076" i="15"/>
  <c r="L1076" i="15"/>
  <c r="K1076" i="15"/>
  <c r="J1076" i="15"/>
  <c r="I1076" i="15"/>
  <c r="H1076" i="15"/>
  <c r="G1076" i="15"/>
  <c r="E1076" i="15"/>
  <c r="D1076" i="15"/>
  <c r="L1075" i="15"/>
  <c r="K1075" i="15"/>
  <c r="J1075" i="15"/>
  <c r="Q1075" i="15" s="1"/>
  <c r="I1075" i="15"/>
  <c r="H1075" i="15"/>
  <c r="G1075" i="15"/>
  <c r="E1075" i="15"/>
  <c r="D1075" i="15"/>
  <c r="L1074" i="15"/>
  <c r="K1074" i="15"/>
  <c r="J1074" i="15"/>
  <c r="Q1074" i="15" s="1"/>
  <c r="I1074" i="15"/>
  <c r="H1074" i="15"/>
  <c r="G1074" i="15"/>
  <c r="E1074" i="15"/>
  <c r="D1074" i="15"/>
  <c r="L1073" i="15"/>
  <c r="K1073" i="15"/>
  <c r="J1073" i="15"/>
  <c r="Q1073" i="15" s="1"/>
  <c r="I1073" i="15"/>
  <c r="H1073" i="15"/>
  <c r="G1073" i="15"/>
  <c r="E1073" i="15"/>
  <c r="D1073" i="15"/>
  <c r="Q1072" i="15"/>
  <c r="L1072" i="15"/>
  <c r="K1072" i="15"/>
  <c r="J1072" i="15"/>
  <c r="I1072" i="15"/>
  <c r="H1072" i="15"/>
  <c r="G1072" i="15"/>
  <c r="E1072" i="15"/>
  <c r="D1072" i="15"/>
  <c r="Q1071" i="15"/>
  <c r="L1071" i="15"/>
  <c r="K1071" i="15"/>
  <c r="J1071" i="15"/>
  <c r="I1071" i="15"/>
  <c r="H1071" i="15"/>
  <c r="G1071" i="15"/>
  <c r="E1071" i="15"/>
  <c r="D1071" i="15"/>
  <c r="L1070" i="15"/>
  <c r="K1070" i="15"/>
  <c r="J1070" i="15"/>
  <c r="Q1070" i="15" s="1"/>
  <c r="I1070" i="15"/>
  <c r="H1070" i="15"/>
  <c r="G1070" i="15"/>
  <c r="E1070" i="15"/>
  <c r="D1070" i="15"/>
  <c r="L1069" i="15"/>
  <c r="K1069" i="15"/>
  <c r="J1069" i="15"/>
  <c r="Q1069" i="15" s="1"/>
  <c r="I1069" i="15"/>
  <c r="H1069" i="15"/>
  <c r="G1069" i="15"/>
  <c r="E1069" i="15"/>
  <c r="D1069" i="15"/>
  <c r="Q1068" i="15"/>
  <c r="L1068" i="15"/>
  <c r="K1068" i="15"/>
  <c r="J1068" i="15"/>
  <c r="I1068" i="15"/>
  <c r="H1068" i="15"/>
  <c r="G1068" i="15"/>
  <c r="E1068" i="15"/>
  <c r="D1068" i="15"/>
  <c r="Q1067" i="15"/>
  <c r="L1067" i="15"/>
  <c r="K1067" i="15"/>
  <c r="J1067" i="15"/>
  <c r="I1067" i="15"/>
  <c r="H1067" i="15"/>
  <c r="G1067" i="15"/>
  <c r="E1067" i="15"/>
  <c r="D1067" i="15"/>
  <c r="L1066" i="15"/>
  <c r="K1066" i="15"/>
  <c r="J1066" i="15"/>
  <c r="Q1066" i="15" s="1"/>
  <c r="I1066" i="15"/>
  <c r="H1066" i="15"/>
  <c r="G1066" i="15"/>
  <c r="E1066" i="15"/>
  <c r="D1066" i="15"/>
  <c r="L1065" i="15"/>
  <c r="K1065" i="15"/>
  <c r="J1065" i="15"/>
  <c r="Q1065" i="15" s="1"/>
  <c r="I1065" i="15"/>
  <c r="H1065" i="15"/>
  <c r="G1065" i="15"/>
  <c r="E1065" i="15"/>
  <c r="D1065" i="15"/>
  <c r="Q1064" i="15"/>
  <c r="L1064" i="15"/>
  <c r="K1064" i="15"/>
  <c r="J1064" i="15"/>
  <c r="I1064" i="15"/>
  <c r="H1064" i="15"/>
  <c r="G1064" i="15"/>
  <c r="E1064" i="15"/>
  <c r="D1064" i="15"/>
  <c r="L1063" i="15"/>
  <c r="K1063" i="15"/>
  <c r="J1063" i="15"/>
  <c r="Q1063" i="15" s="1"/>
  <c r="I1063" i="15"/>
  <c r="H1063" i="15"/>
  <c r="G1063" i="15"/>
  <c r="E1063" i="15"/>
  <c r="D1063" i="15"/>
  <c r="L1062" i="15"/>
  <c r="K1062" i="15"/>
  <c r="J1062" i="15"/>
  <c r="Q1062" i="15" s="1"/>
  <c r="I1062" i="15"/>
  <c r="H1062" i="15"/>
  <c r="G1062" i="15"/>
  <c r="E1062" i="15"/>
  <c r="D1062" i="15"/>
  <c r="L1061" i="15"/>
  <c r="K1061" i="15"/>
  <c r="J1061" i="15"/>
  <c r="Q1061" i="15" s="1"/>
  <c r="I1061" i="15"/>
  <c r="H1061" i="15"/>
  <c r="G1061" i="15"/>
  <c r="E1061" i="15"/>
  <c r="D1061" i="15"/>
  <c r="L1060" i="15"/>
  <c r="K1060" i="15"/>
  <c r="Q1060" i="15" s="1"/>
  <c r="J1060" i="15"/>
  <c r="I1060" i="15"/>
  <c r="H1060" i="15"/>
  <c r="G1060" i="15"/>
  <c r="E1060" i="15"/>
  <c r="D1060" i="15"/>
  <c r="L1059" i="15"/>
  <c r="K1059" i="15"/>
  <c r="J1059" i="15"/>
  <c r="Q1059" i="15" s="1"/>
  <c r="I1059" i="15"/>
  <c r="H1059" i="15"/>
  <c r="G1059" i="15"/>
  <c r="E1059" i="15"/>
  <c r="D1059" i="15"/>
  <c r="L1058" i="15"/>
  <c r="K1058" i="15"/>
  <c r="J1058" i="15"/>
  <c r="Q1058" i="15" s="1"/>
  <c r="I1058" i="15"/>
  <c r="H1058" i="15"/>
  <c r="G1058" i="15"/>
  <c r="E1058" i="15"/>
  <c r="D1058" i="15"/>
  <c r="L1057" i="15"/>
  <c r="K1057" i="15"/>
  <c r="J1057" i="15"/>
  <c r="Q1057" i="15" s="1"/>
  <c r="I1057" i="15"/>
  <c r="H1057" i="15"/>
  <c r="G1057" i="15"/>
  <c r="E1057" i="15"/>
  <c r="D1057" i="15"/>
  <c r="L1056" i="15"/>
  <c r="K1056" i="15"/>
  <c r="Q1056" i="15" s="1"/>
  <c r="J1056" i="15"/>
  <c r="I1056" i="15"/>
  <c r="H1056" i="15"/>
  <c r="G1056" i="15"/>
  <c r="E1056" i="15"/>
  <c r="D1056" i="15"/>
  <c r="L1055" i="15"/>
  <c r="K1055" i="15"/>
  <c r="J1055" i="15"/>
  <c r="Q1055" i="15" s="1"/>
  <c r="I1055" i="15"/>
  <c r="H1055" i="15"/>
  <c r="G1055" i="15"/>
  <c r="E1055" i="15"/>
  <c r="D1055" i="15"/>
  <c r="Q1054" i="15"/>
  <c r="L1054" i="15"/>
  <c r="I1054" i="15"/>
  <c r="H1054" i="15"/>
  <c r="G1054" i="15"/>
  <c r="E1054" i="15"/>
  <c r="D1054" i="15"/>
  <c r="Q1053" i="15"/>
  <c r="L1053" i="15"/>
  <c r="K1053" i="15"/>
  <c r="J1053" i="15"/>
  <c r="I1053" i="15"/>
  <c r="H1053" i="15"/>
  <c r="G1053" i="15"/>
  <c r="E1053" i="15"/>
  <c r="D1053" i="15"/>
  <c r="L1052" i="15"/>
  <c r="K1052" i="15"/>
  <c r="J1052" i="15"/>
  <c r="Q1052" i="15" s="1"/>
  <c r="I1052" i="15"/>
  <c r="H1052" i="15"/>
  <c r="G1052" i="15"/>
  <c r="E1052" i="15"/>
  <c r="D1052" i="15"/>
  <c r="L1051" i="15"/>
  <c r="K1051" i="15"/>
  <c r="J1051" i="15"/>
  <c r="Q1051" i="15" s="1"/>
  <c r="I1051" i="15"/>
  <c r="H1051" i="15"/>
  <c r="G1051" i="15"/>
  <c r="E1051" i="15"/>
  <c r="D1051" i="15"/>
  <c r="L1050" i="15"/>
  <c r="K1050" i="15"/>
  <c r="Q1050" i="15" s="1"/>
  <c r="J1050" i="15"/>
  <c r="I1050" i="15"/>
  <c r="H1050" i="15"/>
  <c r="G1050" i="15"/>
  <c r="E1050" i="15"/>
  <c r="D1050" i="15"/>
  <c r="Q1049" i="15"/>
  <c r="L1049" i="15"/>
  <c r="K1049" i="15"/>
  <c r="J1049" i="15"/>
  <c r="I1049" i="15"/>
  <c r="H1049" i="15"/>
  <c r="G1049" i="15"/>
  <c r="E1049" i="15"/>
  <c r="D1049" i="15"/>
  <c r="L1048" i="15"/>
  <c r="K1048" i="15"/>
  <c r="J1048" i="15"/>
  <c r="Q1048" i="15" s="1"/>
  <c r="I1048" i="15"/>
  <c r="H1048" i="15"/>
  <c r="G1048" i="15"/>
  <c r="E1048" i="15"/>
  <c r="D1048" i="15"/>
  <c r="L1047" i="15"/>
  <c r="K1047" i="15"/>
  <c r="J1047" i="15"/>
  <c r="I1047" i="15"/>
  <c r="H1047" i="15"/>
  <c r="G1047" i="15"/>
  <c r="E1047" i="15"/>
  <c r="D1047" i="15"/>
  <c r="L1046" i="15"/>
  <c r="K1046" i="15"/>
  <c r="Q1046" i="15" s="1"/>
  <c r="J1046" i="15"/>
  <c r="I1046" i="15"/>
  <c r="H1046" i="15"/>
  <c r="G1046" i="15"/>
  <c r="E1046" i="15"/>
  <c r="D1046" i="15"/>
  <c r="Q1045" i="15"/>
  <c r="L1045" i="15"/>
  <c r="K1045" i="15"/>
  <c r="J1045" i="15"/>
  <c r="I1045" i="15"/>
  <c r="H1045" i="15"/>
  <c r="G1045" i="15"/>
  <c r="E1045" i="15"/>
  <c r="D1045" i="15"/>
  <c r="Q1044" i="15"/>
  <c r="L1044" i="15"/>
  <c r="K1044" i="15"/>
  <c r="J1044" i="15"/>
  <c r="I1044" i="15"/>
  <c r="H1044" i="15"/>
  <c r="G1044" i="15"/>
  <c r="E1044" i="15"/>
  <c r="D1044" i="15"/>
  <c r="L1043" i="15"/>
  <c r="K1043" i="15"/>
  <c r="J1043" i="15"/>
  <c r="Q1043" i="15" s="1"/>
  <c r="I1043" i="15"/>
  <c r="H1043" i="15"/>
  <c r="G1043" i="15"/>
  <c r="E1043" i="15"/>
  <c r="D1043" i="15"/>
  <c r="L1042" i="15"/>
  <c r="K1042" i="15"/>
  <c r="Q1042" i="15" s="1"/>
  <c r="J1042" i="15"/>
  <c r="I1042" i="15"/>
  <c r="H1042" i="15"/>
  <c r="G1042" i="15"/>
  <c r="E1042" i="15"/>
  <c r="D1042" i="15"/>
  <c r="Q1041" i="15"/>
  <c r="L1041" i="15"/>
  <c r="K1041" i="15"/>
  <c r="J1041" i="15"/>
  <c r="I1041" i="15"/>
  <c r="H1041" i="15"/>
  <c r="G1041" i="15"/>
  <c r="E1041" i="15"/>
  <c r="D1041" i="15"/>
  <c r="Q1040" i="15"/>
  <c r="L1040" i="15"/>
  <c r="K1040" i="15"/>
  <c r="J1040" i="15"/>
  <c r="I1040" i="15"/>
  <c r="H1040" i="15"/>
  <c r="G1040" i="15"/>
  <c r="E1040" i="15"/>
  <c r="D1040" i="15"/>
  <c r="L1039" i="15"/>
  <c r="K1039" i="15"/>
  <c r="J1039" i="15"/>
  <c r="Q1039" i="15" s="1"/>
  <c r="I1039" i="15"/>
  <c r="H1039" i="15"/>
  <c r="G1039" i="15"/>
  <c r="E1039" i="15"/>
  <c r="D1039" i="15"/>
  <c r="L1038" i="15"/>
  <c r="K1038" i="15"/>
  <c r="Q1038" i="15" s="1"/>
  <c r="J1038" i="15"/>
  <c r="I1038" i="15"/>
  <c r="H1038" i="15"/>
  <c r="G1038" i="15"/>
  <c r="E1038" i="15"/>
  <c r="D1038" i="15"/>
  <c r="Q1037" i="15"/>
  <c r="L1037" i="15"/>
  <c r="K1037" i="15"/>
  <c r="J1037" i="15"/>
  <c r="I1037" i="15"/>
  <c r="H1037" i="15"/>
  <c r="G1037" i="15"/>
  <c r="E1037" i="15"/>
  <c r="D1037" i="15"/>
  <c r="L1036" i="15"/>
  <c r="K1036" i="15"/>
  <c r="J1036" i="15"/>
  <c r="Q1036" i="15" s="1"/>
  <c r="I1036" i="15"/>
  <c r="H1036" i="15"/>
  <c r="G1036" i="15"/>
  <c r="E1036" i="15"/>
  <c r="D1036" i="15"/>
  <c r="L1035" i="15"/>
  <c r="K1035" i="15"/>
  <c r="J1035" i="15"/>
  <c r="Q1035" i="15" s="1"/>
  <c r="I1035" i="15"/>
  <c r="H1035" i="15"/>
  <c r="G1035" i="15"/>
  <c r="E1035" i="15"/>
  <c r="D1035" i="15"/>
  <c r="L1034" i="15"/>
  <c r="K1034" i="15"/>
  <c r="Q1034" i="15" s="1"/>
  <c r="J1034" i="15"/>
  <c r="I1034" i="15"/>
  <c r="H1034" i="15"/>
  <c r="G1034" i="15"/>
  <c r="E1034" i="15"/>
  <c r="D1034" i="15"/>
  <c r="Q1033" i="15"/>
  <c r="L1033" i="15"/>
  <c r="K1033" i="15"/>
  <c r="J1033" i="15"/>
  <c r="I1033" i="15"/>
  <c r="H1033" i="15"/>
  <c r="G1033" i="15"/>
  <c r="E1033" i="15"/>
  <c r="D1033" i="15"/>
  <c r="L1032" i="15"/>
  <c r="K1032" i="15"/>
  <c r="J1032" i="15"/>
  <c r="Q1032" i="15" s="1"/>
  <c r="I1032" i="15"/>
  <c r="H1032" i="15"/>
  <c r="G1032" i="15"/>
  <c r="E1032" i="15"/>
  <c r="D1032" i="15"/>
  <c r="L1031" i="15"/>
  <c r="K1031" i="15"/>
  <c r="J1031" i="15"/>
  <c r="Q1031" i="15" s="1"/>
  <c r="I1031" i="15"/>
  <c r="H1031" i="15"/>
  <c r="G1031" i="15"/>
  <c r="E1031" i="15"/>
  <c r="D1031" i="15"/>
  <c r="L1030" i="15"/>
  <c r="K1030" i="15"/>
  <c r="Q1030" i="15" s="1"/>
  <c r="J1030" i="15"/>
  <c r="I1030" i="15"/>
  <c r="H1030" i="15"/>
  <c r="G1030" i="15"/>
  <c r="E1030" i="15"/>
  <c r="D1030" i="15"/>
  <c r="Q1029" i="15"/>
  <c r="H1029" i="15"/>
  <c r="Q1028" i="15"/>
  <c r="H1028" i="15"/>
  <c r="Q1027" i="15"/>
  <c r="L1027" i="15"/>
  <c r="Q1026" i="15"/>
  <c r="L1026" i="15"/>
  <c r="Q1025" i="15"/>
  <c r="L1025" i="15"/>
  <c r="Q1024" i="15"/>
  <c r="L1024" i="15"/>
  <c r="Q1023" i="15"/>
  <c r="L1023" i="15"/>
  <c r="Q1022" i="15"/>
  <c r="L1022" i="15"/>
  <c r="Q1021" i="15"/>
  <c r="Q1020" i="15"/>
  <c r="L1020" i="15"/>
  <c r="Q1019" i="15"/>
  <c r="L1019" i="15"/>
  <c r="Q1018" i="15"/>
  <c r="L1018" i="15"/>
  <c r="Q1017" i="15"/>
  <c r="L1017" i="15"/>
  <c r="Q1016" i="15"/>
  <c r="L1016" i="15"/>
  <c r="Q1015" i="15"/>
  <c r="L1015" i="15"/>
  <c r="Q1014" i="15"/>
  <c r="L1014" i="15"/>
  <c r="K1014" i="15"/>
  <c r="J1014" i="15"/>
  <c r="I1014" i="15"/>
  <c r="H1014" i="15"/>
  <c r="G1014" i="15"/>
  <c r="E1014" i="15"/>
  <c r="D1014" i="15"/>
  <c r="L1013" i="15"/>
  <c r="K1013" i="15"/>
  <c r="J1013" i="15"/>
  <c r="Q1013" i="15" s="1"/>
  <c r="I1013" i="15"/>
  <c r="H1013" i="15"/>
  <c r="G1013" i="15"/>
  <c r="E1013" i="15"/>
  <c r="D1013" i="15"/>
  <c r="L1012" i="15"/>
  <c r="K1012" i="15"/>
  <c r="Q1012" i="15" s="1"/>
  <c r="J1012" i="15"/>
  <c r="I1012" i="15"/>
  <c r="H1012" i="15"/>
  <c r="G1012" i="15"/>
  <c r="E1012" i="15"/>
  <c r="D1012" i="15"/>
  <c r="L1011" i="15"/>
  <c r="K1011" i="15"/>
  <c r="J1011" i="15"/>
  <c r="Q1011" i="15" s="1"/>
  <c r="I1011" i="15"/>
  <c r="H1011" i="15"/>
  <c r="G1011" i="15"/>
  <c r="E1011" i="15"/>
  <c r="D1011" i="15"/>
  <c r="Q1010" i="15"/>
  <c r="L1010" i="15"/>
  <c r="K1010" i="15"/>
  <c r="J1010" i="15"/>
  <c r="I1010" i="15"/>
  <c r="H1010" i="15"/>
  <c r="G1010" i="15"/>
  <c r="E1010" i="15"/>
  <c r="D1010" i="15"/>
  <c r="L1009" i="15"/>
  <c r="K1009" i="15"/>
  <c r="J1009" i="15"/>
  <c r="Q1009" i="15" s="1"/>
  <c r="I1009" i="15"/>
  <c r="H1009" i="15"/>
  <c r="G1009" i="15"/>
  <c r="E1009" i="15"/>
  <c r="D1009" i="15"/>
  <c r="L1008" i="15"/>
  <c r="K1008" i="15"/>
  <c r="Q1008" i="15" s="1"/>
  <c r="J1008" i="15"/>
  <c r="I1008" i="15"/>
  <c r="H1008" i="15"/>
  <c r="G1008" i="15"/>
  <c r="E1008" i="15"/>
  <c r="D1008" i="15"/>
  <c r="L1007" i="15"/>
  <c r="K1007" i="15"/>
  <c r="J1007" i="15"/>
  <c r="Q1007" i="15" s="1"/>
  <c r="I1007" i="15"/>
  <c r="H1007" i="15"/>
  <c r="G1007" i="15"/>
  <c r="E1007" i="15"/>
  <c r="D1007" i="15"/>
  <c r="Q1006" i="15"/>
  <c r="L1006" i="15"/>
  <c r="K1006" i="15"/>
  <c r="J1006" i="15"/>
  <c r="I1006" i="15"/>
  <c r="H1006" i="15"/>
  <c r="G1006" i="15"/>
  <c r="E1006" i="15"/>
  <c r="D1006" i="15"/>
  <c r="L1005" i="15"/>
  <c r="K1005" i="15"/>
  <c r="J1005" i="15"/>
  <c r="Q1005" i="15" s="1"/>
  <c r="I1005" i="15"/>
  <c r="H1005" i="15"/>
  <c r="G1005" i="15"/>
  <c r="E1005" i="15"/>
  <c r="D1005" i="15"/>
  <c r="L1004" i="15"/>
  <c r="K1004" i="15"/>
  <c r="Q1004" i="15" s="1"/>
  <c r="J1004" i="15"/>
  <c r="I1004" i="15"/>
  <c r="H1004" i="15"/>
  <c r="G1004" i="15"/>
  <c r="E1004" i="15"/>
  <c r="D1004" i="15"/>
  <c r="Q1003" i="15"/>
  <c r="L1003" i="15"/>
  <c r="K1003" i="15"/>
  <c r="J1003" i="15"/>
  <c r="I1003" i="15"/>
  <c r="H1003" i="15"/>
  <c r="G1003" i="15"/>
  <c r="E1003" i="15"/>
  <c r="D1003" i="15"/>
  <c r="Q1002" i="15"/>
  <c r="L1002" i="15"/>
  <c r="K1002" i="15"/>
  <c r="J1002" i="15"/>
  <c r="I1002" i="15"/>
  <c r="H1002" i="15"/>
  <c r="G1002" i="15"/>
  <c r="E1002" i="15"/>
  <c r="D1002" i="15"/>
  <c r="L1001" i="15"/>
  <c r="K1001" i="15"/>
  <c r="J1001" i="15"/>
  <c r="Q1001" i="15" s="1"/>
  <c r="I1001" i="15"/>
  <c r="H1001" i="15"/>
  <c r="G1001" i="15"/>
  <c r="E1001" i="15"/>
  <c r="D1001" i="15"/>
  <c r="L1000" i="15"/>
  <c r="K1000" i="15"/>
  <c r="Q1000" i="15" s="1"/>
  <c r="J1000" i="15"/>
  <c r="I1000" i="15"/>
  <c r="H1000" i="15"/>
  <c r="G1000" i="15"/>
  <c r="E1000" i="15"/>
  <c r="D1000" i="15"/>
  <c r="Q999" i="15"/>
  <c r="L999" i="15"/>
  <c r="K999" i="15"/>
  <c r="J999" i="15"/>
  <c r="I999" i="15"/>
  <c r="H999" i="15"/>
  <c r="G999" i="15"/>
  <c r="E999" i="15"/>
  <c r="D999" i="15"/>
  <c r="Q998" i="15"/>
  <c r="L998" i="15"/>
  <c r="K998" i="15"/>
  <c r="J998" i="15"/>
  <c r="I998" i="15"/>
  <c r="H998" i="15"/>
  <c r="G998" i="15"/>
  <c r="E998" i="15"/>
  <c r="D998" i="15"/>
  <c r="L997" i="15"/>
  <c r="K997" i="15"/>
  <c r="J997" i="15"/>
  <c r="Q997" i="15" s="1"/>
  <c r="I997" i="15"/>
  <c r="H997" i="15"/>
  <c r="G997" i="15"/>
  <c r="E997" i="15"/>
  <c r="D997" i="15"/>
  <c r="Q996" i="15"/>
  <c r="L996" i="15"/>
  <c r="K996" i="15"/>
  <c r="J996" i="15"/>
  <c r="I996" i="15"/>
  <c r="H996" i="15"/>
  <c r="G996" i="15"/>
  <c r="E996" i="15"/>
  <c r="D996" i="15"/>
  <c r="Q995" i="15"/>
  <c r="L995" i="15"/>
  <c r="K995" i="15"/>
  <c r="J995" i="15"/>
  <c r="I995" i="15"/>
  <c r="H995" i="15"/>
  <c r="G995" i="15"/>
  <c r="E995" i="15"/>
  <c r="D995" i="15"/>
  <c r="Q994" i="15"/>
  <c r="L994" i="15"/>
  <c r="K994" i="15"/>
  <c r="J994" i="15"/>
  <c r="I994" i="15"/>
  <c r="H994" i="15"/>
  <c r="G994" i="15"/>
  <c r="E994" i="15"/>
  <c r="D994" i="15"/>
  <c r="L993" i="15"/>
  <c r="K993" i="15"/>
  <c r="J993" i="15"/>
  <c r="Q993" i="15" s="1"/>
  <c r="I993" i="15"/>
  <c r="H993" i="15"/>
  <c r="G993" i="15"/>
  <c r="E993" i="15"/>
  <c r="D993" i="15"/>
  <c r="Q992" i="15"/>
  <c r="L992" i="15"/>
  <c r="K992" i="15"/>
  <c r="J992" i="15"/>
  <c r="I992" i="15"/>
  <c r="H992" i="15"/>
  <c r="G992" i="15"/>
  <c r="E992" i="15"/>
  <c r="D992" i="15"/>
  <c r="Q991" i="15"/>
  <c r="L991" i="15"/>
  <c r="K991" i="15"/>
  <c r="J991" i="15"/>
  <c r="I991" i="15"/>
  <c r="H991" i="15"/>
  <c r="G991" i="15"/>
  <c r="E991" i="15"/>
  <c r="D991" i="15"/>
  <c r="L990" i="15"/>
  <c r="K990" i="15"/>
  <c r="J990" i="15"/>
  <c r="Q990" i="15" s="1"/>
  <c r="I990" i="15"/>
  <c r="H990" i="15"/>
  <c r="G990" i="15"/>
  <c r="E990" i="15"/>
  <c r="D990" i="15"/>
  <c r="L989" i="15"/>
  <c r="K989" i="15"/>
  <c r="J989" i="15"/>
  <c r="Q989" i="15" s="1"/>
  <c r="I989" i="15"/>
  <c r="H989" i="15"/>
  <c r="G989" i="15"/>
  <c r="E989" i="15"/>
  <c r="D989" i="15"/>
  <c r="Q988" i="15"/>
  <c r="L988" i="15"/>
  <c r="K988" i="15"/>
  <c r="J988" i="15"/>
  <c r="I988" i="15"/>
  <c r="H988" i="15"/>
  <c r="G988" i="15"/>
  <c r="E988" i="15"/>
  <c r="D988" i="15"/>
  <c r="Q987" i="15"/>
  <c r="L987" i="15"/>
  <c r="K987" i="15"/>
  <c r="J987" i="15"/>
  <c r="I987" i="15"/>
  <c r="H987" i="15"/>
  <c r="G987" i="15"/>
  <c r="E987" i="15"/>
  <c r="D987" i="15"/>
  <c r="L986" i="15"/>
  <c r="K986" i="15"/>
  <c r="J986" i="15"/>
  <c r="Q986" i="15" s="1"/>
  <c r="I986" i="15"/>
  <c r="H986" i="15"/>
  <c r="G986" i="15"/>
  <c r="E986" i="15"/>
  <c r="D986" i="15"/>
  <c r="L985" i="15"/>
  <c r="K985" i="15"/>
  <c r="J985" i="15"/>
  <c r="Q985" i="15" s="1"/>
  <c r="I985" i="15"/>
  <c r="H985" i="15"/>
  <c r="G985" i="15"/>
  <c r="E985" i="15"/>
  <c r="D985" i="15"/>
  <c r="Q984" i="15"/>
  <c r="L984" i="15"/>
  <c r="K984" i="15"/>
  <c r="J984" i="15"/>
  <c r="I984" i="15"/>
  <c r="H984" i="15"/>
  <c r="G984" i="15"/>
  <c r="E984" i="15"/>
  <c r="D984" i="15"/>
  <c r="L983" i="15"/>
  <c r="K983" i="15"/>
  <c r="J983" i="15"/>
  <c r="Q983" i="15" s="1"/>
  <c r="I983" i="15"/>
  <c r="H983" i="15"/>
  <c r="G983" i="15"/>
  <c r="E983" i="15"/>
  <c r="D983" i="15"/>
  <c r="L982" i="15"/>
  <c r="K982" i="15"/>
  <c r="J982" i="15"/>
  <c r="Q982" i="15" s="1"/>
  <c r="I982" i="15"/>
  <c r="H982" i="15"/>
  <c r="G982" i="15"/>
  <c r="E982" i="15"/>
  <c r="D982" i="15"/>
  <c r="L981" i="15"/>
  <c r="K981" i="15"/>
  <c r="J981" i="15"/>
  <c r="Q981" i="15" s="1"/>
  <c r="I981" i="15"/>
  <c r="H981" i="15"/>
  <c r="G981" i="15"/>
  <c r="E981" i="15"/>
  <c r="D981" i="15"/>
  <c r="L980" i="15"/>
  <c r="K980" i="15"/>
  <c r="Q980" i="15" s="1"/>
  <c r="J980" i="15"/>
  <c r="I980" i="15"/>
  <c r="H980" i="15"/>
  <c r="G980" i="15"/>
  <c r="E980" i="15"/>
  <c r="D980" i="15"/>
  <c r="L979" i="15"/>
  <c r="K979" i="15"/>
  <c r="J979" i="15"/>
  <c r="Q979" i="15" s="1"/>
  <c r="I979" i="15"/>
  <c r="H979" i="15"/>
  <c r="G979" i="15"/>
  <c r="E979" i="15"/>
  <c r="D979" i="15"/>
  <c r="L978" i="15"/>
  <c r="K978" i="15"/>
  <c r="J978" i="15"/>
  <c r="Q978" i="15" s="1"/>
  <c r="I978" i="15"/>
  <c r="H978" i="15"/>
  <c r="G978" i="15"/>
  <c r="E978" i="15"/>
  <c r="D978" i="15"/>
  <c r="L977" i="15"/>
  <c r="K977" i="15"/>
  <c r="J977" i="15"/>
  <c r="Q977" i="15" s="1"/>
  <c r="I977" i="15"/>
  <c r="H977" i="15"/>
  <c r="G977" i="15"/>
  <c r="E977" i="15"/>
  <c r="D977" i="15"/>
  <c r="L976" i="15"/>
  <c r="K976" i="15"/>
  <c r="Q976" i="15" s="1"/>
  <c r="J976" i="15"/>
  <c r="I976" i="15"/>
  <c r="H976" i="15"/>
  <c r="G976" i="15"/>
  <c r="E976" i="15"/>
  <c r="D976" i="15"/>
  <c r="L975" i="15"/>
  <c r="K975" i="15"/>
  <c r="J975" i="15"/>
  <c r="Q975" i="15" s="1"/>
  <c r="I975" i="15"/>
  <c r="H975" i="15"/>
  <c r="G975" i="15"/>
  <c r="E975" i="15"/>
  <c r="D975" i="15"/>
  <c r="L974" i="15"/>
  <c r="K974" i="15"/>
  <c r="J974" i="15"/>
  <c r="Q974" i="15" s="1"/>
  <c r="I974" i="15"/>
  <c r="H974" i="15"/>
  <c r="G974" i="15"/>
  <c r="E974" i="15"/>
  <c r="D974" i="15"/>
  <c r="L973" i="15"/>
  <c r="K973" i="15"/>
  <c r="J973" i="15"/>
  <c r="Q973" i="15" s="1"/>
  <c r="I973" i="15"/>
  <c r="H973" i="15"/>
  <c r="G973" i="15"/>
  <c r="E973" i="15"/>
  <c r="D973" i="15"/>
  <c r="L972" i="15"/>
  <c r="K972" i="15"/>
  <c r="Q972" i="15" s="1"/>
  <c r="J972" i="15"/>
  <c r="I972" i="15"/>
  <c r="H972" i="15"/>
  <c r="G972" i="15"/>
  <c r="E972" i="15"/>
  <c r="D972" i="15"/>
  <c r="L971" i="15"/>
  <c r="K971" i="15"/>
  <c r="J971" i="15"/>
  <c r="I971" i="15"/>
  <c r="H971" i="15"/>
  <c r="G971" i="15"/>
  <c r="E971" i="15"/>
  <c r="D971" i="15"/>
  <c r="L970" i="15"/>
  <c r="K970" i="15"/>
  <c r="J970" i="15"/>
  <c r="Q970" i="15" s="1"/>
  <c r="I970" i="15"/>
  <c r="H970" i="15"/>
  <c r="G970" i="15"/>
  <c r="E970" i="15"/>
  <c r="D970" i="15"/>
  <c r="L969" i="15"/>
  <c r="K969" i="15"/>
  <c r="J969" i="15"/>
  <c r="Q969" i="15" s="1"/>
  <c r="I969" i="15"/>
  <c r="H969" i="15"/>
  <c r="G969" i="15"/>
  <c r="E969" i="15"/>
  <c r="D969" i="15"/>
  <c r="Q968" i="15"/>
  <c r="L968" i="15"/>
  <c r="K968" i="15"/>
  <c r="J968" i="15"/>
  <c r="I968" i="15"/>
  <c r="H968" i="15"/>
  <c r="G968" i="15"/>
  <c r="E968" i="15"/>
  <c r="D968" i="15"/>
  <c r="Q967" i="15"/>
  <c r="L967" i="15"/>
  <c r="H967" i="15"/>
  <c r="G967" i="15"/>
  <c r="E967" i="15"/>
  <c r="D967" i="15"/>
  <c r="L966" i="15"/>
  <c r="K966" i="15"/>
  <c r="J966" i="15"/>
  <c r="Q966" i="15" s="1"/>
  <c r="I966" i="15"/>
  <c r="H966" i="15"/>
  <c r="G966" i="15"/>
  <c r="E966" i="15"/>
  <c r="D966" i="15"/>
  <c r="L965" i="15"/>
  <c r="K965" i="15"/>
  <c r="Q965" i="15" s="1"/>
  <c r="J965" i="15"/>
  <c r="I965" i="15"/>
  <c r="H965" i="15"/>
  <c r="G965" i="15"/>
  <c r="E965" i="15"/>
  <c r="D965" i="15"/>
  <c r="L964" i="15"/>
  <c r="K964" i="15"/>
  <c r="J964" i="15"/>
  <c r="Q964" i="15" s="1"/>
  <c r="I964" i="15"/>
  <c r="H964" i="15"/>
  <c r="G964" i="15"/>
  <c r="E964" i="15"/>
  <c r="D964" i="15"/>
  <c r="Q963" i="15"/>
  <c r="L963" i="15"/>
  <c r="K963" i="15"/>
  <c r="J963" i="15"/>
  <c r="I963" i="15"/>
  <c r="H963" i="15"/>
  <c r="G963" i="15"/>
  <c r="E963" i="15"/>
  <c r="D963" i="15"/>
  <c r="L962" i="15"/>
  <c r="K962" i="15"/>
  <c r="J962" i="15"/>
  <c r="Q962" i="15" s="1"/>
  <c r="I962" i="15"/>
  <c r="H962" i="15"/>
  <c r="G962" i="15"/>
  <c r="E962" i="15"/>
  <c r="D962" i="15"/>
  <c r="L961" i="15"/>
  <c r="K961" i="15"/>
  <c r="Q961" i="15" s="1"/>
  <c r="J961" i="15"/>
  <c r="I961" i="15"/>
  <c r="H961" i="15"/>
  <c r="G961" i="15"/>
  <c r="E961" i="15"/>
  <c r="D961" i="15"/>
  <c r="L960" i="15"/>
  <c r="K960" i="15"/>
  <c r="J960" i="15"/>
  <c r="Q960" i="15" s="1"/>
  <c r="I960" i="15"/>
  <c r="H960" i="15"/>
  <c r="G960" i="15"/>
  <c r="E960" i="15"/>
  <c r="D960" i="15"/>
  <c r="Q959" i="15"/>
  <c r="L959" i="15"/>
  <c r="K959" i="15"/>
  <c r="J959" i="15"/>
  <c r="I959" i="15"/>
  <c r="H959" i="15"/>
  <c r="G959" i="15"/>
  <c r="E959" i="15"/>
  <c r="D959" i="15"/>
  <c r="L958" i="15"/>
  <c r="K958" i="15"/>
  <c r="J958" i="15"/>
  <c r="Q958" i="15" s="1"/>
  <c r="I958" i="15"/>
  <c r="H958" i="15"/>
  <c r="G958" i="15"/>
  <c r="E958" i="15"/>
  <c r="D958" i="15"/>
  <c r="L957" i="15"/>
  <c r="K957" i="15"/>
  <c r="Q957" i="15" s="1"/>
  <c r="J957" i="15"/>
  <c r="I957" i="15"/>
  <c r="H957" i="15"/>
  <c r="G957" i="15"/>
  <c r="E957" i="15"/>
  <c r="D957" i="15"/>
  <c r="Q956" i="15"/>
  <c r="L956" i="15"/>
  <c r="K956" i="15"/>
  <c r="J956" i="15"/>
  <c r="I956" i="15"/>
  <c r="H956" i="15"/>
  <c r="G956" i="15"/>
  <c r="E956" i="15"/>
  <c r="D956" i="15"/>
  <c r="Q955" i="15"/>
  <c r="L955" i="15"/>
  <c r="K955" i="15"/>
  <c r="J955" i="15"/>
  <c r="I955" i="15"/>
  <c r="H955" i="15"/>
  <c r="G955" i="15"/>
  <c r="E955" i="15"/>
  <c r="D955" i="15"/>
  <c r="L954" i="15"/>
  <c r="K954" i="15"/>
  <c r="J954" i="15"/>
  <c r="Q954" i="15" s="1"/>
  <c r="I954" i="15"/>
  <c r="H954" i="15"/>
  <c r="G954" i="15"/>
  <c r="E954" i="15"/>
  <c r="D954" i="15"/>
  <c r="L953" i="15"/>
  <c r="K953" i="15"/>
  <c r="Q953" i="15" s="1"/>
  <c r="J953" i="15"/>
  <c r="I953" i="15"/>
  <c r="H953" i="15"/>
  <c r="G953" i="15"/>
  <c r="E953" i="15"/>
  <c r="D953" i="15"/>
  <c r="Q952" i="15"/>
  <c r="L952" i="15"/>
  <c r="K952" i="15"/>
  <c r="J952" i="15"/>
  <c r="I952" i="15"/>
  <c r="H952" i="15"/>
  <c r="G952" i="15"/>
  <c r="E952" i="15"/>
  <c r="D952" i="15"/>
  <c r="Q951" i="15"/>
  <c r="L951" i="15"/>
  <c r="H951" i="15"/>
  <c r="G951" i="15"/>
  <c r="E951" i="15"/>
  <c r="D951" i="15"/>
  <c r="L950" i="15"/>
  <c r="K950" i="15"/>
  <c r="Q950" i="15" s="1"/>
  <c r="J950" i="15"/>
  <c r="I950" i="15"/>
  <c r="H950" i="15"/>
  <c r="G950" i="15"/>
  <c r="E950" i="15"/>
  <c r="D950" i="15"/>
  <c r="Q949" i="15"/>
  <c r="L949" i="15"/>
  <c r="K949" i="15"/>
  <c r="J949" i="15"/>
  <c r="I949" i="15"/>
  <c r="H949" i="15"/>
  <c r="G949" i="15"/>
  <c r="E949" i="15"/>
  <c r="D949" i="15"/>
  <c r="L948" i="15"/>
  <c r="K948" i="15"/>
  <c r="J948" i="15"/>
  <c r="Q948" i="15" s="1"/>
  <c r="I948" i="15"/>
  <c r="H948" i="15"/>
  <c r="G948" i="15"/>
  <c r="E948" i="15"/>
  <c r="D948" i="15"/>
  <c r="L947" i="15"/>
  <c r="K947" i="15"/>
  <c r="J947" i="15"/>
  <c r="Q947" i="15" s="1"/>
  <c r="I947" i="15"/>
  <c r="H947" i="15"/>
  <c r="G947" i="15"/>
  <c r="E947" i="15"/>
  <c r="D947" i="15"/>
  <c r="L946" i="15"/>
  <c r="K946" i="15"/>
  <c r="Q946" i="15" s="1"/>
  <c r="J946" i="15"/>
  <c r="I946" i="15"/>
  <c r="H946" i="15"/>
  <c r="G946" i="15"/>
  <c r="E946" i="15"/>
  <c r="D946" i="15"/>
  <c r="Q945" i="15"/>
  <c r="L945" i="15"/>
  <c r="K945" i="15"/>
  <c r="J945" i="15"/>
  <c r="I945" i="15"/>
  <c r="H945" i="15"/>
  <c r="G945" i="15"/>
  <c r="E945" i="15"/>
  <c r="D945" i="15"/>
  <c r="L944" i="15"/>
  <c r="K944" i="15"/>
  <c r="J944" i="15"/>
  <c r="Q944" i="15" s="1"/>
  <c r="I944" i="15"/>
  <c r="H944" i="15"/>
  <c r="G944" i="15"/>
  <c r="E944" i="15"/>
  <c r="D944" i="15"/>
  <c r="L943" i="15"/>
  <c r="K943" i="15"/>
  <c r="J943" i="15"/>
  <c r="Q943" i="15" s="1"/>
  <c r="I943" i="15"/>
  <c r="H943" i="15"/>
  <c r="G943" i="15"/>
  <c r="E943" i="15"/>
  <c r="D943" i="15"/>
  <c r="Q942" i="15"/>
  <c r="L942" i="15"/>
  <c r="K942" i="15"/>
  <c r="J942" i="15"/>
  <c r="I942" i="15"/>
  <c r="H942" i="15"/>
  <c r="G942" i="15"/>
  <c r="E942" i="15"/>
  <c r="D942" i="15"/>
  <c r="L941" i="15"/>
  <c r="K941" i="15"/>
  <c r="Q941" i="15" s="1"/>
  <c r="J941" i="15"/>
  <c r="I941" i="15"/>
  <c r="H941" i="15"/>
  <c r="G941" i="15"/>
  <c r="E941" i="15"/>
  <c r="D941" i="15"/>
  <c r="L940" i="15"/>
  <c r="K940" i="15"/>
  <c r="J940" i="15"/>
  <c r="Q940" i="15" s="1"/>
  <c r="I940" i="15"/>
  <c r="H940" i="15"/>
  <c r="G940" i="15"/>
  <c r="E940" i="15"/>
  <c r="D940" i="15"/>
  <c r="L939" i="15"/>
  <c r="K939" i="15"/>
  <c r="J939" i="15"/>
  <c r="Q939" i="15" s="1"/>
  <c r="I939" i="15"/>
  <c r="H939" i="15"/>
  <c r="G939" i="15"/>
  <c r="E939" i="15"/>
  <c r="D939" i="15"/>
  <c r="Q938" i="15"/>
  <c r="L938" i="15"/>
  <c r="K938" i="15"/>
  <c r="J938" i="15"/>
  <c r="I938" i="15"/>
  <c r="H938" i="15"/>
  <c r="G938" i="15"/>
  <c r="E938" i="15"/>
  <c r="D938" i="15"/>
  <c r="Q937" i="15"/>
  <c r="L937" i="15"/>
  <c r="I937" i="15"/>
  <c r="H937" i="15"/>
  <c r="G937" i="15"/>
  <c r="E937" i="15"/>
  <c r="D937" i="15"/>
  <c r="L936" i="15"/>
  <c r="K936" i="15"/>
  <c r="Q936" i="15" s="1"/>
  <c r="J936" i="15"/>
  <c r="I936" i="15"/>
  <c r="H936" i="15"/>
  <c r="G936" i="15"/>
  <c r="E936" i="15"/>
  <c r="D936" i="15"/>
  <c r="Q935" i="15"/>
  <c r="L935" i="15"/>
  <c r="H935" i="15"/>
  <c r="G935" i="15"/>
  <c r="E935" i="15"/>
  <c r="D935" i="15"/>
  <c r="L934" i="15"/>
  <c r="K934" i="15"/>
  <c r="J934" i="15"/>
  <c r="Q934" i="15" s="1"/>
  <c r="I934" i="15"/>
  <c r="H934" i="15"/>
  <c r="G934" i="15"/>
  <c r="E934" i="15"/>
  <c r="D934" i="15"/>
  <c r="L933" i="15"/>
  <c r="K933" i="15"/>
  <c r="Q933" i="15" s="1"/>
  <c r="J933" i="15"/>
  <c r="I933" i="15"/>
  <c r="H933" i="15"/>
  <c r="G933" i="15"/>
  <c r="E933" i="15"/>
  <c r="D933" i="15"/>
  <c r="Q932" i="15"/>
  <c r="L932" i="15"/>
  <c r="K932" i="15"/>
  <c r="J932" i="15"/>
  <c r="I932" i="15"/>
  <c r="H932" i="15"/>
  <c r="G932" i="15"/>
  <c r="E932" i="15"/>
  <c r="D932" i="15"/>
  <c r="L931" i="15"/>
  <c r="K931" i="15"/>
  <c r="J931" i="15"/>
  <c r="Q931" i="15" s="1"/>
  <c r="I931" i="15"/>
  <c r="H931" i="15"/>
  <c r="G931" i="15"/>
  <c r="E931" i="15"/>
  <c r="D931" i="15"/>
  <c r="L930" i="15"/>
  <c r="K930" i="15"/>
  <c r="J930" i="15"/>
  <c r="Q930" i="15" s="1"/>
  <c r="I930" i="15"/>
  <c r="H930" i="15"/>
  <c r="G930" i="15"/>
  <c r="E930" i="15"/>
  <c r="D930" i="15"/>
  <c r="L929" i="15"/>
  <c r="K929" i="15"/>
  <c r="Q929" i="15" s="1"/>
  <c r="J929" i="15"/>
  <c r="I929" i="15"/>
  <c r="H929" i="15"/>
  <c r="G929" i="15"/>
  <c r="E929" i="15"/>
  <c r="D929" i="15"/>
  <c r="Q928" i="15"/>
  <c r="L928" i="15"/>
  <c r="K928" i="15"/>
  <c r="J928" i="15"/>
  <c r="I928" i="15"/>
  <c r="H928" i="15"/>
  <c r="G928" i="15"/>
  <c r="E928" i="15"/>
  <c r="D928" i="15"/>
  <c r="L927" i="15"/>
  <c r="K927" i="15"/>
  <c r="J927" i="15"/>
  <c r="Q927" i="15" s="1"/>
  <c r="I927" i="15"/>
  <c r="H927" i="15"/>
  <c r="G927" i="15"/>
  <c r="E927" i="15"/>
  <c r="D927" i="15"/>
  <c r="L926" i="15"/>
  <c r="K926" i="15"/>
  <c r="J926" i="15"/>
  <c r="Q926" i="15" s="1"/>
  <c r="I926" i="15"/>
  <c r="H926" i="15"/>
  <c r="G926" i="15"/>
  <c r="E926" i="15"/>
  <c r="D926" i="15"/>
  <c r="L925" i="15"/>
  <c r="K925" i="15"/>
  <c r="Q925" i="15" s="1"/>
  <c r="J925" i="15"/>
  <c r="I925" i="15"/>
  <c r="H925" i="15"/>
  <c r="G925" i="15"/>
  <c r="E925" i="15"/>
  <c r="D925" i="15"/>
  <c r="Q924" i="15"/>
  <c r="L924" i="15"/>
  <c r="K924" i="15"/>
  <c r="J924" i="15"/>
  <c r="I924" i="15"/>
  <c r="H924" i="15"/>
  <c r="G924" i="15"/>
  <c r="E924" i="15"/>
  <c r="D924" i="15"/>
  <c r="L923" i="15"/>
  <c r="K923" i="15"/>
  <c r="J923" i="15"/>
  <c r="Q923" i="15" s="1"/>
  <c r="I923" i="15"/>
  <c r="H923" i="15"/>
  <c r="G923" i="15"/>
  <c r="E923" i="15"/>
  <c r="D923" i="15"/>
  <c r="L922" i="15"/>
  <c r="K922" i="15"/>
  <c r="J922" i="15"/>
  <c r="I922" i="15"/>
  <c r="H922" i="15"/>
  <c r="G922" i="15"/>
  <c r="E922" i="15"/>
  <c r="D922" i="15"/>
  <c r="L921" i="15"/>
  <c r="K921" i="15"/>
  <c r="Q921" i="15" s="1"/>
  <c r="H921" i="15"/>
  <c r="G921" i="15"/>
  <c r="E921" i="15"/>
  <c r="D921" i="15"/>
  <c r="L920" i="15"/>
  <c r="K920" i="15"/>
  <c r="J920" i="15"/>
  <c r="Q920" i="15" s="1"/>
  <c r="I920" i="15"/>
  <c r="H920" i="15"/>
  <c r="G920" i="15"/>
  <c r="E920" i="15"/>
  <c r="D920" i="15"/>
  <c r="L919" i="15"/>
  <c r="K919" i="15"/>
  <c r="J919" i="15"/>
  <c r="I919" i="15"/>
  <c r="H919" i="15"/>
  <c r="G919" i="15"/>
  <c r="E919" i="15"/>
  <c r="D919" i="15"/>
  <c r="Q918" i="15"/>
  <c r="L918" i="15"/>
  <c r="K918" i="15"/>
  <c r="J918" i="15"/>
  <c r="I918" i="15"/>
  <c r="H918" i="15"/>
  <c r="G918" i="15"/>
  <c r="E918" i="15"/>
  <c r="D918" i="15"/>
  <c r="Q917" i="15"/>
  <c r="L917" i="15"/>
  <c r="K917" i="15"/>
  <c r="J917" i="15"/>
  <c r="I917" i="15"/>
  <c r="H917" i="15"/>
  <c r="G917" i="15"/>
  <c r="E917" i="15"/>
  <c r="D917" i="15"/>
  <c r="Q916" i="15"/>
  <c r="L916" i="15"/>
  <c r="K916" i="15"/>
  <c r="J916" i="15"/>
  <c r="I916" i="15"/>
  <c r="H916" i="15"/>
  <c r="G916" i="15"/>
  <c r="E916" i="15"/>
  <c r="D916" i="15"/>
  <c r="L915" i="15"/>
  <c r="K915" i="15"/>
  <c r="J915" i="15"/>
  <c r="Q915" i="15" s="1"/>
  <c r="I915" i="15"/>
  <c r="H915" i="15"/>
  <c r="G915" i="15"/>
  <c r="E915" i="15"/>
  <c r="D915" i="15"/>
  <c r="Q914" i="15"/>
  <c r="L914" i="15"/>
  <c r="K914" i="15"/>
  <c r="J914" i="15"/>
  <c r="I914" i="15"/>
  <c r="H914" i="15"/>
  <c r="G914" i="15"/>
  <c r="E914" i="15"/>
  <c r="D914" i="15"/>
  <c r="Q913" i="15"/>
  <c r="L913" i="15"/>
  <c r="K913" i="15"/>
  <c r="J913" i="15"/>
  <c r="I913" i="15"/>
  <c r="H913" i="15"/>
  <c r="G913" i="15"/>
  <c r="E913" i="15"/>
  <c r="D913" i="15"/>
  <c r="Q912" i="15"/>
  <c r="L912" i="15"/>
  <c r="K912" i="15"/>
  <c r="J912" i="15"/>
  <c r="I912" i="15"/>
  <c r="H912" i="15"/>
  <c r="G912" i="15"/>
  <c r="E912" i="15"/>
  <c r="D912" i="15"/>
  <c r="L911" i="15"/>
  <c r="K911" i="15"/>
  <c r="J911" i="15"/>
  <c r="Q911" i="15" s="1"/>
  <c r="I911" i="15"/>
  <c r="H911" i="15"/>
  <c r="G911" i="15"/>
  <c r="E911" i="15"/>
  <c r="D911" i="15"/>
  <c r="Q910" i="15"/>
  <c r="L910" i="15"/>
  <c r="K910" i="15"/>
  <c r="J910" i="15"/>
  <c r="I910" i="15"/>
  <c r="H910" i="15"/>
  <c r="G910" i="15"/>
  <c r="E910" i="15"/>
  <c r="D910" i="15"/>
  <c r="Q909" i="15"/>
  <c r="H909" i="15"/>
  <c r="G909" i="15"/>
  <c r="E909" i="15"/>
  <c r="D909" i="15"/>
  <c r="Q908" i="15"/>
  <c r="H908" i="15"/>
  <c r="G908" i="15"/>
  <c r="E908" i="15"/>
  <c r="D908" i="15"/>
  <c r="Q907" i="15"/>
  <c r="L907" i="15"/>
  <c r="K907" i="15"/>
  <c r="J907" i="15"/>
  <c r="I907" i="15"/>
  <c r="H907" i="15"/>
  <c r="G907" i="15"/>
  <c r="E907" i="15"/>
  <c r="D907" i="15"/>
  <c r="L906" i="15"/>
  <c r="K906" i="15"/>
  <c r="J906" i="15"/>
  <c r="Q906" i="15" s="1"/>
  <c r="I906" i="15"/>
  <c r="H906" i="15"/>
  <c r="G906" i="15"/>
  <c r="E906" i="15"/>
  <c r="D906" i="15"/>
  <c r="L905" i="15"/>
  <c r="K905" i="15"/>
  <c r="J905" i="15"/>
  <c r="Q905" i="15" s="1"/>
  <c r="I905" i="15"/>
  <c r="H905" i="15"/>
  <c r="G905" i="15"/>
  <c r="E905" i="15"/>
  <c r="D905" i="15"/>
  <c r="L904" i="15"/>
  <c r="K904" i="15"/>
  <c r="J904" i="15"/>
  <c r="Q904" i="15" s="1"/>
  <c r="I904" i="15"/>
  <c r="H904" i="15"/>
  <c r="G904" i="15"/>
  <c r="E904" i="15"/>
  <c r="D904" i="15"/>
  <c r="Q903" i="15"/>
  <c r="L903" i="15"/>
  <c r="K903" i="15"/>
  <c r="J903" i="15"/>
  <c r="I903" i="15"/>
  <c r="H903" i="15"/>
  <c r="G903" i="15"/>
  <c r="E903" i="15"/>
  <c r="D903" i="15"/>
  <c r="L902" i="15"/>
  <c r="K902" i="15"/>
  <c r="J902" i="15"/>
  <c r="Q902" i="15" s="1"/>
  <c r="I902" i="15"/>
  <c r="H902" i="15"/>
  <c r="G902" i="15"/>
  <c r="E902" i="15"/>
  <c r="D902" i="15"/>
  <c r="L901" i="15"/>
  <c r="K901" i="15"/>
  <c r="J901" i="15"/>
  <c r="Q901" i="15" s="1"/>
  <c r="I901" i="15"/>
  <c r="H901" i="15"/>
  <c r="G901" i="15"/>
  <c r="E901" i="15"/>
  <c r="D901" i="15"/>
  <c r="L900" i="15"/>
  <c r="K900" i="15"/>
  <c r="J900" i="15"/>
  <c r="Q900" i="15" s="1"/>
  <c r="I900" i="15"/>
  <c r="H900" i="15"/>
  <c r="G900" i="15"/>
  <c r="E900" i="15"/>
  <c r="D900" i="15"/>
  <c r="L899" i="15"/>
  <c r="K899" i="15"/>
  <c r="Q899" i="15" s="1"/>
  <c r="J899" i="15"/>
  <c r="I899" i="15"/>
  <c r="H899" i="15"/>
  <c r="G899" i="15"/>
  <c r="E899" i="15"/>
  <c r="D899" i="15"/>
  <c r="Q898" i="15"/>
  <c r="L898" i="15"/>
  <c r="K898" i="15"/>
  <c r="J898" i="15"/>
  <c r="I898" i="15"/>
  <c r="H898" i="15"/>
  <c r="G898" i="15"/>
  <c r="E898" i="15"/>
  <c r="D898" i="15"/>
  <c r="L897" i="15"/>
  <c r="K897" i="15"/>
  <c r="J897" i="15"/>
  <c r="Q897" i="15" s="1"/>
  <c r="I897" i="15"/>
  <c r="H897" i="15"/>
  <c r="G897" i="15"/>
  <c r="E897" i="15"/>
  <c r="D897" i="15"/>
  <c r="L896" i="15"/>
  <c r="K896" i="15"/>
  <c r="J896" i="15"/>
  <c r="Q896" i="15" s="1"/>
  <c r="I896" i="15"/>
  <c r="H896" i="15"/>
  <c r="G896" i="15"/>
  <c r="E896" i="15"/>
  <c r="D896" i="15"/>
  <c r="Q895" i="15"/>
  <c r="L895" i="15"/>
  <c r="K895" i="15"/>
  <c r="J895" i="15"/>
  <c r="I895" i="15"/>
  <c r="H895" i="15"/>
  <c r="G895" i="15"/>
  <c r="E895" i="15"/>
  <c r="D895" i="15"/>
  <c r="L894" i="15"/>
  <c r="K894" i="15"/>
  <c r="J894" i="15"/>
  <c r="I894" i="15"/>
  <c r="H894" i="15"/>
  <c r="G894" i="15"/>
  <c r="E894" i="15"/>
  <c r="D894" i="15"/>
  <c r="L893" i="15"/>
  <c r="K893" i="15"/>
  <c r="J893" i="15"/>
  <c r="Q893" i="15" s="1"/>
  <c r="I893" i="15"/>
  <c r="H893" i="15"/>
  <c r="G893" i="15"/>
  <c r="E893" i="15"/>
  <c r="D893" i="15"/>
  <c r="L892" i="15"/>
  <c r="K892" i="15"/>
  <c r="J892" i="15"/>
  <c r="Q892" i="15" s="1"/>
  <c r="I892" i="15"/>
  <c r="H892" i="15"/>
  <c r="G892" i="15"/>
  <c r="E892" i="15"/>
  <c r="D892" i="15"/>
  <c r="Q891" i="15"/>
  <c r="L891" i="15"/>
  <c r="K891" i="15"/>
  <c r="J891" i="15"/>
  <c r="I891" i="15"/>
  <c r="H891" i="15"/>
  <c r="G891" i="15"/>
  <c r="E891" i="15"/>
  <c r="D891" i="15"/>
  <c r="L890" i="15"/>
  <c r="K890" i="15"/>
  <c r="J890" i="15"/>
  <c r="Q890" i="15" s="1"/>
  <c r="I890" i="15"/>
  <c r="H890" i="15"/>
  <c r="G890" i="15"/>
  <c r="E890" i="15"/>
  <c r="D890" i="15"/>
  <c r="L889" i="15"/>
  <c r="K889" i="15"/>
  <c r="J889" i="15"/>
  <c r="Q889" i="15" s="1"/>
  <c r="I889" i="15"/>
  <c r="H889" i="15"/>
  <c r="G889" i="15"/>
  <c r="E889" i="15"/>
  <c r="D889" i="15"/>
  <c r="L888" i="15"/>
  <c r="K888" i="15"/>
  <c r="J888" i="15"/>
  <c r="Q888" i="15" s="1"/>
  <c r="I888" i="15"/>
  <c r="H888" i="15"/>
  <c r="G888" i="15"/>
  <c r="E888" i="15"/>
  <c r="D888" i="15"/>
  <c r="L887" i="15"/>
  <c r="K887" i="15"/>
  <c r="Q887" i="15" s="1"/>
  <c r="J887" i="15"/>
  <c r="I887" i="15"/>
  <c r="H887" i="15"/>
  <c r="G887" i="15"/>
  <c r="E887" i="15"/>
  <c r="D887" i="15"/>
  <c r="L886" i="15"/>
  <c r="K886" i="15"/>
  <c r="J886" i="15"/>
  <c r="Q886" i="15" s="1"/>
  <c r="I886" i="15"/>
  <c r="H886" i="15"/>
  <c r="G886" i="15"/>
  <c r="E886" i="15"/>
  <c r="D886" i="15"/>
  <c r="Q885" i="15"/>
  <c r="L885" i="15"/>
  <c r="K885" i="15"/>
  <c r="J885" i="15"/>
  <c r="I885" i="15"/>
  <c r="H885" i="15"/>
  <c r="G885" i="15"/>
  <c r="E885" i="15"/>
  <c r="D885" i="15"/>
  <c r="L884" i="15"/>
  <c r="K884" i="15"/>
  <c r="Q884" i="15" s="1"/>
  <c r="H884" i="15"/>
  <c r="G884" i="15"/>
  <c r="E884" i="15"/>
  <c r="D884" i="15"/>
  <c r="Q883" i="15"/>
  <c r="L883" i="15"/>
  <c r="H883" i="15"/>
  <c r="G883" i="15"/>
  <c r="E883" i="15"/>
  <c r="D883" i="15"/>
  <c r="L882" i="15"/>
  <c r="K882" i="15"/>
  <c r="Q882" i="15" s="1"/>
  <c r="J882" i="15"/>
  <c r="I882" i="15"/>
  <c r="H882" i="15"/>
  <c r="G882" i="15"/>
  <c r="E882" i="15"/>
  <c r="D882" i="15"/>
  <c r="Q881" i="15"/>
  <c r="L881" i="15"/>
  <c r="K881" i="15"/>
  <c r="J881" i="15"/>
  <c r="I881" i="15"/>
  <c r="H881" i="15"/>
  <c r="G881" i="15"/>
  <c r="E881" i="15"/>
  <c r="D881" i="15"/>
  <c r="L880" i="15"/>
  <c r="K880" i="15"/>
  <c r="J880" i="15"/>
  <c r="Q880" i="15" s="1"/>
  <c r="I880" i="15"/>
  <c r="H880" i="15"/>
  <c r="G880" i="15"/>
  <c r="E880" i="15"/>
  <c r="D880" i="15"/>
  <c r="Q879" i="15"/>
  <c r="M879" i="15"/>
  <c r="Q878" i="15"/>
  <c r="M878" i="15"/>
  <c r="Q877" i="15"/>
  <c r="M877" i="15"/>
  <c r="Q876" i="15"/>
  <c r="Q875" i="15"/>
  <c r="K875" i="15"/>
  <c r="J875" i="15"/>
  <c r="K874" i="15"/>
  <c r="Q874" i="15" s="1"/>
  <c r="J874" i="15"/>
  <c r="M873" i="15"/>
  <c r="K873" i="15"/>
  <c r="J873" i="15"/>
  <c r="M872" i="15"/>
  <c r="K872" i="15"/>
  <c r="Q872" i="15" s="1"/>
  <c r="J872" i="15"/>
  <c r="Q871" i="15"/>
  <c r="Q870" i="15"/>
  <c r="M870" i="15"/>
  <c r="M869" i="15"/>
  <c r="K869" i="15"/>
  <c r="J869" i="15"/>
  <c r="Q869" i="15" s="1"/>
  <c r="Q868" i="15"/>
  <c r="M868" i="15"/>
  <c r="K868" i="15"/>
  <c r="J868" i="15"/>
  <c r="M867" i="15"/>
  <c r="K867" i="15"/>
  <c r="J867" i="15"/>
  <c r="Q867" i="15" s="1"/>
  <c r="K866" i="15"/>
  <c r="J866" i="15"/>
  <c r="Q866" i="15" s="1"/>
  <c r="Q865" i="15"/>
  <c r="Q864" i="15"/>
  <c r="Q863" i="15"/>
  <c r="Q862" i="15"/>
  <c r="Q861" i="15"/>
  <c r="L861" i="15"/>
  <c r="Q860" i="15"/>
  <c r="Q859" i="15"/>
  <c r="M859" i="15"/>
  <c r="Q858" i="15"/>
  <c r="M858" i="15"/>
  <c r="Q857" i="15"/>
  <c r="L857" i="15"/>
  <c r="Q856" i="15"/>
  <c r="Q855" i="15"/>
  <c r="Q854" i="15"/>
  <c r="Q853" i="15"/>
  <c r="L853" i="15"/>
  <c r="K853" i="15"/>
  <c r="J853" i="15"/>
  <c r="I853" i="15"/>
  <c r="H853" i="15"/>
  <c r="G853" i="15"/>
  <c r="E853" i="15"/>
  <c r="D853" i="15"/>
  <c r="Q852" i="15"/>
  <c r="L852" i="15"/>
  <c r="K852" i="15"/>
  <c r="J852" i="15"/>
  <c r="I852" i="15"/>
  <c r="H852" i="15"/>
  <c r="G852" i="15"/>
  <c r="E852" i="15"/>
  <c r="D852" i="15"/>
  <c r="L851" i="15"/>
  <c r="K851" i="15"/>
  <c r="J851" i="15"/>
  <c r="Q851" i="15" s="1"/>
  <c r="I851" i="15"/>
  <c r="H851" i="15"/>
  <c r="G851" i="15"/>
  <c r="E851" i="15"/>
  <c r="D851" i="15"/>
  <c r="Q850" i="15"/>
  <c r="L850" i="15"/>
  <c r="K850" i="15"/>
  <c r="J850" i="15"/>
  <c r="I850" i="15"/>
  <c r="H850" i="15"/>
  <c r="G850" i="15"/>
  <c r="E850" i="15"/>
  <c r="D850" i="15"/>
  <c r="Q849" i="15"/>
  <c r="L849" i="15"/>
  <c r="K849" i="15"/>
  <c r="J849" i="15"/>
  <c r="I849" i="15"/>
  <c r="H849" i="15"/>
  <c r="G849" i="15"/>
  <c r="E849" i="15"/>
  <c r="D849" i="15"/>
  <c r="L848" i="15"/>
  <c r="K848" i="15"/>
  <c r="Q848" i="15" s="1"/>
  <c r="J848" i="15"/>
  <c r="I848" i="15"/>
  <c r="H848" i="15"/>
  <c r="G848" i="15"/>
  <c r="E848" i="15"/>
  <c r="D848" i="15"/>
  <c r="L847" i="15"/>
  <c r="K847" i="15"/>
  <c r="J847" i="15"/>
  <c r="Q847" i="15" s="1"/>
  <c r="I847" i="15"/>
  <c r="H847" i="15"/>
  <c r="G847" i="15"/>
  <c r="E847" i="15"/>
  <c r="D847" i="15"/>
  <c r="Q846" i="15"/>
  <c r="L846" i="15"/>
  <c r="K846" i="15"/>
  <c r="J846" i="15"/>
  <c r="I846" i="15"/>
  <c r="H846" i="15"/>
  <c r="G846" i="15"/>
  <c r="E846" i="15"/>
  <c r="D846" i="15"/>
  <c r="Q845" i="15"/>
  <c r="L845" i="15"/>
  <c r="K845" i="15"/>
  <c r="J845" i="15"/>
  <c r="I845" i="15"/>
  <c r="H845" i="15"/>
  <c r="G845" i="15"/>
  <c r="E845" i="15"/>
  <c r="D845" i="15"/>
  <c r="L844" i="15"/>
  <c r="K844" i="15"/>
  <c r="J844" i="15"/>
  <c r="Q844" i="15" s="1"/>
  <c r="I844" i="15"/>
  <c r="H844" i="15"/>
  <c r="G844" i="15"/>
  <c r="E844" i="15"/>
  <c r="D844" i="15"/>
  <c r="L843" i="15"/>
  <c r="K843" i="15"/>
  <c r="J843" i="15"/>
  <c r="Q843" i="15" s="1"/>
  <c r="I843" i="15"/>
  <c r="H843" i="15"/>
  <c r="G843" i="15"/>
  <c r="E843" i="15"/>
  <c r="D843" i="15"/>
  <c r="Q842" i="15"/>
  <c r="L842" i="15"/>
  <c r="K842" i="15"/>
  <c r="J842" i="15"/>
  <c r="I842" i="15"/>
  <c r="G842" i="15"/>
  <c r="E842" i="15"/>
  <c r="D842" i="15"/>
  <c r="Q841" i="15"/>
  <c r="L841" i="15"/>
  <c r="K841" i="15"/>
  <c r="J841" i="15"/>
  <c r="I841" i="15"/>
  <c r="G841" i="15"/>
  <c r="E841" i="15"/>
  <c r="D841" i="15"/>
  <c r="L840" i="15"/>
  <c r="K840" i="15"/>
  <c r="J840" i="15"/>
  <c r="Q840" i="15" s="1"/>
  <c r="I840" i="15"/>
  <c r="G840" i="15"/>
  <c r="E840" i="15"/>
  <c r="D840" i="15"/>
  <c r="Q839" i="15"/>
  <c r="L839" i="15"/>
  <c r="K839" i="15"/>
  <c r="J839" i="15"/>
  <c r="I839" i="15"/>
  <c r="G839" i="15"/>
  <c r="E839" i="15"/>
  <c r="D839" i="15"/>
  <c r="J838" i="15"/>
  <c r="Q838" i="15" s="1"/>
  <c r="H838" i="15"/>
  <c r="G838" i="15"/>
  <c r="E838" i="15"/>
  <c r="D838" i="15"/>
  <c r="L837" i="15"/>
  <c r="K837" i="15"/>
  <c r="J837" i="15"/>
  <c r="Q837" i="15" s="1"/>
  <c r="I837" i="15"/>
  <c r="H837" i="15"/>
  <c r="G837" i="15"/>
  <c r="E837" i="15"/>
  <c r="D837" i="15"/>
  <c r="L836" i="15"/>
  <c r="K836" i="15"/>
  <c r="Q836" i="15" s="1"/>
  <c r="J836" i="15"/>
  <c r="I836" i="15"/>
  <c r="H836" i="15"/>
  <c r="G836" i="15"/>
  <c r="E836" i="15"/>
  <c r="D836" i="15"/>
  <c r="Q835" i="15"/>
  <c r="L835" i="15"/>
  <c r="K835" i="15"/>
  <c r="J835" i="15"/>
  <c r="I835" i="15"/>
  <c r="H835" i="15"/>
  <c r="G835" i="15"/>
  <c r="E835" i="15"/>
  <c r="D835" i="15"/>
  <c r="K834" i="15"/>
  <c r="Q834" i="15" s="1"/>
  <c r="H834" i="15"/>
  <c r="G834" i="15"/>
  <c r="E834" i="15"/>
  <c r="D834" i="15"/>
  <c r="L833" i="15"/>
  <c r="K833" i="15"/>
  <c r="Q833" i="15" s="1"/>
  <c r="J833" i="15"/>
  <c r="I833" i="15"/>
  <c r="H833" i="15"/>
  <c r="G833" i="15"/>
  <c r="E833" i="15"/>
  <c r="D833" i="15"/>
  <c r="Q832" i="15"/>
  <c r="L832" i="15"/>
  <c r="K832" i="15"/>
  <c r="J832" i="15"/>
  <c r="I832" i="15"/>
  <c r="H832" i="15"/>
  <c r="G832" i="15"/>
  <c r="E832" i="15"/>
  <c r="D832" i="15"/>
  <c r="L831" i="15"/>
  <c r="K831" i="15"/>
  <c r="J831" i="15"/>
  <c r="Q831" i="15" s="1"/>
  <c r="I831" i="15"/>
  <c r="H831" i="15"/>
  <c r="G831" i="15"/>
  <c r="E831" i="15"/>
  <c r="D831" i="15"/>
  <c r="L830" i="15"/>
  <c r="K830" i="15"/>
  <c r="J830" i="15"/>
  <c r="I830" i="15"/>
  <c r="H830" i="15"/>
  <c r="G830" i="15"/>
  <c r="E830" i="15"/>
  <c r="D830" i="15"/>
  <c r="L829" i="15"/>
  <c r="K829" i="15"/>
  <c r="Q829" i="15" s="1"/>
  <c r="J829" i="15"/>
  <c r="I829" i="15"/>
  <c r="H829" i="15"/>
  <c r="G829" i="15"/>
  <c r="E829" i="15"/>
  <c r="D829" i="15"/>
  <c r="Q828" i="15"/>
  <c r="L828" i="15"/>
  <c r="K828" i="15"/>
  <c r="J828" i="15"/>
  <c r="I828" i="15"/>
  <c r="H828" i="15"/>
  <c r="G828" i="15"/>
  <c r="E828" i="15"/>
  <c r="D828" i="15"/>
  <c r="L827" i="15"/>
  <c r="K827" i="15"/>
  <c r="J827" i="15"/>
  <c r="Q827" i="15" s="1"/>
  <c r="I827" i="15"/>
  <c r="H827" i="15"/>
  <c r="G827" i="15"/>
  <c r="E827" i="15"/>
  <c r="D827" i="15"/>
  <c r="L826" i="15"/>
  <c r="K826" i="15"/>
  <c r="J826" i="15"/>
  <c r="I826" i="15"/>
  <c r="H826" i="15"/>
  <c r="G826" i="15"/>
  <c r="E826" i="15"/>
  <c r="D826" i="15"/>
  <c r="L825" i="15"/>
  <c r="K825" i="15"/>
  <c r="Q825" i="15" s="1"/>
  <c r="J825" i="15"/>
  <c r="I825" i="15"/>
  <c r="H825" i="15"/>
  <c r="G825" i="15"/>
  <c r="E825" i="15"/>
  <c r="D825" i="15"/>
  <c r="Q824" i="15"/>
  <c r="L824" i="15"/>
  <c r="K824" i="15"/>
  <c r="J824" i="15"/>
  <c r="I824" i="15"/>
  <c r="G824" i="15"/>
  <c r="E824" i="15"/>
  <c r="D824" i="15"/>
  <c r="Q823" i="15"/>
  <c r="L823" i="15"/>
  <c r="K823" i="15"/>
  <c r="I823" i="15"/>
  <c r="G823" i="15"/>
  <c r="E823" i="15"/>
  <c r="D823" i="15"/>
  <c r="L822" i="15"/>
  <c r="K822" i="15"/>
  <c r="Q822" i="15" s="1"/>
  <c r="J822" i="15"/>
  <c r="I822" i="15"/>
  <c r="G822" i="15"/>
  <c r="E822" i="15"/>
  <c r="D822" i="15"/>
  <c r="Q821" i="15"/>
  <c r="L821" i="15"/>
  <c r="K821" i="15"/>
  <c r="J821" i="15"/>
  <c r="I821" i="15"/>
  <c r="H821" i="15"/>
  <c r="G821" i="15"/>
  <c r="E821" i="15"/>
  <c r="D821" i="15"/>
  <c r="L820" i="15"/>
  <c r="K820" i="15"/>
  <c r="Q820" i="15" s="1"/>
  <c r="J820" i="15"/>
  <c r="I820" i="15"/>
  <c r="H820" i="15"/>
  <c r="G820" i="15"/>
  <c r="E820" i="15"/>
  <c r="D820" i="15"/>
  <c r="Q819" i="15"/>
  <c r="L819" i="15"/>
  <c r="K819" i="15"/>
  <c r="J819" i="15"/>
  <c r="I819" i="15"/>
  <c r="H819" i="15"/>
  <c r="G819" i="15"/>
  <c r="E819" i="15"/>
  <c r="D819" i="15"/>
  <c r="L818" i="15"/>
  <c r="K818" i="15"/>
  <c r="J818" i="15"/>
  <c r="Q818" i="15" s="1"/>
  <c r="I818" i="15"/>
  <c r="H818" i="15"/>
  <c r="G818" i="15"/>
  <c r="E818" i="15"/>
  <c r="D818" i="15"/>
  <c r="Q817" i="15"/>
  <c r="L817" i="15"/>
  <c r="K817" i="15"/>
  <c r="J817" i="15"/>
  <c r="I817" i="15"/>
  <c r="H817" i="15"/>
  <c r="G817" i="15"/>
  <c r="E817" i="15"/>
  <c r="D817" i="15"/>
  <c r="L816" i="15"/>
  <c r="K816" i="15"/>
  <c r="J816" i="15"/>
  <c r="Q816" i="15" s="1"/>
  <c r="I816" i="15"/>
  <c r="H816" i="15"/>
  <c r="G816" i="15"/>
  <c r="E816" i="15"/>
  <c r="D816" i="15"/>
  <c r="L815" i="15"/>
  <c r="K815" i="15"/>
  <c r="J815" i="15"/>
  <c r="Q815" i="15" s="1"/>
  <c r="I815" i="15"/>
  <c r="H815" i="15"/>
  <c r="G815" i="15"/>
  <c r="E815" i="15"/>
  <c r="D815" i="15"/>
  <c r="L814" i="15"/>
  <c r="K814" i="15"/>
  <c r="J814" i="15"/>
  <c r="Q814" i="15" s="1"/>
  <c r="I814" i="15"/>
  <c r="H814" i="15"/>
  <c r="G814" i="15"/>
  <c r="E814" i="15"/>
  <c r="D814" i="15"/>
  <c r="Q813" i="15"/>
  <c r="L813" i="15"/>
  <c r="K813" i="15"/>
  <c r="J813" i="15"/>
  <c r="I813" i="15"/>
  <c r="H813" i="15"/>
  <c r="G813" i="15"/>
  <c r="E813" i="15"/>
  <c r="D813" i="15"/>
  <c r="Q812" i="15"/>
  <c r="L812" i="15"/>
  <c r="K812" i="15"/>
  <c r="J812" i="15"/>
  <c r="I812" i="15"/>
  <c r="H812" i="15"/>
  <c r="G812" i="15"/>
  <c r="E812" i="15"/>
  <c r="D812" i="15"/>
  <c r="L811" i="15"/>
  <c r="K811" i="15"/>
  <c r="J811" i="15"/>
  <c r="Q811" i="15" s="1"/>
  <c r="I811" i="15"/>
  <c r="H811" i="15"/>
  <c r="G811" i="15"/>
  <c r="E811" i="15"/>
  <c r="D811" i="15"/>
  <c r="L810" i="15"/>
  <c r="K810" i="15"/>
  <c r="J810" i="15"/>
  <c r="Q810" i="15" s="1"/>
  <c r="I810" i="15"/>
  <c r="H810" i="15"/>
  <c r="G810" i="15"/>
  <c r="E810" i="15"/>
  <c r="D810" i="15"/>
  <c r="Q809" i="15"/>
  <c r="L809" i="15"/>
  <c r="K809" i="15"/>
  <c r="J809" i="15"/>
  <c r="I809" i="15"/>
  <c r="H809" i="15"/>
  <c r="G809" i="15"/>
  <c r="E809" i="15"/>
  <c r="D809" i="15"/>
  <c r="Q808" i="15"/>
  <c r="L808" i="15"/>
  <c r="K808" i="15"/>
  <c r="J808" i="15"/>
  <c r="I808" i="15"/>
  <c r="H808" i="15"/>
  <c r="G808" i="15"/>
  <c r="E808" i="15"/>
  <c r="D808" i="15"/>
  <c r="L807" i="15"/>
  <c r="K807" i="15"/>
  <c r="J807" i="15"/>
  <c r="Q807" i="15" s="1"/>
  <c r="I807" i="15"/>
  <c r="H807" i="15"/>
  <c r="G807" i="15"/>
  <c r="E807" i="15"/>
  <c r="D807" i="15"/>
  <c r="L806" i="15"/>
  <c r="K806" i="15"/>
  <c r="J806" i="15"/>
  <c r="Q806" i="15" s="1"/>
  <c r="I806" i="15"/>
  <c r="H806" i="15"/>
  <c r="G806" i="15"/>
  <c r="E806" i="15"/>
  <c r="D806" i="15"/>
  <c r="Q805" i="15"/>
  <c r="L805" i="15"/>
  <c r="K805" i="15"/>
  <c r="J805" i="15"/>
  <c r="I805" i="15"/>
  <c r="H805" i="15"/>
  <c r="G805" i="15"/>
  <c r="E805" i="15"/>
  <c r="D805" i="15"/>
  <c r="L804" i="15"/>
  <c r="K804" i="15"/>
  <c r="J804" i="15"/>
  <c r="Q804" i="15" s="1"/>
  <c r="I804" i="15"/>
  <c r="H804" i="15"/>
  <c r="G804" i="15"/>
  <c r="E804" i="15"/>
  <c r="D804" i="15"/>
  <c r="L803" i="15"/>
  <c r="K803" i="15"/>
  <c r="J803" i="15"/>
  <c r="Q803" i="15" s="1"/>
  <c r="I803" i="15"/>
  <c r="H803" i="15"/>
  <c r="G803" i="15"/>
  <c r="E803" i="15"/>
  <c r="D803" i="15"/>
  <c r="L802" i="15"/>
  <c r="K802" i="15"/>
  <c r="J802" i="15"/>
  <c r="Q802" i="15" s="1"/>
  <c r="I802" i="15"/>
  <c r="H802" i="15"/>
  <c r="G802" i="15"/>
  <c r="E802" i="15"/>
  <c r="D802" i="15"/>
  <c r="L801" i="15"/>
  <c r="K801" i="15"/>
  <c r="Q801" i="15" s="1"/>
  <c r="J801" i="15"/>
  <c r="I801" i="15"/>
  <c r="H801" i="15"/>
  <c r="G801" i="15"/>
  <c r="E801" i="15"/>
  <c r="D801" i="15"/>
  <c r="L800" i="15"/>
  <c r="K800" i="15"/>
  <c r="J800" i="15"/>
  <c r="Q800" i="15" s="1"/>
  <c r="I800" i="15"/>
  <c r="H800" i="15"/>
  <c r="G800" i="15"/>
  <c r="E800" i="15"/>
  <c r="D800" i="15"/>
  <c r="L799" i="15"/>
  <c r="K799" i="15"/>
  <c r="J799" i="15"/>
  <c r="Q799" i="15" s="1"/>
  <c r="I799" i="15"/>
  <c r="H799" i="15"/>
  <c r="G799" i="15"/>
  <c r="E799" i="15"/>
  <c r="D799" i="15"/>
  <c r="L798" i="15"/>
  <c r="K798" i="15"/>
  <c r="J798" i="15"/>
  <c r="Q798" i="15" s="1"/>
  <c r="I798" i="15"/>
  <c r="H798" i="15"/>
  <c r="G798" i="15"/>
  <c r="E798" i="15"/>
  <c r="D798" i="15"/>
  <c r="L797" i="15"/>
  <c r="K797" i="15"/>
  <c r="Q797" i="15" s="1"/>
  <c r="J797" i="15"/>
  <c r="I797" i="15"/>
  <c r="H797" i="15"/>
  <c r="G797" i="15"/>
  <c r="E797" i="15"/>
  <c r="D797" i="15"/>
  <c r="L796" i="15"/>
  <c r="K796" i="15"/>
  <c r="J796" i="15"/>
  <c r="Q796" i="15" s="1"/>
  <c r="I796" i="15"/>
  <c r="H796" i="15"/>
  <c r="G796" i="15"/>
  <c r="E796" i="15"/>
  <c r="D796" i="15"/>
  <c r="Q795" i="15"/>
  <c r="L795" i="15"/>
  <c r="K795" i="15"/>
  <c r="J795" i="15"/>
  <c r="I795" i="15"/>
  <c r="H795" i="15"/>
  <c r="G795" i="15"/>
  <c r="E795" i="15"/>
  <c r="D795" i="15"/>
  <c r="L794" i="15"/>
  <c r="K794" i="15"/>
  <c r="J794" i="15"/>
  <c r="Q794" i="15" s="1"/>
  <c r="I794" i="15"/>
  <c r="H794" i="15"/>
  <c r="G794" i="15"/>
  <c r="E794" i="15"/>
  <c r="D794" i="15"/>
  <c r="L793" i="15"/>
  <c r="K793" i="15"/>
  <c r="Q793" i="15" s="1"/>
  <c r="J793" i="15"/>
  <c r="I793" i="15"/>
  <c r="H793" i="15"/>
  <c r="G793" i="15"/>
  <c r="E793" i="15"/>
  <c r="D793" i="15"/>
  <c r="L792" i="15"/>
  <c r="K792" i="15"/>
  <c r="J792" i="15"/>
  <c r="Q792" i="15" s="1"/>
  <c r="I792" i="15"/>
  <c r="H792" i="15"/>
  <c r="G792" i="15"/>
  <c r="E792" i="15"/>
  <c r="D792" i="15"/>
  <c r="Q791" i="15"/>
  <c r="L791" i="15"/>
  <c r="K791" i="15"/>
  <c r="J791" i="15"/>
  <c r="I791" i="15"/>
  <c r="H791" i="15"/>
  <c r="G791" i="15"/>
  <c r="E791" i="15"/>
  <c r="D791" i="15"/>
  <c r="L790" i="15"/>
  <c r="K790" i="15"/>
  <c r="J790" i="15"/>
  <c r="Q790" i="15" s="1"/>
  <c r="I790" i="15"/>
  <c r="H790" i="15"/>
  <c r="G790" i="15"/>
  <c r="E790" i="15"/>
  <c r="D790" i="15"/>
  <c r="L789" i="15"/>
  <c r="K789" i="15"/>
  <c r="Q789" i="15" s="1"/>
  <c r="J789" i="15"/>
  <c r="I789" i="15"/>
  <c r="H789" i="15"/>
  <c r="G789" i="15"/>
  <c r="E789" i="15"/>
  <c r="D789" i="15"/>
  <c r="L788" i="15"/>
  <c r="K788" i="15"/>
  <c r="J788" i="15"/>
  <c r="Q788" i="15" s="1"/>
  <c r="I788" i="15"/>
  <c r="H788" i="15"/>
  <c r="G788" i="15"/>
  <c r="E788" i="15"/>
  <c r="D788" i="15"/>
  <c r="Q787" i="15"/>
  <c r="L787" i="15"/>
  <c r="K787" i="15"/>
  <c r="J787" i="15"/>
  <c r="I787" i="15"/>
  <c r="H787" i="15"/>
  <c r="G787" i="15"/>
  <c r="E787" i="15"/>
  <c r="D787" i="15"/>
  <c r="L786" i="15"/>
  <c r="K786" i="15"/>
  <c r="J786" i="15"/>
  <c r="Q786" i="15" s="1"/>
  <c r="I786" i="15"/>
  <c r="H786" i="15"/>
  <c r="G786" i="15"/>
  <c r="E786" i="15"/>
  <c r="D786" i="15"/>
  <c r="L785" i="15"/>
  <c r="K785" i="15"/>
  <c r="Q785" i="15" s="1"/>
  <c r="J785" i="15"/>
  <c r="I785" i="15"/>
  <c r="H785" i="15"/>
  <c r="G785" i="15"/>
  <c r="E785" i="15"/>
  <c r="D785" i="15"/>
  <c r="Q784" i="15"/>
  <c r="L784" i="15"/>
  <c r="K784" i="15"/>
  <c r="J784" i="15"/>
  <c r="I784" i="15"/>
  <c r="H784" i="15"/>
  <c r="G784" i="15"/>
  <c r="E784" i="15"/>
  <c r="D784" i="15"/>
  <c r="Q783" i="15"/>
  <c r="L783" i="15"/>
  <c r="K783" i="15"/>
  <c r="J783" i="15"/>
  <c r="I783" i="15"/>
  <c r="H783" i="15"/>
  <c r="G783" i="15"/>
  <c r="E783" i="15"/>
  <c r="D783" i="15"/>
  <c r="L782" i="15"/>
  <c r="K782" i="15"/>
  <c r="J782" i="15"/>
  <c r="Q782" i="15" s="1"/>
  <c r="I782" i="15"/>
  <c r="H782" i="15"/>
  <c r="G782" i="15"/>
  <c r="E782" i="15"/>
  <c r="D782" i="15"/>
  <c r="L781" i="15"/>
  <c r="K781" i="15"/>
  <c r="Q781" i="15" s="1"/>
  <c r="J781" i="15"/>
  <c r="I781" i="15"/>
  <c r="H781" i="15"/>
  <c r="G781" i="15"/>
  <c r="E781" i="15"/>
  <c r="D781" i="15"/>
  <c r="Q780" i="15"/>
  <c r="L780" i="15"/>
  <c r="K780" i="15"/>
  <c r="J780" i="15"/>
  <c r="I780" i="15"/>
  <c r="H780" i="15"/>
  <c r="G780" i="15"/>
  <c r="E780" i="15"/>
  <c r="D780" i="15"/>
  <c r="Q779" i="15"/>
  <c r="L779" i="15"/>
  <c r="K779" i="15"/>
  <c r="J779" i="15"/>
  <c r="I779" i="15"/>
  <c r="H779" i="15"/>
  <c r="G779" i="15"/>
  <c r="E779" i="15"/>
  <c r="D779" i="15"/>
  <c r="L778" i="15"/>
  <c r="K778" i="15"/>
  <c r="J778" i="15"/>
  <c r="Q778" i="15" s="1"/>
  <c r="I778" i="15"/>
  <c r="H778" i="15"/>
  <c r="G778" i="15"/>
  <c r="E778" i="15"/>
  <c r="D778" i="15"/>
  <c r="Q777" i="15"/>
  <c r="L777" i="15"/>
  <c r="K777" i="15"/>
  <c r="J777" i="15"/>
  <c r="I777" i="15"/>
  <c r="H777" i="15"/>
  <c r="G777" i="15"/>
  <c r="E777" i="15"/>
  <c r="D777" i="15"/>
  <c r="Q776" i="15"/>
  <c r="L776" i="15"/>
  <c r="K776" i="15"/>
  <c r="J776" i="15"/>
  <c r="I776" i="15"/>
  <c r="H776" i="15"/>
  <c r="G776" i="15"/>
  <c r="E776" i="15"/>
  <c r="D776" i="15"/>
  <c r="Q775" i="15"/>
  <c r="L775" i="15"/>
  <c r="K775" i="15"/>
  <c r="J775" i="15"/>
  <c r="I775" i="15"/>
  <c r="H775" i="15"/>
  <c r="G775" i="15"/>
  <c r="E775" i="15"/>
  <c r="D775" i="15"/>
  <c r="L774" i="15"/>
  <c r="K774" i="15"/>
  <c r="J774" i="15"/>
  <c r="Q774" i="15" s="1"/>
  <c r="I774" i="15"/>
  <c r="H774" i="15"/>
  <c r="G774" i="15"/>
  <c r="E774" i="15"/>
  <c r="D774" i="15"/>
  <c r="Q773" i="15"/>
  <c r="L773" i="15"/>
  <c r="K773" i="15"/>
  <c r="J773" i="15"/>
  <c r="I773" i="15"/>
  <c r="H773" i="15"/>
  <c r="G773" i="15"/>
  <c r="E773" i="15"/>
  <c r="D773" i="15"/>
  <c r="Q772" i="15"/>
  <c r="L772" i="15"/>
  <c r="K772" i="15"/>
  <c r="J772" i="15"/>
  <c r="I772" i="15"/>
  <c r="H772" i="15"/>
  <c r="G772" i="15"/>
  <c r="E772" i="15"/>
  <c r="D772" i="15"/>
  <c r="Q771" i="15"/>
  <c r="L771" i="15"/>
  <c r="K771" i="15"/>
  <c r="J771" i="15"/>
  <c r="I771" i="15"/>
  <c r="H771" i="15"/>
  <c r="G771" i="15"/>
  <c r="E771" i="15"/>
  <c r="D771" i="15"/>
  <c r="L770" i="15"/>
  <c r="K770" i="15"/>
  <c r="J770" i="15"/>
  <c r="Q770" i="15" s="1"/>
  <c r="I770" i="15"/>
  <c r="H770" i="15"/>
  <c r="G770" i="15"/>
  <c r="E770" i="15"/>
  <c r="D770" i="15"/>
  <c r="Q769" i="15"/>
  <c r="L769" i="15"/>
  <c r="H769" i="15"/>
  <c r="G769" i="15"/>
  <c r="E769" i="15"/>
  <c r="D769" i="15"/>
  <c r="L768" i="15"/>
  <c r="K768" i="15"/>
  <c r="J768" i="15"/>
  <c r="Q768" i="15" s="1"/>
  <c r="I768" i="15"/>
  <c r="H768" i="15"/>
  <c r="G768" i="15"/>
  <c r="E768" i="15"/>
  <c r="D768" i="15"/>
  <c r="L767" i="15"/>
  <c r="K767" i="15"/>
  <c r="J767" i="15"/>
  <c r="Q767" i="15" s="1"/>
  <c r="I767" i="15"/>
  <c r="H767" i="15"/>
  <c r="G767" i="15"/>
  <c r="E767" i="15"/>
  <c r="D767" i="15"/>
  <c r="Q766" i="15"/>
  <c r="L766" i="15"/>
  <c r="K766" i="15"/>
  <c r="J766" i="15"/>
  <c r="I766" i="15"/>
  <c r="H766" i="15"/>
  <c r="G766" i="15"/>
  <c r="E766" i="15"/>
  <c r="D766" i="15"/>
  <c r="Q765" i="15"/>
  <c r="L765" i="15"/>
  <c r="K765" i="15"/>
  <c r="J765" i="15"/>
  <c r="I765" i="15"/>
  <c r="H765" i="15"/>
  <c r="G765" i="15"/>
  <c r="E765" i="15"/>
  <c r="D765" i="15"/>
  <c r="L764" i="15"/>
  <c r="K764" i="15"/>
  <c r="J764" i="15"/>
  <c r="Q764" i="15" s="1"/>
  <c r="I764" i="15"/>
  <c r="H764" i="15"/>
  <c r="G764" i="15"/>
  <c r="E764" i="15"/>
  <c r="D764" i="15"/>
  <c r="L763" i="15"/>
  <c r="K763" i="15"/>
  <c r="J763" i="15"/>
  <c r="Q763" i="15" s="1"/>
  <c r="I763" i="15"/>
  <c r="H763" i="15"/>
  <c r="G763" i="15"/>
  <c r="E763" i="15"/>
  <c r="D763" i="15"/>
  <c r="Q762" i="15"/>
  <c r="L762" i="15"/>
  <c r="K762" i="15"/>
  <c r="J762" i="15"/>
  <c r="I762" i="15"/>
  <c r="H762" i="15"/>
  <c r="G762" i="15"/>
  <c r="E762" i="15"/>
  <c r="D762" i="15"/>
  <c r="L761" i="15"/>
  <c r="K761" i="15"/>
  <c r="J761" i="15"/>
  <c r="Q761" i="15" s="1"/>
  <c r="I761" i="15"/>
  <c r="H761" i="15"/>
  <c r="G761" i="15"/>
  <c r="E761" i="15"/>
  <c r="D761" i="15"/>
  <c r="L760" i="15"/>
  <c r="K760" i="15"/>
  <c r="J760" i="15"/>
  <c r="Q760" i="15" s="1"/>
  <c r="I760" i="15"/>
  <c r="H760" i="15"/>
  <c r="G760" i="15"/>
  <c r="E760" i="15"/>
  <c r="D760" i="15"/>
  <c r="L759" i="15"/>
  <c r="K759" i="15"/>
  <c r="J759" i="15"/>
  <c r="Q759" i="15" s="1"/>
  <c r="I759" i="15"/>
  <c r="H759" i="15"/>
  <c r="G759" i="15"/>
  <c r="E759" i="15"/>
  <c r="D759" i="15"/>
  <c r="L758" i="15"/>
  <c r="K758" i="15"/>
  <c r="Q758" i="15" s="1"/>
  <c r="J758" i="15"/>
  <c r="I758" i="15"/>
  <c r="H758" i="15"/>
  <c r="G758" i="15"/>
  <c r="E758" i="15"/>
  <c r="D758" i="15"/>
  <c r="L757" i="15"/>
  <c r="K757" i="15"/>
  <c r="J757" i="15"/>
  <c r="Q757" i="15" s="1"/>
  <c r="I757" i="15"/>
  <c r="H757" i="15"/>
  <c r="G757" i="15"/>
  <c r="E757" i="15"/>
  <c r="D757" i="15"/>
  <c r="L756" i="15"/>
  <c r="K756" i="15"/>
  <c r="J756" i="15"/>
  <c r="Q756" i="15" s="1"/>
  <c r="I756" i="15"/>
  <c r="H756" i="15"/>
  <c r="G756" i="15"/>
  <c r="E756" i="15"/>
  <c r="D756" i="15"/>
  <c r="L755" i="15"/>
  <c r="K755" i="15"/>
  <c r="J755" i="15"/>
  <c r="Q755" i="15" s="1"/>
  <c r="I755" i="15"/>
  <c r="H755" i="15"/>
  <c r="G755" i="15"/>
  <c r="E755" i="15"/>
  <c r="D755" i="15"/>
  <c r="L754" i="15"/>
  <c r="K754" i="15"/>
  <c r="Q754" i="15" s="1"/>
  <c r="J754" i="15"/>
  <c r="I754" i="15"/>
  <c r="H754" i="15"/>
  <c r="G754" i="15"/>
  <c r="E754" i="15"/>
  <c r="D754" i="15"/>
  <c r="L753" i="15"/>
  <c r="K753" i="15"/>
  <c r="J753" i="15"/>
  <c r="Q753" i="15" s="1"/>
  <c r="I753" i="15"/>
  <c r="H753" i="15"/>
  <c r="G753" i="15"/>
  <c r="E753" i="15"/>
  <c r="D753" i="15"/>
  <c r="L752" i="15"/>
  <c r="K752" i="15"/>
  <c r="J752" i="15"/>
  <c r="Q752" i="15" s="1"/>
  <c r="I752" i="15"/>
  <c r="H752" i="15"/>
  <c r="G752" i="15"/>
  <c r="E752" i="15"/>
  <c r="D752" i="15"/>
  <c r="L751" i="15"/>
  <c r="K751" i="15"/>
  <c r="J751" i="15"/>
  <c r="Q751" i="15" s="1"/>
  <c r="I751" i="15"/>
  <c r="H751" i="15"/>
  <c r="G751" i="15"/>
  <c r="E751" i="15"/>
  <c r="D751" i="15"/>
  <c r="L750" i="15"/>
  <c r="K750" i="15"/>
  <c r="Q750" i="15" s="1"/>
  <c r="J750" i="15"/>
  <c r="I750" i="15"/>
  <c r="H750" i="15"/>
  <c r="G750" i="15"/>
  <c r="E750" i="15"/>
  <c r="D750" i="15"/>
  <c r="L749" i="15"/>
  <c r="K749" i="15"/>
  <c r="J749" i="15"/>
  <c r="Q749" i="15" s="1"/>
  <c r="I749" i="15"/>
  <c r="H749" i="15"/>
  <c r="G749" i="15"/>
  <c r="E749" i="15"/>
  <c r="D749" i="15"/>
  <c r="Q748" i="15"/>
  <c r="L748" i="15"/>
  <c r="K748" i="15"/>
  <c r="J748" i="15"/>
  <c r="I748" i="15"/>
  <c r="H748" i="15"/>
  <c r="G748" i="15"/>
  <c r="E748" i="15"/>
  <c r="D748" i="15"/>
  <c r="L747" i="15"/>
  <c r="K747" i="15"/>
  <c r="J747" i="15"/>
  <c r="Q747" i="15" s="1"/>
  <c r="I747" i="15"/>
  <c r="H747" i="15"/>
  <c r="G747" i="15"/>
  <c r="E747" i="15"/>
  <c r="D747" i="15"/>
  <c r="L746" i="15"/>
  <c r="K746" i="15"/>
  <c r="Q746" i="15" s="1"/>
  <c r="J746" i="15"/>
  <c r="I746" i="15"/>
  <c r="H746" i="15"/>
  <c r="G746" i="15"/>
  <c r="E746" i="15"/>
  <c r="D746" i="15"/>
  <c r="L745" i="15"/>
  <c r="K745" i="15"/>
  <c r="J745" i="15"/>
  <c r="Q745" i="15" s="1"/>
  <c r="I745" i="15"/>
  <c r="H745" i="15"/>
  <c r="G745" i="15"/>
  <c r="E745" i="15"/>
  <c r="D745" i="15"/>
  <c r="Q744" i="15"/>
  <c r="L744" i="15"/>
  <c r="K744" i="15"/>
  <c r="J744" i="15"/>
  <c r="I744" i="15"/>
  <c r="H744" i="15"/>
  <c r="G744" i="15"/>
  <c r="E744" i="15"/>
  <c r="D744" i="15"/>
  <c r="L743" i="15"/>
  <c r="K743" i="15"/>
  <c r="J743" i="15"/>
  <c r="Q743" i="15" s="1"/>
  <c r="I743" i="15"/>
  <c r="H743" i="15"/>
  <c r="G743" i="15"/>
  <c r="E743" i="15"/>
  <c r="D743" i="15"/>
  <c r="L742" i="15"/>
  <c r="K742" i="15"/>
  <c r="Q742" i="15" s="1"/>
  <c r="J742" i="15"/>
  <c r="I742" i="15"/>
  <c r="H742" i="15"/>
  <c r="G742" i="15"/>
  <c r="E742" i="15"/>
  <c r="D742" i="15"/>
  <c r="L741" i="15"/>
  <c r="K741" i="15"/>
  <c r="J741" i="15"/>
  <c r="Q741" i="15" s="1"/>
  <c r="I741" i="15"/>
  <c r="H741" i="15"/>
  <c r="G741" i="15"/>
  <c r="E741" i="15"/>
  <c r="D741" i="15"/>
  <c r="Q740" i="15"/>
  <c r="L740" i="15"/>
  <c r="K740" i="15"/>
  <c r="J740" i="15"/>
  <c r="I740" i="15"/>
  <c r="H740" i="15"/>
  <c r="G740" i="15"/>
  <c r="E740" i="15"/>
  <c r="D740" i="15"/>
  <c r="L739" i="15"/>
  <c r="K739" i="15"/>
  <c r="J739" i="15"/>
  <c r="Q739" i="15" s="1"/>
  <c r="I739" i="15"/>
  <c r="H739" i="15"/>
  <c r="G739" i="15"/>
  <c r="E739" i="15"/>
  <c r="D739" i="15"/>
  <c r="L738" i="15"/>
  <c r="K738" i="15"/>
  <c r="Q738" i="15" s="1"/>
  <c r="J738" i="15"/>
  <c r="I738" i="15"/>
  <c r="H738" i="15"/>
  <c r="G738" i="15"/>
  <c r="E738" i="15"/>
  <c r="D738" i="15"/>
  <c r="Q737" i="15"/>
  <c r="L737" i="15"/>
  <c r="K737" i="15"/>
  <c r="J737" i="15"/>
  <c r="I737" i="15"/>
  <c r="H737" i="15"/>
  <c r="G737" i="15"/>
  <c r="E737" i="15"/>
  <c r="D737" i="15"/>
  <c r="Q736" i="15"/>
  <c r="L736" i="15"/>
  <c r="K736" i="15"/>
  <c r="J736" i="15"/>
  <c r="I736" i="15"/>
  <c r="H736" i="15"/>
  <c r="G736" i="15"/>
  <c r="E736" i="15"/>
  <c r="D736" i="15"/>
  <c r="L735" i="15"/>
  <c r="K735" i="15"/>
  <c r="J735" i="15"/>
  <c r="Q735" i="15" s="1"/>
  <c r="I735" i="15"/>
  <c r="H735" i="15"/>
  <c r="G735" i="15"/>
  <c r="E735" i="15"/>
  <c r="D735" i="15"/>
  <c r="L734" i="15"/>
  <c r="K734" i="15"/>
  <c r="Q734" i="15" s="1"/>
  <c r="J734" i="15"/>
  <c r="I734" i="15"/>
  <c r="H734" i="15"/>
  <c r="G734" i="15"/>
  <c r="E734" i="15"/>
  <c r="D734" i="15"/>
  <c r="Q733" i="15"/>
  <c r="L733" i="15"/>
  <c r="K733" i="15"/>
  <c r="J733" i="15"/>
  <c r="I733" i="15"/>
  <c r="H733" i="15"/>
  <c r="G733" i="15"/>
  <c r="E733" i="15"/>
  <c r="D733" i="15"/>
  <c r="Q732" i="15"/>
  <c r="L732" i="15"/>
  <c r="H732" i="15"/>
  <c r="G732" i="15"/>
  <c r="E732" i="15"/>
  <c r="D732" i="15"/>
  <c r="Q731" i="15"/>
  <c r="L731" i="15"/>
  <c r="H731" i="15"/>
  <c r="G731" i="15"/>
  <c r="E731" i="15"/>
  <c r="D731" i="15"/>
  <c r="Q730" i="15"/>
  <c r="L730" i="15"/>
  <c r="H730" i="15"/>
  <c r="G730" i="15"/>
  <c r="E730" i="15"/>
  <c r="D730" i="15"/>
  <c r="Q729" i="15"/>
  <c r="L729" i="15"/>
  <c r="H729" i="15"/>
  <c r="G729" i="15"/>
  <c r="E729" i="15"/>
  <c r="D729" i="15"/>
  <c r="Q728" i="15"/>
  <c r="L728" i="15"/>
  <c r="K728" i="15"/>
  <c r="J728" i="15"/>
  <c r="I728" i="15"/>
  <c r="H728" i="15"/>
  <c r="G728" i="15"/>
  <c r="E728" i="15"/>
  <c r="D728" i="15"/>
  <c r="L727" i="15"/>
  <c r="K727" i="15"/>
  <c r="J727" i="15"/>
  <c r="Q727" i="15" s="1"/>
  <c r="I727" i="15"/>
  <c r="H727" i="15"/>
  <c r="G727" i="15"/>
  <c r="E727" i="15"/>
  <c r="D727" i="15"/>
  <c r="L726" i="15"/>
  <c r="K726" i="15"/>
  <c r="Q726" i="15" s="1"/>
  <c r="J726" i="15"/>
  <c r="I726" i="15"/>
  <c r="H726" i="15"/>
  <c r="G726" i="15"/>
  <c r="E726" i="15"/>
  <c r="D726" i="15"/>
  <c r="Q725" i="15"/>
  <c r="L725" i="15"/>
  <c r="K725" i="15"/>
  <c r="J725" i="15"/>
  <c r="I725" i="15"/>
  <c r="H725" i="15"/>
  <c r="G725" i="15"/>
  <c r="E725" i="15"/>
  <c r="D725" i="15"/>
  <c r="L724" i="15"/>
  <c r="K724" i="15"/>
  <c r="J724" i="15"/>
  <c r="Q724" i="15" s="1"/>
  <c r="I724" i="15"/>
  <c r="H724" i="15"/>
  <c r="G724" i="15"/>
  <c r="E724" i="15"/>
  <c r="D724" i="15"/>
  <c r="L723" i="15"/>
  <c r="K723" i="15"/>
  <c r="J723" i="15"/>
  <c r="Q723" i="15" s="1"/>
  <c r="I723" i="15"/>
  <c r="H723" i="15"/>
  <c r="G723" i="15"/>
  <c r="E723" i="15"/>
  <c r="D723" i="15"/>
  <c r="Q722" i="15"/>
  <c r="L722" i="15"/>
  <c r="K722" i="15"/>
  <c r="J722" i="15"/>
  <c r="I722" i="15"/>
  <c r="H722" i="15"/>
  <c r="G722" i="15"/>
  <c r="E722" i="15"/>
  <c r="D722" i="15"/>
  <c r="Q721" i="15"/>
  <c r="L721" i="15"/>
  <c r="K721" i="15"/>
  <c r="J721" i="15"/>
  <c r="I721" i="15"/>
  <c r="H721" i="15"/>
  <c r="G721" i="15"/>
  <c r="E721" i="15"/>
  <c r="D721" i="15"/>
  <c r="L720" i="15"/>
  <c r="K720" i="15"/>
  <c r="J720" i="15"/>
  <c r="Q720" i="15" s="1"/>
  <c r="I720" i="15"/>
  <c r="H720" i="15"/>
  <c r="G720" i="15"/>
  <c r="E720" i="15"/>
  <c r="D720" i="15"/>
  <c r="L719" i="15"/>
  <c r="K719" i="15"/>
  <c r="J719" i="15"/>
  <c r="Q719" i="15" s="1"/>
  <c r="I719" i="15"/>
  <c r="H719" i="15"/>
  <c r="G719" i="15"/>
  <c r="E719" i="15"/>
  <c r="D719" i="15"/>
  <c r="Q718" i="15"/>
  <c r="L718" i="15"/>
  <c r="K718" i="15"/>
  <c r="J718" i="15"/>
  <c r="I718" i="15"/>
  <c r="H718" i="15"/>
  <c r="G718" i="15"/>
  <c r="E718" i="15"/>
  <c r="D718" i="15"/>
  <c r="L717" i="15"/>
  <c r="K717" i="15"/>
  <c r="Q717" i="15" s="1"/>
  <c r="J717" i="15"/>
  <c r="I717" i="15"/>
  <c r="H717" i="15"/>
  <c r="G717" i="15"/>
  <c r="E717" i="15"/>
  <c r="D717" i="15"/>
  <c r="L716" i="15"/>
  <c r="K716" i="15"/>
  <c r="J716" i="15"/>
  <c r="Q716" i="15" s="1"/>
  <c r="I716" i="15"/>
  <c r="H716" i="15"/>
  <c r="G716" i="15"/>
  <c r="E716" i="15"/>
  <c r="D716" i="15"/>
  <c r="L715" i="15"/>
  <c r="K715" i="15"/>
  <c r="J715" i="15"/>
  <c r="Q715" i="15" s="1"/>
  <c r="I715" i="15"/>
  <c r="H715" i="15"/>
  <c r="G715" i="15"/>
  <c r="E715" i="15"/>
  <c r="D715" i="15"/>
  <c r="Q714" i="15"/>
  <c r="L714" i="15"/>
  <c r="K714" i="15"/>
  <c r="J714" i="15"/>
  <c r="I714" i="15"/>
  <c r="H714" i="15"/>
  <c r="G714" i="15"/>
  <c r="E714" i="15"/>
  <c r="D714" i="15"/>
  <c r="L713" i="15"/>
  <c r="K713" i="15"/>
  <c r="J713" i="15"/>
  <c r="Q713" i="15" s="1"/>
  <c r="I713" i="15"/>
  <c r="H713" i="15"/>
  <c r="G713" i="15"/>
  <c r="E713" i="15"/>
  <c r="D713" i="15"/>
  <c r="L712" i="15"/>
  <c r="K712" i="15"/>
  <c r="J712" i="15"/>
  <c r="Q712" i="15" s="1"/>
  <c r="I712" i="15"/>
  <c r="H712" i="15"/>
  <c r="G712" i="15"/>
  <c r="E712" i="15"/>
  <c r="D712" i="15"/>
  <c r="L711" i="15"/>
  <c r="K711" i="15"/>
  <c r="J711" i="15"/>
  <c r="Q711" i="15" s="1"/>
  <c r="I711" i="15"/>
  <c r="H711" i="15"/>
  <c r="G711" i="15"/>
  <c r="E711" i="15"/>
  <c r="D711" i="15"/>
  <c r="L710" i="15"/>
  <c r="K710" i="15"/>
  <c r="Q710" i="15" s="1"/>
  <c r="J710" i="15"/>
  <c r="I710" i="15"/>
  <c r="H710" i="15"/>
  <c r="G710" i="15"/>
  <c r="E710" i="15"/>
  <c r="D710" i="15"/>
  <c r="L709" i="15"/>
  <c r="K709" i="15"/>
  <c r="J709" i="15"/>
  <c r="Q709" i="15" s="1"/>
  <c r="I709" i="15"/>
  <c r="H709" i="15"/>
  <c r="G709" i="15"/>
  <c r="E709" i="15"/>
  <c r="D709" i="15"/>
  <c r="L708" i="15"/>
  <c r="K708" i="15"/>
  <c r="J708" i="15"/>
  <c r="Q708" i="15" s="1"/>
  <c r="I708" i="15"/>
  <c r="H708" i="15"/>
  <c r="G708" i="15"/>
  <c r="E708" i="15"/>
  <c r="D708" i="15"/>
  <c r="L707" i="15"/>
  <c r="K707" i="15"/>
  <c r="J707" i="15"/>
  <c r="Q707" i="15" s="1"/>
  <c r="I707" i="15"/>
  <c r="H707" i="15"/>
  <c r="G707" i="15"/>
  <c r="E707" i="15"/>
  <c r="D707" i="15"/>
  <c r="L706" i="15"/>
  <c r="K706" i="15"/>
  <c r="Q706" i="15" s="1"/>
  <c r="J706" i="15"/>
  <c r="I706" i="15"/>
  <c r="H706" i="15"/>
  <c r="G706" i="15"/>
  <c r="E706" i="15"/>
  <c r="D706" i="15"/>
  <c r="Q705" i="15"/>
  <c r="L705" i="15"/>
  <c r="H705" i="15"/>
  <c r="G705" i="15"/>
  <c r="E705" i="15"/>
  <c r="D705" i="15"/>
  <c r="L704" i="15"/>
  <c r="K704" i="15"/>
  <c r="J704" i="15"/>
  <c r="Q704" i="15" s="1"/>
  <c r="I704" i="15"/>
  <c r="H704" i="15"/>
  <c r="G704" i="15"/>
  <c r="E704" i="15"/>
  <c r="D704" i="15"/>
  <c r="L703" i="15"/>
  <c r="K703" i="15"/>
  <c r="Q703" i="15" s="1"/>
  <c r="J703" i="15"/>
  <c r="I703" i="15"/>
  <c r="H703" i="15"/>
  <c r="G703" i="15"/>
  <c r="E703" i="15"/>
  <c r="D703" i="15"/>
  <c r="L702" i="15"/>
  <c r="K702" i="15"/>
  <c r="J702" i="15"/>
  <c r="Q702" i="15" s="1"/>
  <c r="I702" i="15"/>
  <c r="H702" i="15"/>
  <c r="G702" i="15"/>
  <c r="E702" i="15"/>
  <c r="D702" i="15"/>
  <c r="L701" i="15"/>
  <c r="K701" i="15"/>
  <c r="J701" i="15"/>
  <c r="Q701" i="15" s="1"/>
  <c r="I701" i="15"/>
  <c r="H701" i="15"/>
  <c r="G701" i="15"/>
  <c r="E701" i="15"/>
  <c r="D701" i="15"/>
  <c r="L700" i="15"/>
  <c r="K700" i="15"/>
  <c r="J700" i="15"/>
  <c r="Q700" i="15" s="1"/>
  <c r="I700" i="15"/>
  <c r="H700" i="15"/>
  <c r="G700" i="15"/>
  <c r="E700" i="15"/>
  <c r="D700" i="15"/>
  <c r="L699" i="15"/>
  <c r="K699" i="15"/>
  <c r="Q699" i="15" s="1"/>
  <c r="J699" i="15"/>
  <c r="I699" i="15"/>
  <c r="H699" i="15"/>
  <c r="G699" i="15"/>
  <c r="E699" i="15"/>
  <c r="D699" i="15"/>
  <c r="L698" i="15"/>
  <c r="K698" i="15"/>
  <c r="J698" i="15"/>
  <c r="Q698" i="15" s="1"/>
  <c r="I698" i="15"/>
  <c r="H698" i="15"/>
  <c r="G698" i="15"/>
  <c r="E698" i="15"/>
  <c r="D698" i="15"/>
  <c r="Q697" i="15"/>
  <c r="L697" i="15"/>
  <c r="K697" i="15"/>
  <c r="J697" i="15"/>
  <c r="I697" i="15"/>
  <c r="H697" i="15"/>
  <c r="G697" i="15"/>
  <c r="E697" i="15"/>
  <c r="D697" i="15"/>
  <c r="L696" i="15"/>
  <c r="K696" i="15"/>
  <c r="J696" i="15"/>
  <c r="Q696" i="15" s="1"/>
  <c r="I696" i="15"/>
  <c r="H696" i="15"/>
  <c r="G696" i="15"/>
  <c r="E696" i="15"/>
  <c r="D696" i="15"/>
  <c r="L695" i="15"/>
  <c r="K695" i="15"/>
  <c r="Q695" i="15" s="1"/>
  <c r="J695" i="15"/>
  <c r="I695" i="15"/>
  <c r="H695" i="15"/>
  <c r="G695" i="15"/>
  <c r="E695" i="15"/>
  <c r="D695" i="15"/>
  <c r="L694" i="15"/>
  <c r="K694" i="15"/>
  <c r="J694" i="15"/>
  <c r="Q694" i="15" s="1"/>
  <c r="I694" i="15"/>
  <c r="H694" i="15"/>
  <c r="G694" i="15"/>
  <c r="E694" i="15"/>
  <c r="D694" i="15"/>
  <c r="Q693" i="15"/>
  <c r="L693" i="15"/>
  <c r="K693" i="15"/>
  <c r="J693" i="15"/>
  <c r="I693" i="15"/>
  <c r="H693" i="15"/>
  <c r="G693" i="15"/>
  <c r="E693" i="15"/>
  <c r="D693" i="15"/>
  <c r="L692" i="15"/>
  <c r="K692" i="15"/>
  <c r="J692" i="15"/>
  <c r="Q692" i="15" s="1"/>
  <c r="I692" i="15"/>
  <c r="H692" i="15"/>
  <c r="G692" i="15"/>
  <c r="E692" i="15"/>
  <c r="D692" i="15"/>
  <c r="L691" i="15"/>
  <c r="K691" i="15"/>
  <c r="Q691" i="15" s="1"/>
  <c r="J691" i="15"/>
  <c r="I691" i="15"/>
  <c r="H691" i="15"/>
  <c r="G691" i="15"/>
  <c r="E691" i="15"/>
  <c r="D691" i="15"/>
  <c r="Q690" i="15"/>
  <c r="L690" i="15"/>
  <c r="H690" i="15"/>
  <c r="G690" i="15"/>
  <c r="E690" i="15"/>
  <c r="D690" i="15"/>
  <c r="L689" i="15"/>
  <c r="K689" i="15"/>
  <c r="J689" i="15"/>
  <c r="Q689" i="15" s="1"/>
  <c r="I689" i="15"/>
  <c r="H689" i="15"/>
  <c r="G689" i="15"/>
  <c r="E689" i="15"/>
  <c r="D689" i="15"/>
  <c r="L688" i="15"/>
  <c r="K688" i="15"/>
  <c r="Q688" i="15" s="1"/>
  <c r="J688" i="15"/>
  <c r="I688" i="15"/>
  <c r="H688" i="15"/>
  <c r="G688" i="15"/>
  <c r="E688" i="15"/>
  <c r="D688" i="15"/>
  <c r="Q687" i="15"/>
  <c r="L687" i="15"/>
  <c r="K687" i="15"/>
  <c r="J687" i="15"/>
  <c r="I687" i="15"/>
  <c r="H687" i="15"/>
  <c r="G687" i="15"/>
  <c r="E687" i="15"/>
  <c r="D687" i="15"/>
  <c r="Q686" i="15"/>
  <c r="L686" i="15"/>
  <c r="K686" i="15"/>
  <c r="J686" i="15"/>
  <c r="I686" i="15"/>
  <c r="H686" i="15"/>
  <c r="G686" i="15"/>
  <c r="E686" i="15"/>
  <c r="D686" i="15"/>
  <c r="Q685" i="15"/>
  <c r="L685" i="15"/>
  <c r="H685" i="15"/>
  <c r="G685" i="15"/>
  <c r="E685" i="15"/>
  <c r="D685" i="15"/>
  <c r="Q684" i="15"/>
  <c r="L684" i="15"/>
  <c r="H684" i="15"/>
  <c r="G684" i="15"/>
  <c r="E684" i="15"/>
  <c r="D684" i="15"/>
  <c r="Q683" i="15"/>
  <c r="L683" i="15"/>
  <c r="H683" i="15"/>
  <c r="G683" i="15"/>
  <c r="E683" i="15"/>
  <c r="D683" i="15"/>
  <c r="Q682" i="15"/>
  <c r="L682" i="15"/>
  <c r="H682" i="15"/>
  <c r="G682" i="15"/>
  <c r="E682" i="15"/>
  <c r="D682" i="15"/>
  <c r="L681" i="15"/>
  <c r="K681" i="15"/>
  <c r="J681" i="15"/>
  <c r="Q681" i="15" s="1"/>
  <c r="I681" i="15"/>
  <c r="H681" i="15"/>
  <c r="G681" i="15"/>
  <c r="E681" i="15"/>
  <c r="D681" i="15"/>
  <c r="L680" i="15"/>
  <c r="K680" i="15"/>
  <c r="Q680" i="15" s="1"/>
  <c r="J680" i="15"/>
  <c r="I680" i="15"/>
  <c r="H680" i="15"/>
  <c r="G680" i="15"/>
  <c r="E680" i="15"/>
  <c r="D680" i="15"/>
  <c r="Q679" i="15"/>
  <c r="L679" i="15"/>
  <c r="K679" i="15"/>
  <c r="J679" i="15"/>
  <c r="I679" i="15"/>
  <c r="H679" i="15"/>
  <c r="G679" i="15"/>
  <c r="E679" i="15"/>
  <c r="D679" i="15"/>
  <c r="Q678" i="15"/>
  <c r="L678" i="15"/>
  <c r="K678" i="15"/>
  <c r="J678" i="15"/>
  <c r="I678" i="15"/>
  <c r="H678" i="15"/>
  <c r="G678" i="15"/>
  <c r="E678" i="15"/>
  <c r="D678" i="15"/>
  <c r="L677" i="15"/>
  <c r="K677" i="15"/>
  <c r="J677" i="15"/>
  <c r="Q677" i="15" s="1"/>
  <c r="I677" i="15"/>
  <c r="H677" i="15"/>
  <c r="G677" i="15"/>
  <c r="E677" i="15"/>
  <c r="D677" i="15"/>
  <c r="Q676" i="15"/>
  <c r="L676" i="15"/>
  <c r="K676" i="15"/>
  <c r="J676" i="15"/>
  <c r="I676" i="15"/>
  <c r="H676" i="15"/>
  <c r="G676" i="15"/>
  <c r="E676" i="15"/>
  <c r="D676" i="15"/>
  <c r="Q675" i="15"/>
  <c r="L675" i="15"/>
  <c r="K675" i="15"/>
  <c r="J675" i="15"/>
  <c r="I675" i="15"/>
  <c r="H675" i="15"/>
  <c r="G675" i="15"/>
  <c r="E675" i="15"/>
  <c r="D675" i="15"/>
  <c r="Q674" i="15"/>
  <c r="L674" i="15"/>
  <c r="H674" i="15"/>
  <c r="G674" i="15"/>
  <c r="E674" i="15"/>
  <c r="D674" i="15"/>
  <c r="Q673" i="15"/>
  <c r="L673" i="15"/>
  <c r="K673" i="15"/>
  <c r="J673" i="15"/>
  <c r="I673" i="15"/>
  <c r="H673" i="15"/>
  <c r="G673" i="15"/>
  <c r="E673" i="15"/>
  <c r="D673" i="15"/>
  <c r="Q672" i="15"/>
  <c r="L672" i="15"/>
  <c r="K672" i="15"/>
  <c r="J672" i="15"/>
  <c r="I672" i="15"/>
  <c r="H672" i="15"/>
  <c r="G672" i="15"/>
  <c r="E672" i="15"/>
  <c r="D672" i="15"/>
  <c r="Q671" i="15"/>
  <c r="L671" i="15"/>
  <c r="K671" i="15"/>
  <c r="J671" i="15"/>
  <c r="I671" i="15"/>
  <c r="H671" i="15"/>
  <c r="G671" i="15"/>
  <c r="E671" i="15"/>
  <c r="D671" i="15"/>
  <c r="L670" i="15"/>
  <c r="K670" i="15"/>
  <c r="J670" i="15"/>
  <c r="Q670" i="15" s="1"/>
  <c r="I670" i="15"/>
  <c r="H670" i="15"/>
  <c r="G670" i="15"/>
  <c r="E670" i="15"/>
  <c r="D670" i="15"/>
  <c r="Q669" i="15"/>
  <c r="L669" i="15"/>
  <c r="K669" i="15"/>
  <c r="J669" i="15"/>
  <c r="I669" i="15"/>
  <c r="H669" i="15"/>
  <c r="G669" i="15"/>
  <c r="E669" i="15"/>
  <c r="D669" i="15"/>
  <c r="Q668" i="15"/>
  <c r="L668" i="15"/>
  <c r="K668" i="15"/>
  <c r="J668" i="15"/>
  <c r="I668" i="15"/>
  <c r="H668" i="15"/>
  <c r="G668" i="15"/>
  <c r="E668" i="15"/>
  <c r="D668" i="15"/>
  <c r="L667" i="15"/>
  <c r="K667" i="15"/>
  <c r="J667" i="15"/>
  <c r="Q667" i="15" s="1"/>
  <c r="I667" i="15"/>
  <c r="H667" i="15"/>
  <c r="G667" i="15"/>
  <c r="E667" i="15"/>
  <c r="D667" i="15"/>
  <c r="L666" i="15"/>
  <c r="K666" i="15"/>
  <c r="J666" i="15"/>
  <c r="Q666" i="15" s="1"/>
  <c r="I666" i="15"/>
  <c r="H666" i="15"/>
  <c r="G666" i="15"/>
  <c r="E666" i="15"/>
  <c r="D666" i="15"/>
  <c r="Q665" i="15"/>
  <c r="L665" i="15"/>
  <c r="K665" i="15"/>
  <c r="J665" i="15"/>
  <c r="I665" i="15"/>
  <c r="H665" i="15"/>
  <c r="G665" i="15"/>
  <c r="E665" i="15"/>
  <c r="D665" i="15"/>
  <c r="Q664" i="15"/>
  <c r="L664" i="15"/>
  <c r="K664" i="15"/>
  <c r="J664" i="15"/>
  <c r="I664" i="15"/>
  <c r="H664" i="15"/>
  <c r="G664" i="15"/>
  <c r="E664" i="15"/>
  <c r="D664" i="15"/>
  <c r="L663" i="15"/>
  <c r="K663" i="15"/>
  <c r="J663" i="15"/>
  <c r="Q663" i="15" s="1"/>
  <c r="I663" i="15"/>
  <c r="H663" i="15"/>
  <c r="G663" i="15"/>
  <c r="E663" i="15"/>
  <c r="D663" i="15"/>
  <c r="L662" i="15"/>
  <c r="K662" i="15"/>
  <c r="J662" i="15"/>
  <c r="Q662" i="15" s="1"/>
  <c r="I662" i="15"/>
  <c r="H662" i="15"/>
  <c r="G662" i="15"/>
  <c r="E662" i="15"/>
  <c r="D662" i="15"/>
  <c r="Q661" i="15"/>
  <c r="L661" i="15"/>
  <c r="K661" i="15"/>
  <c r="J661" i="15"/>
  <c r="I661" i="15"/>
  <c r="H661" i="15"/>
  <c r="G661" i="15"/>
  <c r="E661" i="15"/>
  <c r="D661" i="15"/>
  <c r="L660" i="15"/>
  <c r="K660" i="15"/>
  <c r="J660" i="15"/>
  <c r="Q660" i="15" s="1"/>
  <c r="I660" i="15"/>
  <c r="H660" i="15"/>
  <c r="G660" i="15"/>
  <c r="E660" i="15"/>
  <c r="D660" i="15"/>
  <c r="L659" i="15"/>
  <c r="K659" i="15"/>
  <c r="J659" i="15"/>
  <c r="Q659" i="15" s="1"/>
  <c r="I659" i="15"/>
  <c r="H659" i="15"/>
  <c r="G659" i="15"/>
  <c r="E659" i="15"/>
  <c r="D659" i="15"/>
  <c r="L658" i="15"/>
  <c r="K658" i="15"/>
  <c r="J658" i="15"/>
  <c r="Q658" i="15" s="1"/>
  <c r="I658" i="15"/>
  <c r="H658" i="15"/>
  <c r="G658" i="15"/>
  <c r="E658" i="15"/>
  <c r="D658" i="15"/>
  <c r="L657" i="15"/>
  <c r="K657" i="15"/>
  <c r="Q657" i="15" s="1"/>
  <c r="J657" i="15"/>
  <c r="I657" i="15"/>
  <c r="H657" i="15"/>
  <c r="G657" i="15"/>
  <c r="E657" i="15"/>
  <c r="D657" i="15"/>
  <c r="L656" i="15"/>
  <c r="K656" i="15"/>
  <c r="J656" i="15"/>
  <c r="Q656" i="15" s="1"/>
  <c r="I656" i="15"/>
  <c r="H656" i="15"/>
  <c r="G656" i="15"/>
  <c r="E656" i="15"/>
  <c r="D656" i="15"/>
  <c r="Q655" i="15"/>
  <c r="L655" i="15"/>
  <c r="H655" i="15"/>
  <c r="G655" i="15"/>
  <c r="E655" i="15"/>
  <c r="D655" i="15"/>
  <c r="L654" i="15"/>
  <c r="K654" i="15"/>
  <c r="Q654" i="15" s="1"/>
  <c r="J654" i="15"/>
  <c r="I654" i="15"/>
  <c r="H654" i="15"/>
  <c r="G654" i="15"/>
  <c r="E654" i="15"/>
  <c r="D654" i="15"/>
  <c r="L653" i="15"/>
  <c r="K653" i="15"/>
  <c r="J653" i="15"/>
  <c r="Q653" i="15" s="1"/>
  <c r="I653" i="15"/>
  <c r="H653" i="15"/>
  <c r="G653" i="15"/>
  <c r="E653" i="15"/>
  <c r="D653" i="15"/>
  <c r="L652" i="15"/>
  <c r="K652" i="15"/>
  <c r="J652" i="15"/>
  <c r="Q652" i="15" s="1"/>
  <c r="I652" i="15"/>
  <c r="H652" i="15"/>
  <c r="G652" i="15"/>
  <c r="E652" i="15"/>
  <c r="D652" i="15"/>
  <c r="L651" i="15"/>
  <c r="K651" i="15"/>
  <c r="J651" i="15"/>
  <c r="I651" i="15"/>
  <c r="H651" i="15"/>
  <c r="G651" i="15"/>
  <c r="E651" i="15"/>
  <c r="D651" i="15"/>
  <c r="Q650" i="15"/>
  <c r="L650" i="15"/>
  <c r="H650" i="15"/>
  <c r="G650" i="15"/>
  <c r="E650" i="15"/>
  <c r="D650" i="15"/>
  <c r="L649" i="15"/>
  <c r="K649" i="15"/>
  <c r="J649" i="15"/>
  <c r="Q649" i="15" s="1"/>
  <c r="I649" i="15"/>
  <c r="H649" i="15"/>
  <c r="G649" i="15"/>
  <c r="E649" i="15"/>
  <c r="D649" i="15"/>
  <c r="L648" i="15"/>
  <c r="K648" i="15"/>
  <c r="J648" i="15"/>
  <c r="I648" i="15"/>
  <c r="H648" i="15"/>
  <c r="G648" i="15"/>
  <c r="E648" i="15"/>
  <c r="D648" i="15"/>
  <c r="L647" i="15"/>
  <c r="K647" i="15"/>
  <c r="Q647" i="15" s="1"/>
  <c r="J647" i="15"/>
  <c r="I647" i="15"/>
  <c r="H647" i="15"/>
  <c r="G647" i="15"/>
  <c r="E647" i="15"/>
  <c r="D647" i="15"/>
  <c r="L646" i="15"/>
  <c r="K646" i="15"/>
  <c r="J646" i="15"/>
  <c r="Q646" i="15" s="1"/>
  <c r="I646" i="15"/>
  <c r="H646" i="15"/>
  <c r="G646" i="15"/>
  <c r="E646" i="15"/>
  <c r="D646" i="15"/>
  <c r="L645" i="15"/>
  <c r="K645" i="15"/>
  <c r="J645" i="15"/>
  <c r="Q645" i="15" s="1"/>
  <c r="I645" i="15"/>
  <c r="H645" i="15"/>
  <c r="G645" i="15"/>
  <c r="E645" i="15"/>
  <c r="D645" i="15"/>
  <c r="L644" i="15"/>
  <c r="K644" i="15"/>
  <c r="J644" i="15"/>
  <c r="I644" i="15"/>
  <c r="H644" i="15"/>
  <c r="G644" i="15"/>
  <c r="E644" i="15"/>
  <c r="D644" i="15"/>
  <c r="L643" i="15"/>
  <c r="K643" i="15"/>
  <c r="Q643" i="15" s="1"/>
  <c r="J643" i="15"/>
  <c r="I643" i="15"/>
  <c r="H643" i="15"/>
  <c r="G643" i="15"/>
  <c r="E643" i="15"/>
  <c r="D643" i="15"/>
  <c r="L642" i="15"/>
  <c r="K642" i="15"/>
  <c r="J642" i="15"/>
  <c r="Q642" i="15" s="1"/>
  <c r="I642" i="15"/>
  <c r="H642" i="15"/>
  <c r="G642" i="15"/>
  <c r="E642" i="15"/>
  <c r="D642" i="15"/>
  <c r="Q641" i="15"/>
  <c r="L641" i="15"/>
  <c r="K641" i="15"/>
  <c r="J641" i="15"/>
  <c r="I641" i="15"/>
  <c r="H641" i="15"/>
  <c r="G641" i="15"/>
  <c r="E641" i="15"/>
  <c r="D641" i="15"/>
  <c r="L640" i="15"/>
  <c r="K640" i="15"/>
  <c r="J640" i="15"/>
  <c r="Q640" i="15" s="1"/>
  <c r="I640" i="15"/>
  <c r="H640" i="15"/>
  <c r="G640" i="15"/>
  <c r="E640" i="15"/>
  <c r="D640" i="15"/>
  <c r="L639" i="15"/>
  <c r="K639" i="15"/>
  <c r="Q639" i="15" s="1"/>
  <c r="J639" i="15"/>
  <c r="I639" i="15"/>
  <c r="H639" i="15"/>
  <c r="G639" i="15"/>
  <c r="E639" i="15"/>
  <c r="D639" i="15"/>
  <c r="L638" i="15"/>
  <c r="K638" i="15"/>
  <c r="J638" i="15"/>
  <c r="Q638" i="15" s="1"/>
  <c r="I638" i="15"/>
  <c r="H638" i="15"/>
  <c r="G638" i="15"/>
  <c r="E638" i="15"/>
  <c r="D638" i="15"/>
  <c r="Q637" i="15"/>
  <c r="L637" i="15"/>
  <c r="K637" i="15"/>
  <c r="J637" i="15"/>
  <c r="I637" i="15"/>
  <c r="H637" i="15"/>
  <c r="G637" i="15"/>
  <c r="E637" i="15"/>
  <c r="D637" i="15"/>
  <c r="L636" i="15"/>
  <c r="K636" i="15"/>
  <c r="J636" i="15"/>
  <c r="Q636" i="15" s="1"/>
  <c r="I636" i="15"/>
  <c r="H636" i="15"/>
  <c r="G636" i="15"/>
  <c r="E636" i="15"/>
  <c r="D636" i="15"/>
  <c r="L635" i="15"/>
  <c r="K635" i="15"/>
  <c r="Q635" i="15" s="1"/>
  <c r="J635" i="15"/>
  <c r="I635" i="15"/>
  <c r="H635" i="15"/>
  <c r="G635" i="15"/>
  <c r="E635" i="15"/>
  <c r="D635" i="15"/>
  <c r="L634" i="15"/>
  <c r="K634" i="15"/>
  <c r="J634" i="15"/>
  <c r="Q634" i="15" s="1"/>
  <c r="I634" i="15"/>
  <c r="H634" i="15"/>
  <c r="G634" i="15"/>
  <c r="E634" i="15"/>
  <c r="D634" i="15"/>
  <c r="Q633" i="15"/>
  <c r="L633" i="15"/>
  <c r="K633" i="15"/>
  <c r="J633" i="15"/>
  <c r="I633" i="15"/>
  <c r="H633" i="15"/>
  <c r="G633" i="15"/>
  <c r="E633" i="15"/>
  <c r="D633" i="15"/>
  <c r="L632" i="15"/>
  <c r="K632" i="15"/>
  <c r="J632" i="15"/>
  <c r="I632" i="15"/>
  <c r="H632" i="15"/>
  <c r="G632" i="15"/>
  <c r="E632" i="15"/>
  <c r="D632" i="15"/>
  <c r="L631" i="15"/>
  <c r="K631" i="15"/>
  <c r="Q631" i="15" s="1"/>
  <c r="J631" i="15"/>
  <c r="I631" i="15"/>
  <c r="H631" i="15"/>
  <c r="G631" i="15"/>
  <c r="E631" i="15"/>
  <c r="D631" i="15"/>
  <c r="Q630" i="15"/>
  <c r="L630" i="15"/>
  <c r="K630" i="15"/>
  <c r="J630" i="15"/>
  <c r="I630" i="15"/>
  <c r="H630" i="15"/>
  <c r="G630" i="15"/>
  <c r="E630" i="15"/>
  <c r="D630" i="15"/>
  <c r="Q629" i="15"/>
  <c r="L629" i="15"/>
  <c r="H629" i="15"/>
  <c r="G629" i="15"/>
  <c r="E629" i="15"/>
  <c r="D629" i="15"/>
  <c r="Q628" i="15"/>
  <c r="L628" i="15"/>
  <c r="H628" i="15"/>
  <c r="G628" i="15"/>
  <c r="E628" i="15"/>
  <c r="D628" i="15"/>
  <c r="Q627" i="15"/>
  <c r="L627" i="15"/>
  <c r="K627" i="15"/>
  <c r="J627" i="15"/>
  <c r="I627" i="15"/>
  <c r="H627" i="15"/>
  <c r="G627" i="15"/>
  <c r="E627" i="15"/>
  <c r="D627" i="15"/>
  <c r="L626" i="15"/>
  <c r="K626" i="15"/>
  <c r="J626" i="15"/>
  <c r="Q626" i="15" s="1"/>
  <c r="I626" i="15"/>
  <c r="H626" i="15"/>
  <c r="G626" i="15"/>
  <c r="E626" i="15"/>
  <c r="D626" i="15"/>
  <c r="L625" i="15"/>
  <c r="K625" i="15"/>
  <c r="Q625" i="15" s="1"/>
  <c r="J625" i="15"/>
  <c r="I625" i="15"/>
  <c r="H625" i="15"/>
  <c r="G625" i="15"/>
  <c r="E625" i="15"/>
  <c r="D625" i="15"/>
  <c r="Q624" i="15"/>
  <c r="L624" i="15"/>
  <c r="K624" i="15"/>
  <c r="J624" i="15"/>
  <c r="I624" i="15"/>
  <c r="H624" i="15"/>
  <c r="G624" i="15"/>
  <c r="E624" i="15"/>
  <c r="D624" i="15"/>
  <c r="Q623" i="15"/>
  <c r="L623" i="15"/>
  <c r="K623" i="15"/>
  <c r="J623" i="15"/>
  <c r="I623" i="15"/>
  <c r="H623" i="15"/>
  <c r="G623" i="15"/>
  <c r="E623" i="15"/>
  <c r="D623" i="15"/>
  <c r="L622" i="15"/>
  <c r="K622" i="15"/>
  <c r="J622" i="15"/>
  <c r="Q622" i="15" s="1"/>
  <c r="I622" i="15"/>
  <c r="H622" i="15"/>
  <c r="G622" i="15"/>
  <c r="E622" i="15"/>
  <c r="D622" i="15"/>
  <c r="L621" i="15"/>
  <c r="K621" i="15"/>
  <c r="Q621" i="15" s="1"/>
  <c r="J621" i="15"/>
  <c r="I621" i="15"/>
  <c r="H621" i="15"/>
  <c r="G621" i="15"/>
  <c r="E621" i="15"/>
  <c r="D621" i="15"/>
  <c r="Q620" i="15"/>
  <c r="L620" i="15"/>
  <c r="K620" i="15"/>
  <c r="J620" i="15"/>
  <c r="I620" i="15"/>
  <c r="H620" i="15"/>
  <c r="G620" i="15"/>
  <c r="E620" i="15"/>
  <c r="D620" i="15"/>
  <c r="L619" i="15"/>
  <c r="K619" i="15"/>
  <c r="J619" i="15"/>
  <c r="Q619" i="15" s="1"/>
  <c r="I619" i="15"/>
  <c r="H619" i="15"/>
  <c r="G619" i="15"/>
  <c r="E619" i="15"/>
  <c r="D619" i="15"/>
  <c r="L618" i="15"/>
  <c r="K618" i="15"/>
  <c r="J618" i="15"/>
  <c r="Q618" i="15" s="1"/>
  <c r="I618" i="15"/>
  <c r="H618" i="15"/>
  <c r="G618" i="15"/>
  <c r="E618" i="15"/>
  <c r="D618" i="15"/>
  <c r="Q617" i="15"/>
  <c r="L617" i="15"/>
  <c r="H617" i="15"/>
  <c r="G617" i="15"/>
  <c r="E617" i="15"/>
  <c r="D617" i="15"/>
  <c r="Q616" i="15"/>
  <c r="L616" i="15"/>
  <c r="H616" i="15"/>
  <c r="G616" i="15"/>
  <c r="E616" i="15"/>
  <c r="D616" i="15"/>
  <c r="Q615" i="15"/>
  <c r="L615" i="15"/>
  <c r="K615" i="15"/>
  <c r="J615" i="15"/>
  <c r="I615" i="15"/>
  <c r="H615" i="15"/>
  <c r="G615" i="15"/>
  <c r="E615" i="15"/>
  <c r="D615" i="15"/>
  <c r="L614" i="15"/>
  <c r="K614" i="15"/>
  <c r="Q614" i="15" s="1"/>
  <c r="J614" i="15"/>
  <c r="I614" i="15"/>
  <c r="H614" i="15"/>
  <c r="G614" i="15"/>
  <c r="E614" i="15"/>
  <c r="D614" i="15"/>
  <c r="L613" i="15"/>
  <c r="K613" i="15"/>
  <c r="J613" i="15"/>
  <c r="Q613" i="15" s="1"/>
  <c r="I613" i="15"/>
  <c r="H613" i="15"/>
  <c r="G613" i="15"/>
  <c r="E613" i="15"/>
  <c r="D613" i="15"/>
  <c r="L612" i="15"/>
  <c r="K612" i="15"/>
  <c r="J612" i="15"/>
  <c r="Q612" i="15" s="1"/>
  <c r="I612" i="15"/>
  <c r="H612" i="15"/>
  <c r="G612" i="15"/>
  <c r="E612" i="15"/>
  <c r="D612" i="15"/>
  <c r="Q611" i="15"/>
  <c r="L611" i="15"/>
  <c r="K611" i="15"/>
  <c r="J611" i="15"/>
  <c r="I611" i="15"/>
  <c r="H611" i="15"/>
  <c r="G611" i="15"/>
  <c r="E611" i="15"/>
  <c r="D611" i="15"/>
  <c r="L610" i="15"/>
  <c r="K610" i="15"/>
  <c r="Q610" i="15" s="1"/>
  <c r="J610" i="15"/>
  <c r="I610" i="15"/>
  <c r="H610" i="15"/>
  <c r="G610" i="15"/>
  <c r="E610" i="15"/>
  <c r="D610" i="15"/>
  <c r="L609" i="15"/>
  <c r="K609" i="15"/>
  <c r="J609" i="15"/>
  <c r="Q609" i="15" s="1"/>
  <c r="I609" i="15"/>
  <c r="H609" i="15"/>
  <c r="G609" i="15"/>
  <c r="E609" i="15"/>
  <c r="D609" i="15"/>
  <c r="Q608" i="15"/>
  <c r="L608" i="15"/>
  <c r="H608" i="15"/>
  <c r="G608" i="15"/>
  <c r="E608" i="15"/>
  <c r="D608" i="15"/>
  <c r="Q607" i="15"/>
  <c r="L607" i="15"/>
  <c r="H607" i="15"/>
  <c r="G607" i="15"/>
  <c r="E607" i="15"/>
  <c r="D607" i="15"/>
  <c r="Q606" i="15"/>
  <c r="L606" i="15"/>
  <c r="H606" i="15"/>
  <c r="G606" i="15"/>
  <c r="E606" i="15"/>
  <c r="D606" i="15"/>
  <c r="Q605" i="15"/>
  <c r="L605" i="15"/>
  <c r="H605" i="15"/>
  <c r="G605" i="15"/>
  <c r="E605" i="15"/>
  <c r="D605" i="15"/>
  <c r="L604" i="15"/>
  <c r="K604" i="15"/>
  <c r="J604" i="15"/>
  <c r="Q604" i="15" s="1"/>
  <c r="I604" i="15"/>
  <c r="H604" i="15"/>
  <c r="G604" i="15"/>
  <c r="E604" i="15"/>
  <c r="D604" i="15"/>
  <c r="Q603" i="15"/>
  <c r="L603" i="15"/>
  <c r="K603" i="15"/>
  <c r="J603" i="15"/>
  <c r="I603" i="15"/>
  <c r="H603" i="15"/>
  <c r="G603" i="15"/>
  <c r="E603" i="15"/>
  <c r="D603" i="15"/>
  <c r="L602" i="15"/>
  <c r="K602" i="15"/>
  <c r="Q602" i="15" s="1"/>
  <c r="J602" i="15"/>
  <c r="I602" i="15"/>
  <c r="H602" i="15"/>
  <c r="G602" i="15"/>
  <c r="E602" i="15"/>
  <c r="D602" i="15"/>
  <c r="L601" i="15"/>
  <c r="K601" i="15"/>
  <c r="J601" i="15"/>
  <c r="Q601" i="15" s="1"/>
  <c r="I601" i="15"/>
  <c r="H601" i="15"/>
  <c r="G601" i="15"/>
  <c r="E601" i="15"/>
  <c r="D601" i="15"/>
  <c r="L600" i="15"/>
  <c r="K600" i="15"/>
  <c r="J600" i="15"/>
  <c r="Q600" i="15" s="1"/>
  <c r="I600" i="15"/>
  <c r="H600" i="15"/>
  <c r="G600" i="15"/>
  <c r="E600" i="15"/>
  <c r="D600" i="15"/>
  <c r="Q599" i="15"/>
  <c r="L599" i="15"/>
  <c r="K599" i="15"/>
  <c r="J599" i="15"/>
  <c r="I599" i="15"/>
  <c r="H599" i="15"/>
  <c r="G599" i="15"/>
  <c r="E599" i="15"/>
  <c r="D599" i="15"/>
  <c r="L598" i="15"/>
  <c r="K598" i="15"/>
  <c r="Q598" i="15" s="1"/>
  <c r="J598" i="15"/>
  <c r="I598" i="15"/>
  <c r="H598" i="15"/>
  <c r="G598" i="15"/>
  <c r="E598" i="15"/>
  <c r="D598" i="15"/>
  <c r="Q597" i="15"/>
  <c r="L597" i="15"/>
  <c r="H597" i="15"/>
  <c r="G597" i="15"/>
  <c r="E597" i="15"/>
  <c r="D597" i="15"/>
  <c r="Q596" i="15"/>
  <c r="L596" i="15"/>
  <c r="K596" i="15"/>
  <c r="J596" i="15"/>
  <c r="I596" i="15"/>
  <c r="H596" i="15"/>
  <c r="G596" i="15"/>
  <c r="E596" i="15"/>
  <c r="D596" i="15"/>
  <c r="L595" i="15"/>
  <c r="K595" i="15"/>
  <c r="Q595" i="15" s="1"/>
  <c r="J595" i="15"/>
  <c r="I595" i="15"/>
  <c r="H595" i="15"/>
  <c r="G595" i="15"/>
  <c r="E595" i="15"/>
  <c r="D595" i="15"/>
  <c r="L594" i="15"/>
  <c r="K594" i="15"/>
  <c r="J594" i="15"/>
  <c r="Q594" i="15" s="1"/>
  <c r="I594" i="15"/>
  <c r="H594" i="15"/>
  <c r="G594" i="15"/>
  <c r="E594" i="15"/>
  <c r="D594" i="15"/>
  <c r="L593" i="15"/>
  <c r="K593" i="15"/>
  <c r="J593" i="15"/>
  <c r="Q593" i="15" s="1"/>
  <c r="I593" i="15"/>
  <c r="H593" i="15"/>
  <c r="G593" i="15"/>
  <c r="E593" i="15"/>
  <c r="D593" i="15"/>
  <c r="Q592" i="15"/>
  <c r="L592" i="15"/>
  <c r="K592" i="15"/>
  <c r="J592" i="15"/>
  <c r="I592" i="15"/>
  <c r="H592" i="15"/>
  <c r="G592" i="15"/>
  <c r="E592" i="15"/>
  <c r="D592" i="15"/>
  <c r="L591" i="15"/>
  <c r="K591" i="15"/>
  <c r="Q591" i="15" s="1"/>
  <c r="J591" i="15"/>
  <c r="I591" i="15"/>
  <c r="H591" i="15"/>
  <c r="G591" i="15"/>
  <c r="E591" i="15"/>
  <c r="D591" i="15"/>
  <c r="L590" i="15"/>
  <c r="K590" i="15"/>
  <c r="J590" i="15"/>
  <c r="Q590" i="15" s="1"/>
  <c r="I590" i="15"/>
  <c r="H590" i="15"/>
  <c r="G590" i="15"/>
  <c r="E590" i="15"/>
  <c r="D590" i="15"/>
  <c r="L589" i="15"/>
  <c r="K589" i="15"/>
  <c r="J589" i="15"/>
  <c r="Q589" i="15" s="1"/>
  <c r="I589" i="15"/>
  <c r="H589" i="15"/>
  <c r="G589" i="15"/>
  <c r="E589" i="15"/>
  <c r="D589" i="15"/>
  <c r="Q588" i="15"/>
  <c r="L588" i="15"/>
  <c r="H588" i="15"/>
  <c r="G588" i="15"/>
  <c r="E588" i="15"/>
  <c r="D588" i="15"/>
  <c r="Q587" i="15"/>
  <c r="L587" i="15"/>
  <c r="H587" i="15"/>
  <c r="G587" i="15"/>
  <c r="E587" i="15"/>
  <c r="D587" i="15"/>
  <c r="Q586" i="15"/>
  <c r="L586" i="15"/>
  <c r="K586" i="15"/>
  <c r="J586" i="15"/>
  <c r="I586" i="15"/>
  <c r="H586" i="15"/>
  <c r="G586" i="15"/>
  <c r="E586" i="15"/>
  <c r="D586" i="15"/>
  <c r="L585" i="15"/>
  <c r="K585" i="15"/>
  <c r="Q585" i="15" s="1"/>
  <c r="J585" i="15"/>
  <c r="I585" i="15"/>
  <c r="H585" i="15"/>
  <c r="G585" i="15"/>
  <c r="E585" i="15"/>
  <c r="D585" i="15"/>
  <c r="L584" i="15"/>
  <c r="K584" i="15"/>
  <c r="J584" i="15"/>
  <c r="Q584" i="15" s="1"/>
  <c r="I584" i="15"/>
  <c r="H584" i="15"/>
  <c r="G584" i="15"/>
  <c r="E584" i="15"/>
  <c r="D584" i="15"/>
  <c r="L583" i="15"/>
  <c r="K583" i="15"/>
  <c r="J583" i="15"/>
  <c r="Q583" i="15" s="1"/>
  <c r="I583" i="15"/>
  <c r="H583" i="15"/>
  <c r="G583" i="15"/>
  <c r="E583" i="15"/>
  <c r="D583" i="15"/>
  <c r="Q582" i="15"/>
  <c r="L582" i="15"/>
  <c r="K582" i="15"/>
  <c r="J582" i="15"/>
  <c r="I582" i="15"/>
  <c r="H582" i="15"/>
  <c r="G582" i="15"/>
  <c r="E582" i="15"/>
  <c r="D582" i="15"/>
  <c r="L581" i="15"/>
  <c r="K581" i="15"/>
  <c r="Q581" i="15" s="1"/>
  <c r="J581" i="15"/>
  <c r="I581" i="15"/>
  <c r="H581" i="15"/>
  <c r="G581" i="15"/>
  <c r="E581" i="15"/>
  <c r="D581" i="15"/>
  <c r="Q580" i="15"/>
  <c r="L580" i="15"/>
  <c r="K580" i="15"/>
  <c r="J580" i="15"/>
  <c r="I580" i="15"/>
  <c r="H580" i="15"/>
  <c r="G580" i="15"/>
  <c r="E580" i="15"/>
  <c r="D580" i="15"/>
  <c r="L579" i="15"/>
  <c r="K579" i="15"/>
  <c r="J579" i="15"/>
  <c r="Q579" i="15" s="1"/>
  <c r="I579" i="15"/>
  <c r="H579" i="15"/>
  <c r="G579" i="15"/>
  <c r="E579" i="15"/>
  <c r="D579" i="15"/>
  <c r="Q578" i="15"/>
  <c r="L578" i="15"/>
  <c r="K578" i="15"/>
  <c r="J578" i="15"/>
  <c r="I578" i="15"/>
  <c r="H578" i="15"/>
  <c r="G578" i="15"/>
  <c r="E578" i="15"/>
  <c r="D578" i="15"/>
  <c r="L577" i="15"/>
  <c r="K577" i="15"/>
  <c r="Q577" i="15" s="1"/>
  <c r="J577" i="15"/>
  <c r="I577" i="15"/>
  <c r="H577" i="15"/>
  <c r="G577" i="15"/>
  <c r="E577" i="15"/>
  <c r="D577" i="15"/>
  <c r="Q576" i="15"/>
  <c r="L576" i="15"/>
  <c r="K576" i="15"/>
  <c r="J576" i="15"/>
  <c r="I576" i="15"/>
  <c r="H576" i="15"/>
  <c r="G576" i="15"/>
  <c r="E576" i="15"/>
  <c r="D576" i="15"/>
  <c r="L575" i="15"/>
  <c r="K575" i="15"/>
  <c r="J575" i="15"/>
  <c r="Q575" i="15" s="1"/>
  <c r="I575" i="15"/>
  <c r="H575" i="15"/>
  <c r="G575" i="15"/>
  <c r="E575" i="15"/>
  <c r="D575" i="15"/>
  <c r="Q574" i="15"/>
  <c r="L574" i="15"/>
  <c r="K574" i="15"/>
  <c r="J574" i="15"/>
  <c r="I574" i="15"/>
  <c r="H574" i="15"/>
  <c r="G574" i="15"/>
  <c r="E574" i="15"/>
  <c r="D574" i="15"/>
  <c r="Q573" i="15"/>
  <c r="L573" i="15"/>
  <c r="K573" i="15"/>
  <c r="J573" i="15"/>
  <c r="I573" i="15"/>
  <c r="H573" i="15"/>
  <c r="G573" i="15"/>
  <c r="E573" i="15"/>
  <c r="D573" i="15"/>
  <c r="Q572" i="15"/>
  <c r="L572" i="15"/>
  <c r="K572" i="15"/>
  <c r="J572" i="15"/>
  <c r="I572" i="15"/>
  <c r="H572" i="15"/>
  <c r="G572" i="15"/>
  <c r="E572" i="15"/>
  <c r="D572" i="15"/>
  <c r="L571" i="15"/>
  <c r="K571" i="15"/>
  <c r="J571" i="15"/>
  <c r="Q571" i="15" s="1"/>
  <c r="I571" i="15"/>
  <c r="H571" i="15"/>
  <c r="G571" i="15"/>
  <c r="E571" i="15"/>
  <c r="D571" i="15"/>
  <c r="Q570" i="15"/>
  <c r="L570" i="15"/>
  <c r="H570" i="15"/>
  <c r="G570" i="15"/>
  <c r="E570" i="15"/>
  <c r="D570" i="15"/>
  <c r="Q569" i="15"/>
  <c r="L569" i="15"/>
  <c r="H569" i="15"/>
  <c r="G569" i="15"/>
  <c r="E569" i="15"/>
  <c r="D569" i="15"/>
  <c r="Q568" i="15"/>
  <c r="L568" i="15"/>
  <c r="H568" i="15"/>
  <c r="G568" i="15"/>
  <c r="E568" i="15"/>
  <c r="D568" i="15"/>
  <c r="Q567" i="15"/>
  <c r="L567" i="15"/>
  <c r="H567" i="15"/>
  <c r="G567" i="15"/>
  <c r="E567" i="15"/>
  <c r="D567" i="15"/>
  <c r="Q566" i="15"/>
  <c r="L566" i="15"/>
  <c r="K566" i="15"/>
  <c r="J566" i="15"/>
  <c r="I566" i="15"/>
  <c r="H566" i="15"/>
  <c r="G566" i="15"/>
  <c r="E566" i="15"/>
  <c r="D566" i="15"/>
  <c r="Q565" i="15"/>
  <c r="L565" i="15"/>
  <c r="K565" i="15"/>
  <c r="J565" i="15"/>
  <c r="I565" i="15"/>
  <c r="H565" i="15"/>
  <c r="G565" i="15"/>
  <c r="E565" i="15"/>
  <c r="D565" i="15"/>
  <c r="Q564" i="15"/>
  <c r="L564" i="15"/>
  <c r="K564" i="15"/>
  <c r="J564" i="15"/>
  <c r="I564" i="15"/>
  <c r="H564" i="15"/>
  <c r="G564" i="15"/>
  <c r="E564" i="15"/>
  <c r="D564" i="15"/>
  <c r="L563" i="15"/>
  <c r="K563" i="15"/>
  <c r="J563" i="15"/>
  <c r="Q563" i="15" s="1"/>
  <c r="I563" i="15"/>
  <c r="H563" i="15"/>
  <c r="G563" i="15"/>
  <c r="E563" i="15"/>
  <c r="D563" i="15"/>
  <c r="Q562" i="15"/>
  <c r="L562" i="15"/>
  <c r="K562" i="15"/>
  <c r="J562" i="15"/>
  <c r="I562" i="15"/>
  <c r="H562" i="15"/>
  <c r="G562" i="15"/>
  <c r="E562" i="15"/>
  <c r="D562" i="15"/>
  <c r="Q561" i="15"/>
  <c r="L561" i="15"/>
  <c r="K561" i="15"/>
  <c r="J561" i="15"/>
  <c r="I561" i="15"/>
  <c r="H561" i="15"/>
  <c r="G561" i="15"/>
  <c r="E561" i="15"/>
  <c r="D561" i="15"/>
  <c r="L560" i="15"/>
  <c r="K560" i="15"/>
  <c r="J560" i="15"/>
  <c r="Q560" i="15" s="1"/>
  <c r="I560" i="15"/>
  <c r="H560" i="15"/>
  <c r="G560" i="15"/>
  <c r="E560" i="15"/>
  <c r="D560" i="15"/>
  <c r="L559" i="15"/>
  <c r="K559" i="15"/>
  <c r="J559" i="15"/>
  <c r="Q559" i="15" s="1"/>
  <c r="I559" i="15"/>
  <c r="H559" i="15"/>
  <c r="G559" i="15"/>
  <c r="E559" i="15"/>
  <c r="D559" i="15"/>
  <c r="Q558" i="15"/>
  <c r="L558" i="15"/>
  <c r="H558" i="15"/>
  <c r="G558" i="15"/>
  <c r="E558" i="15"/>
  <c r="D558" i="15"/>
  <c r="Q557" i="15"/>
  <c r="L557" i="15"/>
  <c r="H557" i="15"/>
  <c r="G557" i="15"/>
  <c r="E557" i="15"/>
  <c r="D557" i="15"/>
  <c r="Q556" i="15"/>
  <c r="L556" i="15"/>
  <c r="K556" i="15"/>
  <c r="J556" i="15"/>
  <c r="I556" i="15"/>
  <c r="H556" i="15"/>
  <c r="G556" i="15"/>
  <c r="E556" i="15"/>
  <c r="D556" i="15"/>
  <c r="Q555" i="15"/>
  <c r="L555" i="15"/>
  <c r="K555" i="15"/>
  <c r="J555" i="15"/>
  <c r="I555" i="15"/>
  <c r="H555" i="15"/>
  <c r="G555" i="15"/>
  <c r="E555" i="15"/>
  <c r="D555" i="15"/>
  <c r="L554" i="15"/>
  <c r="K554" i="15"/>
  <c r="J554" i="15"/>
  <c r="Q554" i="15" s="1"/>
  <c r="I554" i="15"/>
  <c r="H554" i="15"/>
  <c r="G554" i="15"/>
  <c r="E554" i="15"/>
  <c r="D554" i="15"/>
  <c r="L553" i="15"/>
  <c r="K553" i="15"/>
  <c r="J553" i="15"/>
  <c r="Q553" i="15" s="1"/>
  <c r="I553" i="15"/>
  <c r="H553" i="15"/>
  <c r="G553" i="15"/>
  <c r="E553" i="15"/>
  <c r="D553" i="15"/>
  <c r="Q552" i="15"/>
  <c r="L552" i="15"/>
  <c r="K552" i="15"/>
  <c r="J552" i="15"/>
  <c r="I552" i="15"/>
  <c r="H552" i="15"/>
  <c r="G552" i="15"/>
  <c r="E552" i="15"/>
  <c r="D552" i="15"/>
  <c r="L551" i="15"/>
  <c r="K551" i="15"/>
  <c r="Q551" i="15" s="1"/>
  <c r="J551" i="15"/>
  <c r="I551" i="15"/>
  <c r="H551" i="15"/>
  <c r="G551" i="15"/>
  <c r="E551" i="15"/>
  <c r="D551" i="15"/>
  <c r="L550" i="15"/>
  <c r="K550" i="15"/>
  <c r="J550" i="15"/>
  <c r="Q550" i="15" s="1"/>
  <c r="I550" i="15"/>
  <c r="H550" i="15"/>
  <c r="G550" i="15"/>
  <c r="E550" i="15"/>
  <c r="D550" i="15"/>
  <c r="L549" i="15"/>
  <c r="K549" i="15"/>
  <c r="J549" i="15"/>
  <c r="Q549" i="15" s="1"/>
  <c r="I549" i="15"/>
  <c r="H549" i="15"/>
  <c r="G549" i="15"/>
  <c r="E549" i="15"/>
  <c r="D549" i="15"/>
  <c r="Q548" i="15"/>
  <c r="L548" i="15"/>
  <c r="H548" i="15"/>
  <c r="G548" i="15"/>
  <c r="E548" i="15"/>
  <c r="D548" i="15"/>
  <c r="L547" i="15"/>
  <c r="K547" i="15"/>
  <c r="J547" i="15"/>
  <c r="Q547" i="15" s="1"/>
  <c r="I547" i="15"/>
  <c r="H547" i="15"/>
  <c r="G547" i="15"/>
  <c r="E547" i="15"/>
  <c r="D547" i="15"/>
  <c r="L546" i="15"/>
  <c r="K546" i="15"/>
  <c r="J546" i="15"/>
  <c r="Q546" i="15" s="1"/>
  <c r="I546" i="15"/>
  <c r="H546" i="15"/>
  <c r="G546" i="15"/>
  <c r="E546" i="15"/>
  <c r="D546" i="15"/>
  <c r="Q545" i="15"/>
  <c r="L545" i="15"/>
  <c r="K545" i="15"/>
  <c r="J545" i="15"/>
  <c r="I545" i="15"/>
  <c r="H545" i="15"/>
  <c r="G545" i="15"/>
  <c r="E545" i="15"/>
  <c r="D545" i="15"/>
  <c r="Q544" i="15"/>
  <c r="L544" i="15"/>
  <c r="H544" i="15"/>
  <c r="G544" i="15"/>
  <c r="E544" i="15"/>
  <c r="D544" i="15"/>
  <c r="Q543" i="15"/>
  <c r="L543" i="15"/>
  <c r="H543" i="15"/>
  <c r="G543" i="15"/>
  <c r="E543" i="15"/>
  <c r="D543" i="15"/>
  <c r="Q542" i="15"/>
  <c r="L542" i="15"/>
  <c r="H542" i="15"/>
  <c r="G542" i="15"/>
  <c r="E542" i="15"/>
  <c r="D542" i="15"/>
  <c r="Q541" i="15"/>
  <c r="L541" i="15"/>
  <c r="H541" i="15"/>
  <c r="G541" i="15"/>
  <c r="E541" i="15"/>
  <c r="D541" i="15"/>
  <c r="L540" i="15"/>
  <c r="K540" i="15"/>
  <c r="Q540" i="15" s="1"/>
  <c r="J540" i="15"/>
  <c r="I540" i="15"/>
  <c r="H540" i="15"/>
  <c r="G540" i="15"/>
  <c r="E540" i="15"/>
  <c r="D540" i="15"/>
  <c r="L539" i="15"/>
  <c r="K539" i="15"/>
  <c r="J539" i="15"/>
  <c r="Q539" i="15" s="1"/>
  <c r="I539" i="15"/>
  <c r="H539" i="15"/>
  <c r="G539" i="15"/>
  <c r="E539" i="15"/>
  <c r="D539" i="15"/>
  <c r="L538" i="15"/>
  <c r="K538" i="15"/>
  <c r="J538" i="15"/>
  <c r="Q538" i="15" s="1"/>
  <c r="I538" i="15"/>
  <c r="H538" i="15"/>
  <c r="G538" i="15"/>
  <c r="E538" i="15"/>
  <c r="D538" i="15"/>
  <c r="Q537" i="15"/>
  <c r="L537" i="15"/>
  <c r="K537" i="15"/>
  <c r="J537" i="15"/>
  <c r="I537" i="15"/>
  <c r="H537" i="15"/>
  <c r="G537" i="15"/>
  <c r="E537" i="15"/>
  <c r="D537" i="15"/>
  <c r="L536" i="15"/>
  <c r="K536" i="15"/>
  <c r="Q536" i="15" s="1"/>
  <c r="J536" i="15"/>
  <c r="I536" i="15"/>
  <c r="H536" i="15"/>
  <c r="G536" i="15"/>
  <c r="E536" i="15"/>
  <c r="D536" i="15"/>
  <c r="L535" i="15"/>
  <c r="K535" i="15"/>
  <c r="J535" i="15"/>
  <c r="Q535" i="15" s="1"/>
  <c r="I535" i="15"/>
  <c r="H535" i="15"/>
  <c r="G535" i="15"/>
  <c r="E535" i="15"/>
  <c r="D535" i="15"/>
  <c r="L534" i="15"/>
  <c r="K534" i="15"/>
  <c r="J534" i="15"/>
  <c r="Q534" i="15" s="1"/>
  <c r="I534" i="15"/>
  <c r="H534" i="15"/>
  <c r="G534" i="15"/>
  <c r="E534" i="15"/>
  <c r="D534" i="15"/>
  <c r="Q533" i="15"/>
  <c r="L533" i="15"/>
  <c r="K533" i="15"/>
  <c r="J533" i="15"/>
  <c r="I533" i="15"/>
  <c r="H533" i="15"/>
  <c r="G533" i="15"/>
  <c r="E533" i="15"/>
  <c r="D533" i="15"/>
  <c r="Q532" i="15"/>
  <c r="L532" i="15"/>
  <c r="H532" i="15"/>
  <c r="G532" i="15"/>
  <c r="E532" i="15"/>
  <c r="D532" i="15"/>
  <c r="Q531" i="15"/>
  <c r="L531" i="15"/>
  <c r="H531" i="15"/>
  <c r="G531" i="15"/>
  <c r="E531" i="15"/>
  <c r="D531" i="15"/>
  <c r="L530" i="15"/>
  <c r="K530" i="15"/>
  <c r="Q530" i="15" s="1"/>
  <c r="J530" i="15"/>
  <c r="I530" i="15"/>
  <c r="H530" i="15"/>
  <c r="G530" i="15"/>
  <c r="E530" i="15"/>
  <c r="D530" i="15"/>
  <c r="L529" i="15"/>
  <c r="K529" i="15"/>
  <c r="J529" i="15"/>
  <c r="Q529" i="15" s="1"/>
  <c r="I529" i="15"/>
  <c r="H529" i="15"/>
  <c r="G529" i="15"/>
  <c r="E529" i="15"/>
  <c r="D529" i="15"/>
  <c r="L528" i="15"/>
  <c r="K528" i="15"/>
  <c r="J528" i="15"/>
  <c r="Q528" i="15" s="1"/>
  <c r="I528" i="15"/>
  <c r="H528" i="15"/>
  <c r="G528" i="15"/>
  <c r="E528" i="15"/>
  <c r="D528" i="15"/>
  <c r="Q527" i="15"/>
  <c r="L527" i="15"/>
  <c r="K527" i="15"/>
  <c r="J527" i="15"/>
  <c r="I527" i="15"/>
  <c r="H527" i="15"/>
  <c r="G527" i="15"/>
  <c r="E527" i="15"/>
  <c r="D527" i="15"/>
  <c r="Q526" i="15"/>
  <c r="L526" i="15"/>
  <c r="H526" i="15"/>
  <c r="G526" i="15"/>
  <c r="E526" i="15"/>
  <c r="D526" i="15"/>
  <c r="Q525" i="15"/>
  <c r="L525" i="15"/>
  <c r="H525" i="15"/>
  <c r="G525" i="15"/>
  <c r="E525" i="15"/>
  <c r="D525" i="15"/>
  <c r="Q524" i="15"/>
  <c r="L524" i="15"/>
  <c r="H524" i="15"/>
  <c r="G524" i="15"/>
  <c r="E524" i="15"/>
  <c r="D524" i="15"/>
  <c r="L523" i="15"/>
  <c r="K523" i="15"/>
  <c r="J523" i="15"/>
  <c r="Q523" i="15" s="1"/>
  <c r="I523" i="15"/>
  <c r="H523" i="15"/>
  <c r="G523" i="15"/>
  <c r="E523" i="15"/>
  <c r="D523" i="15"/>
  <c r="Q522" i="15"/>
  <c r="L522" i="15"/>
  <c r="K522" i="15"/>
  <c r="J522" i="15"/>
  <c r="I522" i="15"/>
  <c r="H522" i="15"/>
  <c r="G522" i="15"/>
  <c r="E522" i="15"/>
  <c r="D522" i="15"/>
  <c r="L521" i="15"/>
  <c r="K521" i="15"/>
  <c r="Q521" i="15" s="1"/>
  <c r="J521" i="15"/>
  <c r="I521" i="15"/>
  <c r="H521" i="15"/>
  <c r="G521" i="15"/>
  <c r="E521" i="15"/>
  <c r="D521" i="15"/>
  <c r="Q520" i="15"/>
  <c r="L520" i="15"/>
  <c r="K520" i="15"/>
  <c r="J520" i="15"/>
  <c r="I520" i="15"/>
  <c r="H520" i="15"/>
  <c r="G520" i="15"/>
  <c r="E520" i="15"/>
  <c r="D520" i="15"/>
  <c r="Q519" i="15"/>
  <c r="L519" i="15"/>
  <c r="H519" i="15"/>
  <c r="G519" i="15"/>
  <c r="E519" i="15"/>
  <c r="D519" i="15"/>
  <c r="Q518" i="15"/>
  <c r="L518" i="15"/>
  <c r="H518" i="15"/>
  <c r="G518" i="15"/>
  <c r="E518" i="15"/>
  <c r="D518" i="15"/>
  <c r="Q517" i="15"/>
  <c r="L517" i="15"/>
  <c r="H517" i="15"/>
  <c r="G517" i="15"/>
  <c r="E517" i="15"/>
  <c r="D517" i="15"/>
  <c r="Q516" i="15"/>
  <c r="L516" i="15"/>
  <c r="H516" i="15"/>
  <c r="G516" i="15"/>
  <c r="E516" i="15"/>
  <c r="D516" i="15"/>
  <c r="L515" i="15"/>
  <c r="K515" i="15"/>
  <c r="J515" i="15"/>
  <c r="Q515" i="15" s="1"/>
  <c r="I515" i="15"/>
  <c r="H515" i="15"/>
  <c r="G515" i="15"/>
  <c r="E515" i="15"/>
  <c r="D515" i="15"/>
  <c r="Q514" i="15"/>
  <c r="L514" i="15"/>
  <c r="K514" i="15"/>
  <c r="J514" i="15"/>
  <c r="I514" i="15"/>
  <c r="H514" i="15"/>
  <c r="G514" i="15"/>
  <c r="E514" i="15"/>
  <c r="D514" i="15"/>
  <c r="L513" i="15"/>
  <c r="K513" i="15"/>
  <c r="Q513" i="15" s="1"/>
  <c r="J513" i="15"/>
  <c r="I513" i="15"/>
  <c r="H513" i="15"/>
  <c r="G513" i="15"/>
  <c r="E513" i="15"/>
  <c r="D513" i="15"/>
  <c r="Q512" i="15"/>
  <c r="L512" i="15"/>
  <c r="K512" i="15"/>
  <c r="J512" i="15"/>
  <c r="I512" i="15"/>
  <c r="H512" i="15"/>
  <c r="G512" i="15"/>
  <c r="E512" i="15"/>
  <c r="D512" i="15"/>
  <c r="L511" i="15"/>
  <c r="K511" i="15"/>
  <c r="J511" i="15"/>
  <c r="Q511" i="15" s="1"/>
  <c r="I511" i="15"/>
  <c r="H511" i="15"/>
  <c r="G511" i="15"/>
  <c r="E511" i="15"/>
  <c r="D511" i="15"/>
  <c r="Q510" i="15"/>
  <c r="L510" i="15"/>
  <c r="K510" i="15"/>
  <c r="J510" i="15"/>
  <c r="I510" i="15"/>
  <c r="H510" i="15"/>
  <c r="G510" i="15"/>
  <c r="E510" i="15"/>
  <c r="D510" i="15"/>
  <c r="Q509" i="15"/>
  <c r="L509" i="15"/>
  <c r="K509" i="15"/>
  <c r="J509" i="15"/>
  <c r="I509" i="15"/>
  <c r="H509" i="15"/>
  <c r="G509" i="15"/>
  <c r="E509" i="15"/>
  <c r="D509" i="15"/>
  <c r="Q508" i="15"/>
  <c r="L508" i="15"/>
  <c r="K508" i="15"/>
  <c r="J508" i="15"/>
  <c r="I508" i="15"/>
  <c r="H508" i="15"/>
  <c r="G508" i="15"/>
  <c r="E508" i="15"/>
  <c r="D508" i="15"/>
  <c r="Q507" i="15"/>
  <c r="L507" i="15"/>
  <c r="H507" i="15"/>
  <c r="G507" i="15"/>
  <c r="E507" i="15"/>
  <c r="D507" i="15"/>
  <c r="Q506" i="15"/>
  <c r="L506" i="15"/>
  <c r="K506" i="15"/>
  <c r="J506" i="15"/>
  <c r="I506" i="15"/>
  <c r="H506" i="15"/>
  <c r="G506" i="15"/>
  <c r="E506" i="15"/>
  <c r="D506" i="15"/>
  <c r="Q505" i="15"/>
  <c r="L505" i="15"/>
  <c r="K505" i="15"/>
  <c r="J505" i="15"/>
  <c r="I505" i="15"/>
  <c r="H505" i="15"/>
  <c r="G505" i="15"/>
  <c r="E505" i="15"/>
  <c r="D505" i="15"/>
  <c r="L504" i="15"/>
  <c r="K504" i="15"/>
  <c r="J504" i="15"/>
  <c r="Q504" i="15" s="1"/>
  <c r="I504" i="15"/>
  <c r="H504" i="15"/>
  <c r="G504" i="15"/>
  <c r="E504" i="15"/>
  <c r="D504" i="15"/>
  <c r="Q503" i="15"/>
  <c r="L503" i="15"/>
  <c r="K503" i="15"/>
  <c r="J503" i="15"/>
  <c r="I503" i="15"/>
  <c r="H503" i="15"/>
  <c r="G503" i="15"/>
  <c r="E503" i="15"/>
  <c r="D503" i="15"/>
  <c r="Q502" i="15"/>
  <c r="L502" i="15"/>
  <c r="H502" i="15"/>
  <c r="G502" i="15"/>
  <c r="E502" i="15"/>
  <c r="D502" i="15"/>
  <c r="L501" i="15"/>
  <c r="K501" i="15"/>
  <c r="J501" i="15"/>
  <c r="Q501" i="15" s="1"/>
  <c r="I501" i="15"/>
  <c r="H501" i="15"/>
  <c r="G501" i="15"/>
  <c r="E501" i="15"/>
  <c r="D501" i="15"/>
  <c r="Q500" i="15"/>
  <c r="L500" i="15"/>
  <c r="K500" i="15"/>
  <c r="J500" i="15"/>
  <c r="I500" i="15"/>
  <c r="H500" i="15"/>
  <c r="G500" i="15"/>
  <c r="E500" i="15"/>
  <c r="D500" i="15"/>
  <c r="Q499" i="15"/>
  <c r="L499" i="15"/>
  <c r="K499" i="15"/>
  <c r="J499" i="15"/>
  <c r="I499" i="15"/>
  <c r="H499" i="15"/>
  <c r="G499" i="15"/>
  <c r="E499" i="15"/>
  <c r="D499" i="15"/>
  <c r="L498" i="15"/>
  <c r="K498" i="15"/>
  <c r="J498" i="15"/>
  <c r="Q498" i="15" s="1"/>
  <c r="I498" i="15"/>
  <c r="H498" i="15"/>
  <c r="G498" i="15"/>
  <c r="E498" i="15"/>
  <c r="D498" i="15"/>
  <c r="Q497" i="15"/>
  <c r="L497" i="15"/>
  <c r="H497" i="15"/>
  <c r="G497" i="15"/>
  <c r="E497" i="15"/>
  <c r="D497" i="15"/>
  <c r="Q496" i="15"/>
  <c r="L496" i="15"/>
  <c r="K496" i="15"/>
  <c r="J496" i="15"/>
  <c r="I496" i="15"/>
  <c r="H496" i="15"/>
  <c r="G496" i="15"/>
  <c r="E496" i="15"/>
  <c r="D496" i="15"/>
  <c r="L495" i="15"/>
  <c r="K495" i="15"/>
  <c r="J495" i="15"/>
  <c r="Q495" i="15" s="1"/>
  <c r="I495" i="15"/>
  <c r="H495" i="15"/>
  <c r="G495" i="15"/>
  <c r="E495" i="15"/>
  <c r="D495" i="15"/>
  <c r="L494" i="15"/>
  <c r="K494" i="15"/>
  <c r="J494" i="15"/>
  <c r="Q494" i="15" s="1"/>
  <c r="I494" i="15"/>
  <c r="H494" i="15"/>
  <c r="G494" i="15"/>
  <c r="E494" i="15"/>
  <c r="D494" i="15"/>
  <c r="Q493" i="15"/>
  <c r="L493" i="15"/>
  <c r="H493" i="15"/>
  <c r="G493" i="15"/>
  <c r="E493" i="15"/>
  <c r="D493" i="15"/>
  <c r="L492" i="15"/>
  <c r="K492" i="15"/>
  <c r="J492" i="15"/>
  <c r="Q492" i="15" s="1"/>
  <c r="I492" i="15"/>
  <c r="H492" i="15"/>
  <c r="G492" i="15"/>
  <c r="E492" i="15"/>
  <c r="D492" i="15"/>
  <c r="L491" i="15"/>
  <c r="K491" i="15"/>
  <c r="J491" i="15"/>
  <c r="Q491" i="15" s="1"/>
  <c r="I491" i="15"/>
  <c r="H491" i="15"/>
  <c r="G491" i="15"/>
  <c r="E491" i="15"/>
  <c r="D491" i="15"/>
  <c r="Q490" i="15"/>
  <c r="L490" i="15"/>
  <c r="K490" i="15"/>
  <c r="J490" i="15"/>
  <c r="I490" i="15"/>
  <c r="H490" i="15"/>
  <c r="G490" i="15"/>
  <c r="E490" i="15"/>
  <c r="D490" i="15"/>
  <c r="Q489" i="15"/>
  <c r="L489" i="15"/>
  <c r="H489" i="15"/>
  <c r="G489" i="15"/>
  <c r="E489" i="15"/>
  <c r="D489" i="15"/>
  <c r="Q488" i="15"/>
  <c r="L488" i="15"/>
  <c r="H488" i="15"/>
  <c r="G488" i="15"/>
  <c r="E488" i="15"/>
  <c r="D488" i="15"/>
  <c r="L487" i="15"/>
  <c r="K487" i="15"/>
  <c r="Q487" i="15" s="1"/>
  <c r="J487" i="15"/>
  <c r="I487" i="15"/>
  <c r="H487" i="15"/>
  <c r="G487" i="15"/>
  <c r="E487" i="15"/>
  <c r="D487" i="15"/>
  <c r="L486" i="15"/>
  <c r="K486" i="15"/>
  <c r="J486" i="15"/>
  <c r="Q486" i="15" s="1"/>
  <c r="I486" i="15"/>
  <c r="H486" i="15"/>
  <c r="G486" i="15"/>
  <c r="E486" i="15"/>
  <c r="D486" i="15"/>
  <c r="L485" i="15"/>
  <c r="K485" i="15"/>
  <c r="J485" i="15"/>
  <c r="Q485" i="15" s="1"/>
  <c r="I485" i="15"/>
  <c r="H485" i="15"/>
  <c r="G485" i="15"/>
  <c r="E485" i="15"/>
  <c r="D485" i="15"/>
  <c r="Q484" i="15"/>
  <c r="L484" i="15"/>
  <c r="K484" i="15"/>
  <c r="J484" i="15"/>
  <c r="I484" i="15"/>
  <c r="H484" i="15"/>
  <c r="G484" i="15"/>
  <c r="E484" i="15"/>
  <c r="D484" i="15"/>
  <c r="Q483" i="15"/>
  <c r="L483" i="15"/>
  <c r="H483" i="15"/>
  <c r="G483" i="15"/>
  <c r="E483" i="15"/>
  <c r="D483" i="15"/>
  <c r="Q482" i="15"/>
  <c r="L482" i="15"/>
  <c r="H482" i="15"/>
  <c r="G482" i="15"/>
  <c r="E482" i="15"/>
  <c r="D482" i="15"/>
  <c r="Q481" i="15"/>
  <c r="L481" i="15"/>
  <c r="H481" i="15"/>
  <c r="G481" i="15"/>
  <c r="E481" i="15"/>
  <c r="D481" i="15"/>
  <c r="Q480" i="15"/>
  <c r="L480" i="15"/>
  <c r="H480" i="15"/>
  <c r="G480" i="15"/>
  <c r="E480" i="15"/>
  <c r="D480" i="15"/>
  <c r="L479" i="15"/>
  <c r="K479" i="15"/>
  <c r="Q479" i="15" s="1"/>
  <c r="J479" i="15"/>
  <c r="I479" i="15"/>
  <c r="H479" i="15"/>
  <c r="G479" i="15"/>
  <c r="E479" i="15"/>
  <c r="D479" i="15"/>
  <c r="L478" i="15"/>
  <c r="K478" i="15"/>
  <c r="J478" i="15"/>
  <c r="Q478" i="15" s="1"/>
  <c r="I478" i="15"/>
  <c r="H478" i="15"/>
  <c r="G478" i="15"/>
  <c r="E478" i="15"/>
  <c r="D478" i="15"/>
  <c r="L477" i="15"/>
  <c r="K477" i="15"/>
  <c r="J477" i="15"/>
  <c r="Q477" i="15" s="1"/>
  <c r="I477" i="15"/>
  <c r="H477" i="15"/>
  <c r="G477" i="15"/>
  <c r="E477" i="15"/>
  <c r="D477" i="15"/>
  <c r="Q476" i="15"/>
  <c r="L476" i="15"/>
  <c r="K476" i="15"/>
  <c r="J476" i="15"/>
  <c r="I476" i="15"/>
  <c r="H476" i="15"/>
  <c r="G476" i="15"/>
  <c r="E476" i="15"/>
  <c r="D476" i="15"/>
  <c r="Q475" i="15"/>
  <c r="L475" i="15"/>
  <c r="H475" i="15"/>
  <c r="G475" i="15"/>
  <c r="E475" i="15"/>
  <c r="D475" i="15"/>
  <c r="Q474" i="15"/>
  <c r="L474" i="15"/>
  <c r="H474" i="15"/>
  <c r="G474" i="15"/>
  <c r="E474" i="15"/>
  <c r="D474" i="15"/>
  <c r="Q473" i="15"/>
  <c r="L473" i="15"/>
  <c r="H473" i="15"/>
  <c r="G473" i="15"/>
  <c r="E473" i="15"/>
  <c r="D473" i="15"/>
  <c r="Q472" i="15"/>
  <c r="L472" i="15"/>
  <c r="H472" i="15"/>
  <c r="G472" i="15"/>
  <c r="E472" i="15"/>
  <c r="D472" i="15"/>
  <c r="L471" i="15"/>
  <c r="K471" i="15"/>
  <c r="Q471" i="15" s="1"/>
  <c r="J471" i="15"/>
  <c r="I471" i="15"/>
  <c r="H471" i="15"/>
  <c r="G471" i="15"/>
  <c r="E471" i="15"/>
  <c r="D471" i="15"/>
  <c r="L470" i="15"/>
  <c r="K470" i="15"/>
  <c r="J470" i="15"/>
  <c r="Q470" i="15" s="1"/>
  <c r="I470" i="15"/>
  <c r="H470" i="15"/>
  <c r="G470" i="15"/>
  <c r="E470" i="15"/>
  <c r="D470" i="15"/>
  <c r="L469" i="15"/>
  <c r="K469" i="15"/>
  <c r="J469" i="15"/>
  <c r="Q469" i="15" s="1"/>
  <c r="I469" i="15"/>
  <c r="H469" i="15"/>
  <c r="G469" i="15"/>
  <c r="E469" i="15"/>
  <c r="D469" i="15"/>
  <c r="Q468" i="15"/>
  <c r="L468" i="15"/>
  <c r="K468" i="15"/>
  <c r="J468" i="15"/>
  <c r="I468" i="15"/>
  <c r="H468" i="15"/>
  <c r="G468" i="15"/>
  <c r="E468" i="15"/>
  <c r="D468" i="15"/>
  <c r="Q467" i="15"/>
  <c r="L467" i="15"/>
  <c r="H467" i="15"/>
  <c r="G467" i="15"/>
  <c r="E467" i="15"/>
  <c r="D467" i="15"/>
  <c r="Q466" i="15"/>
  <c r="L466" i="15"/>
  <c r="H466" i="15"/>
  <c r="G466" i="15"/>
  <c r="E466" i="15"/>
  <c r="D466" i="15"/>
  <c r="Q465" i="15"/>
  <c r="L465" i="15"/>
  <c r="H465" i="15"/>
  <c r="G465" i="15"/>
  <c r="E465" i="15"/>
  <c r="D465" i="15"/>
  <c r="Q464" i="15"/>
  <c r="L464" i="15"/>
  <c r="H464" i="15"/>
  <c r="G464" i="15"/>
  <c r="E464" i="15"/>
  <c r="D464" i="15"/>
  <c r="L463" i="15"/>
  <c r="K463" i="15"/>
  <c r="Q463" i="15" s="1"/>
  <c r="J463" i="15"/>
  <c r="I463" i="15"/>
  <c r="H463" i="15"/>
  <c r="G463" i="15"/>
  <c r="E463" i="15"/>
  <c r="D463" i="15"/>
  <c r="L462" i="15"/>
  <c r="K462" i="15"/>
  <c r="J462" i="15"/>
  <c r="Q462" i="15" s="1"/>
  <c r="I462" i="15"/>
  <c r="H462" i="15"/>
  <c r="G462" i="15"/>
  <c r="E462" i="15"/>
  <c r="D462" i="15"/>
  <c r="L461" i="15"/>
  <c r="K461" i="15"/>
  <c r="J461" i="15"/>
  <c r="Q461" i="15" s="1"/>
  <c r="I461" i="15"/>
  <c r="H461" i="15"/>
  <c r="G461" i="15"/>
  <c r="E461" i="15"/>
  <c r="D461" i="15"/>
  <c r="Q460" i="15"/>
  <c r="L460" i="15"/>
  <c r="K460" i="15"/>
  <c r="J460" i="15"/>
  <c r="I460" i="15"/>
  <c r="H460" i="15"/>
  <c r="G460" i="15"/>
  <c r="E460" i="15"/>
  <c r="D460" i="15"/>
  <c r="L459" i="15"/>
  <c r="K459" i="15"/>
  <c r="Q459" i="15" s="1"/>
  <c r="J459" i="15"/>
  <c r="I459" i="15"/>
  <c r="H459" i="15"/>
  <c r="G459" i="15"/>
  <c r="E459" i="15"/>
  <c r="D459" i="15"/>
  <c r="L458" i="15"/>
  <c r="K458" i="15"/>
  <c r="J458" i="15"/>
  <c r="Q458" i="15" s="1"/>
  <c r="I458" i="15"/>
  <c r="H458" i="15"/>
  <c r="G458" i="15"/>
  <c r="E458" i="15"/>
  <c r="D458" i="15"/>
  <c r="L457" i="15"/>
  <c r="K457" i="15"/>
  <c r="J457" i="15"/>
  <c r="Q457" i="15" s="1"/>
  <c r="I457" i="15"/>
  <c r="H457" i="15"/>
  <c r="G457" i="15"/>
  <c r="E457" i="15"/>
  <c r="D457" i="15"/>
  <c r="Q456" i="15"/>
  <c r="L456" i="15"/>
  <c r="H456" i="15"/>
  <c r="G456" i="15"/>
  <c r="E456" i="15"/>
  <c r="D456" i="15"/>
  <c r="L455" i="15"/>
  <c r="K455" i="15"/>
  <c r="J455" i="15"/>
  <c r="Q455" i="15" s="1"/>
  <c r="I455" i="15"/>
  <c r="H455" i="15"/>
  <c r="G455" i="15"/>
  <c r="E455" i="15"/>
  <c r="D455" i="15"/>
  <c r="L454" i="15"/>
  <c r="K454" i="15"/>
  <c r="J454" i="15"/>
  <c r="Q454" i="15" s="1"/>
  <c r="I454" i="15"/>
  <c r="H454" i="15"/>
  <c r="G454" i="15"/>
  <c r="E454" i="15"/>
  <c r="D454" i="15"/>
  <c r="Q453" i="15"/>
  <c r="L453" i="15"/>
  <c r="K453" i="15"/>
  <c r="J453" i="15"/>
  <c r="I453" i="15"/>
  <c r="H453" i="15"/>
  <c r="G453" i="15"/>
  <c r="E453" i="15"/>
  <c r="D453" i="15"/>
  <c r="L452" i="15"/>
  <c r="K452" i="15"/>
  <c r="Q452" i="15" s="1"/>
  <c r="J452" i="15"/>
  <c r="I452" i="15"/>
  <c r="H452" i="15"/>
  <c r="G452" i="15"/>
  <c r="E452" i="15"/>
  <c r="D452" i="15"/>
  <c r="Q451" i="15"/>
  <c r="L451" i="15"/>
  <c r="J451" i="15"/>
  <c r="I451" i="15"/>
  <c r="H451" i="15"/>
  <c r="G451" i="15"/>
  <c r="D451" i="15"/>
  <c r="L450" i="15"/>
  <c r="J450" i="15"/>
  <c r="Q450" i="15" s="1"/>
  <c r="I450" i="15"/>
  <c r="H450" i="15"/>
  <c r="G450" i="15"/>
  <c r="D450" i="15"/>
  <c r="L449" i="15"/>
  <c r="J449" i="15"/>
  <c r="Q449" i="15" s="1"/>
  <c r="I449" i="15"/>
  <c r="H449" i="15"/>
  <c r="G449" i="15"/>
  <c r="D449" i="15"/>
  <c r="L448" i="15"/>
  <c r="J448" i="15"/>
  <c r="Q448" i="15" s="1"/>
  <c r="I448" i="15"/>
  <c r="H448" i="15"/>
  <c r="G448" i="15"/>
  <c r="D448" i="15"/>
  <c r="Q447" i="15"/>
  <c r="L447" i="15"/>
  <c r="J447" i="15"/>
  <c r="I447" i="15"/>
  <c r="H447" i="15"/>
  <c r="G447" i="15"/>
  <c r="D447" i="15"/>
  <c r="Q446" i="15"/>
  <c r="L446" i="15"/>
  <c r="J446" i="15"/>
  <c r="I446" i="15"/>
  <c r="H446" i="15"/>
  <c r="G446" i="15"/>
  <c r="D446" i="15"/>
  <c r="Q445" i="15"/>
  <c r="L445" i="15"/>
  <c r="J445" i="15"/>
  <c r="I445" i="15"/>
  <c r="H445" i="15"/>
  <c r="G445" i="15"/>
  <c r="D445" i="15"/>
  <c r="L444" i="15"/>
  <c r="J444" i="15"/>
  <c r="Q444" i="15" s="1"/>
  <c r="I444" i="15"/>
  <c r="H444" i="15"/>
  <c r="G444" i="15"/>
  <c r="D444" i="15"/>
  <c r="Q443" i="15"/>
  <c r="L443" i="15"/>
  <c r="J443" i="15"/>
  <c r="I443" i="15"/>
  <c r="H443" i="15"/>
  <c r="G443" i="15"/>
  <c r="D443" i="15"/>
  <c r="Q442" i="15"/>
  <c r="L442" i="15"/>
  <c r="J442" i="15"/>
  <c r="I442" i="15"/>
  <c r="H442" i="15"/>
  <c r="G442" i="15"/>
  <c r="D442" i="15"/>
  <c r="L441" i="15"/>
  <c r="J441" i="15"/>
  <c r="Q441" i="15" s="1"/>
  <c r="I441" i="15"/>
  <c r="H441" i="15"/>
  <c r="G441" i="15"/>
  <c r="D441" i="15"/>
  <c r="Q440" i="15"/>
  <c r="L440" i="15"/>
  <c r="J440" i="15"/>
  <c r="I440" i="15"/>
  <c r="H440" i="15"/>
  <c r="G440" i="15"/>
  <c r="D440" i="15"/>
  <c r="Q439" i="15"/>
  <c r="L439" i="15"/>
  <c r="J439" i="15"/>
  <c r="I439" i="15"/>
  <c r="H439" i="15"/>
  <c r="G439" i="15"/>
  <c r="D439" i="15"/>
  <c r="Q438" i="15"/>
  <c r="L438" i="15"/>
  <c r="J438" i="15"/>
  <c r="I438" i="15"/>
  <c r="H438" i="15"/>
  <c r="G438" i="15"/>
  <c r="D438" i="15"/>
  <c r="L437" i="15"/>
  <c r="J437" i="15"/>
  <c r="Q437" i="15" s="1"/>
  <c r="I437" i="15"/>
  <c r="H437" i="15"/>
  <c r="G437" i="15"/>
  <c r="D437" i="15"/>
  <c r="Q436" i="15"/>
  <c r="L436" i="15"/>
  <c r="J436" i="15"/>
  <c r="I436" i="15"/>
  <c r="H436" i="15"/>
  <c r="G436" i="15"/>
  <c r="D436" i="15"/>
  <c r="Q435" i="15"/>
  <c r="L435" i="15"/>
  <c r="J435" i="15"/>
  <c r="I435" i="15"/>
  <c r="H435" i="15"/>
  <c r="G435" i="15"/>
  <c r="D435" i="15"/>
  <c r="Q434" i="15"/>
  <c r="L434" i="15"/>
  <c r="J434" i="15"/>
  <c r="I434" i="15"/>
  <c r="H434" i="15"/>
  <c r="G434" i="15"/>
  <c r="D434" i="15"/>
  <c r="Q433" i="15"/>
  <c r="L433" i="15"/>
  <c r="J433" i="15"/>
  <c r="I433" i="15"/>
  <c r="H433" i="15"/>
  <c r="G433" i="15"/>
  <c r="D433" i="15"/>
  <c r="L432" i="15"/>
  <c r="J432" i="15"/>
  <c r="Q432" i="15" s="1"/>
  <c r="I432" i="15"/>
  <c r="H432" i="15"/>
  <c r="G432" i="15"/>
  <c r="D432" i="15"/>
  <c r="Q431" i="15"/>
  <c r="L431" i="15"/>
  <c r="J431" i="15"/>
  <c r="I431" i="15"/>
  <c r="H431" i="15"/>
  <c r="G431" i="15"/>
  <c r="D431" i="15"/>
  <c r="L430" i="15"/>
  <c r="J430" i="15"/>
  <c r="Q430" i="15" s="1"/>
  <c r="I430" i="15"/>
  <c r="H430" i="15"/>
  <c r="G430" i="15"/>
  <c r="D430" i="15"/>
  <c r="L429" i="15"/>
  <c r="J429" i="15"/>
  <c r="Q429" i="15" s="1"/>
  <c r="I429" i="15"/>
  <c r="H429" i="15"/>
  <c r="G429" i="15"/>
  <c r="D429" i="15"/>
  <c r="L428" i="15"/>
  <c r="J428" i="15"/>
  <c r="Q428" i="15" s="1"/>
  <c r="I428" i="15"/>
  <c r="H428" i="15"/>
  <c r="G428" i="15"/>
  <c r="D428" i="15"/>
  <c r="Q427" i="15"/>
  <c r="L427" i="15"/>
  <c r="J427" i="15"/>
  <c r="I427" i="15"/>
  <c r="H427" i="15"/>
  <c r="G427" i="15"/>
  <c r="D427" i="15"/>
  <c r="L426" i="15"/>
  <c r="J426" i="15"/>
  <c r="Q426" i="15" s="1"/>
  <c r="I426" i="15"/>
  <c r="H426" i="15"/>
  <c r="G426" i="15"/>
  <c r="D426" i="15"/>
  <c r="Q425" i="15"/>
  <c r="L425" i="15"/>
  <c r="H425" i="15"/>
  <c r="G425" i="15"/>
  <c r="D425" i="15"/>
  <c r="L424" i="15"/>
  <c r="J424" i="15"/>
  <c r="Q424" i="15" s="1"/>
  <c r="I424" i="15"/>
  <c r="H424" i="15"/>
  <c r="G424" i="15"/>
  <c r="D424" i="15"/>
  <c r="L423" i="15"/>
  <c r="J423" i="15"/>
  <c r="Q423" i="15" s="1"/>
  <c r="I423" i="15"/>
  <c r="H423" i="15"/>
  <c r="G423" i="15"/>
  <c r="D423" i="15"/>
  <c r="Q422" i="15"/>
  <c r="L422" i="15"/>
  <c r="J422" i="15"/>
  <c r="I422" i="15"/>
  <c r="H422" i="15"/>
  <c r="G422" i="15"/>
  <c r="D422" i="15"/>
  <c r="Q421" i="15"/>
  <c r="L421" i="15"/>
  <c r="H421" i="15"/>
  <c r="G421" i="15"/>
  <c r="D421" i="15"/>
  <c r="Q420" i="15"/>
  <c r="L420" i="15"/>
  <c r="J420" i="15"/>
  <c r="I420" i="15"/>
  <c r="H420" i="15"/>
  <c r="G420" i="15"/>
  <c r="D420" i="15"/>
  <c r="L419" i="15"/>
  <c r="J419" i="15"/>
  <c r="Q419" i="15" s="1"/>
  <c r="I419" i="15"/>
  <c r="H419" i="15"/>
  <c r="G419" i="15"/>
  <c r="D419" i="15"/>
  <c r="Q418" i="15"/>
  <c r="L418" i="15"/>
  <c r="J418" i="15"/>
  <c r="I418" i="15"/>
  <c r="H418" i="15"/>
  <c r="G418" i="15"/>
  <c r="D418" i="15"/>
  <c r="L417" i="15"/>
  <c r="J417" i="15"/>
  <c r="Q417" i="15" s="1"/>
  <c r="I417" i="15"/>
  <c r="H417" i="15"/>
  <c r="G417" i="15"/>
  <c r="D417" i="15"/>
  <c r="L416" i="15"/>
  <c r="J416" i="15"/>
  <c r="Q416" i="15" s="1"/>
  <c r="I416" i="15"/>
  <c r="H416" i="15"/>
  <c r="G416" i="15"/>
  <c r="D416" i="15"/>
  <c r="Q415" i="15"/>
  <c r="L415" i="15"/>
  <c r="J415" i="15"/>
  <c r="I415" i="15"/>
  <c r="H415" i="15"/>
  <c r="G415" i="15"/>
  <c r="D415" i="15"/>
  <c r="L414" i="15"/>
  <c r="J414" i="15"/>
  <c r="Q414" i="15" s="1"/>
  <c r="I414" i="15"/>
  <c r="H414" i="15"/>
  <c r="G414" i="15"/>
  <c r="D414" i="15"/>
  <c r="L413" i="15"/>
  <c r="J413" i="15"/>
  <c r="Q413" i="15" s="1"/>
  <c r="I413" i="15"/>
  <c r="H413" i="15"/>
  <c r="G413" i="15"/>
  <c r="D413" i="15"/>
  <c r="L412" i="15"/>
  <c r="J412" i="15"/>
  <c r="Q412" i="15" s="1"/>
  <c r="I412" i="15"/>
  <c r="H412" i="15"/>
  <c r="G412" i="15"/>
  <c r="D412" i="15"/>
  <c r="Q411" i="15"/>
  <c r="L411" i="15"/>
  <c r="J411" i="15"/>
  <c r="I411" i="15"/>
  <c r="H411" i="15"/>
  <c r="G411" i="15"/>
  <c r="D411" i="15"/>
  <c r="L410" i="15"/>
  <c r="J410" i="15"/>
  <c r="Q410" i="15" s="1"/>
  <c r="I410" i="15"/>
  <c r="H410" i="15"/>
  <c r="G410" i="15"/>
  <c r="D410" i="15"/>
  <c r="L409" i="15"/>
  <c r="J409" i="15"/>
  <c r="Q409" i="15" s="1"/>
  <c r="I409" i="15"/>
  <c r="H409" i="15"/>
  <c r="G409" i="15"/>
  <c r="D409" i="15"/>
  <c r="L408" i="15"/>
  <c r="J408" i="15"/>
  <c r="Q408" i="15" s="1"/>
  <c r="I408" i="15"/>
  <c r="H408" i="15"/>
  <c r="G408" i="15"/>
  <c r="D408" i="15"/>
  <c r="Q407" i="15"/>
  <c r="L407" i="15"/>
  <c r="J407" i="15"/>
  <c r="I407" i="15"/>
  <c r="H407" i="15"/>
  <c r="G407" i="15"/>
  <c r="D407" i="15"/>
  <c r="Q406" i="15"/>
  <c r="L406" i="15"/>
  <c r="J406" i="15"/>
  <c r="I406" i="15"/>
  <c r="H406" i="15"/>
  <c r="G406" i="15"/>
  <c r="D406" i="15"/>
  <c r="L405" i="15"/>
  <c r="J405" i="15"/>
  <c r="Q405" i="15" s="1"/>
  <c r="I405" i="15"/>
  <c r="H405" i="15"/>
  <c r="G405" i="15"/>
  <c r="D405" i="15"/>
  <c r="L404" i="15"/>
  <c r="J404" i="15"/>
  <c r="Q404" i="15" s="1"/>
  <c r="I404" i="15"/>
  <c r="H404" i="15"/>
  <c r="G404" i="15"/>
  <c r="D404" i="15"/>
  <c r="Q403" i="15"/>
  <c r="L403" i="15"/>
  <c r="J403" i="15"/>
  <c r="I403" i="15"/>
  <c r="H403" i="15"/>
  <c r="G403" i="15"/>
  <c r="D403" i="15"/>
  <c r="Q402" i="15"/>
  <c r="L402" i="15"/>
  <c r="J402" i="15"/>
  <c r="I402" i="15"/>
  <c r="H402" i="15"/>
  <c r="G402" i="15"/>
  <c r="D402" i="15"/>
  <c r="L401" i="15"/>
  <c r="J401" i="15"/>
  <c r="Q401" i="15" s="1"/>
  <c r="I401" i="15"/>
  <c r="H401" i="15"/>
  <c r="G401" i="15"/>
  <c r="D401" i="15"/>
  <c r="Q400" i="15"/>
  <c r="L400" i="15"/>
  <c r="J400" i="15"/>
  <c r="I400" i="15"/>
  <c r="H400" i="15"/>
  <c r="G400" i="15"/>
  <c r="D400" i="15"/>
  <c r="Q399" i="15"/>
  <c r="L399" i="15"/>
  <c r="J399" i="15"/>
  <c r="I399" i="15"/>
  <c r="H399" i="15"/>
  <c r="G399" i="15"/>
  <c r="D399" i="15"/>
  <c r="L398" i="15"/>
  <c r="J398" i="15"/>
  <c r="Q398" i="15" s="1"/>
  <c r="I398" i="15"/>
  <c r="H398" i="15"/>
  <c r="G398" i="15"/>
  <c r="D398" i="15"/>
  <c r="L397" i="15"/>
  <c r="J397" i="15"/>
  <c r="Q397" i="15" s="1"/>
  <c r="I397" i="15"/>
  <c r="H397" i="15"/>
  <c r="G397" i="15"/>
  <c r="D397" i="15"/>
  <c r="L396" i="15"/>
  <c r="J396" i="15"/>
  <c r="Q396" i="15" s="1"/>
  <c r="I396" i="15"/>
  <c r="H396" i="15"/>
  <c r="G396" i="15"/>
  <c r="D396" i="15"/>
  <c r="L395" i="15"/>
  <c r="J395" i="15"/>
  <c r="Q395" i="15" s="1"/>
  <c r="I395" i="15"/>
  <c r="H395" i="15"/>
  <c r="G395" i="15"/>
  <c r="D395" i="15"/>
  <c r="Q394" i="15"/>
  <c r="L394" i="15"/>
  <c r="J394" i="15"/>
  <c r="I394" i="15"/>
  <c r="H394" i="15"/>
  <c r="G394" i="15"/>
  <c r="D394" i="15"/>
  <c r="Q393" i="15"/>
  <c r="L393" i="15"/>
  <c r="J393" i="15"/>
  <c r="I393" i="15"/>
  <c r="H393" i="15"/>
  <c r="G393" i="15"/>
  <c r="D393" i="15"/>
  <c r="L392" i="15"/>
  <c r="J392" i="15"/>
  <c r="Q392" i="15" s="1"/>
  <c r="I392" i="15"/>
  <c r="H392" i="15"/>
  <c r="G392" i="15"/>
  <c r="D392" i="15"/>
  <c r="Q391" i="15"/>
  <c r="L391" i="15"/>
  <c r="J391" i="15"/>
  <c r="I391" i="15"/>
  <c r="H391" i="15"/>
  <c r="G391" i="15"/>
  <c r="D391" i="15"/>
  <c r="Q390" i="15"/>
  <c r="L390" i="15"/>
  <c r="J390" i="15"/>
  <c r="I390" i="15"/>
  <c r="H390" i="15"/>
  <c r="G390" i="15"/>
  <c r="D390" i="15"/>
  <c r="L389" i="15"/>
  <c r="J389" i="15"/>
  <c r="Q389" i="15" s="1"/>
  <c r="I389" i="15"/>
  <c r="H389" i="15"/>
  <c r="G389" i="15"/>
  <c r="D389" i="15"/>
  <c r="Q388" i="15"/>
  <c r="L388" i="15"/>
  <c r="H388" i="15"/>
  <c r="G388" i="15"/>
  <c r="D388" i="15"/>
  <c r="Q387" i="15"/>
  <c r="L387" i="15"/>
  <c r="H387" i="15"/>
  <c r="G387" i="15"/>
  <c r="D387" i="15"/>
  <c r="Q386" i="15"/>
  <c r="L386" i="15"/>
  <c r="J386" i="15"/>
  <c r="I386" i="15"/>
  <c r="H386" i="15"/>
  <c r="G386" i="15"/>
  <c r="D386" i="15"/>
  <c r="L385" i="15"/>
  <c r="J385" i="15"/>
  <c r="Q385" i="15" s="1"/>
  <c r="I385" i="15"/>
  <c r="H385" i="15"/>
  <c r="G385" i="15"/>
  <c r="D385" i="15"/>
  <c r="Q384" i="15"/>
  <c r="L384" i="15"/>
  <c r="J384" i="15"/>
  <c r="I384" i="15"/>
  <c r="H384" i="15"/>
  <c r="G384" i="15"/>
  <c r="D384" i="15"/>
  <c r="Q383" i="15"/>
  <c r="L383" i="15"/>
  <c r="J383" i="15"/>
  <c r="I383" i="15"/>
  <c r="H383" i="15"/>
  <c r="G383" i="15"/>
  <c r="D383" i="15"/>
  <c r="L382" i="15"/>
  <c r="J382" i="15"/>
  <c r="Q382" i="15" s="1"/>
  <c r="I382" i="15"/>
  <c r="H382" i="15"/>
  <c r="G382" i="15"/>
  <c r="D382" i="15"/>
  <c r="L381" i="15"/>
  <c r="J381" i="15"/>
  <c r="Q381" i="15" s="1"/>
  <c r="I381" i="15"/>
  <c r="H381" i="15"/>
  <c r="G381" i="15"/>
  <c r="D381" i="15"/>
  <c r="Q380" i="15"/>
  <c r="L380" i="15"/>
  <c r="J380" i="15"/>
  <c r="I380" i="15"/>
  <c r="H380" i="15"/>
  <c r="G380" i="15"/>
  <c r="D380" i="15"/>
  <c r="Q379" i="15"/>
  <c r="L379" i="15"/>
  <c r="H379" i="15"/>
  <c r="G379" i="15"/>
  <c r="D379" i="15"/>
  <c r="Q378" i="15"/>
  <c r="L378" i="15"/>
  <c r="H378" i="15"/>
  <c r="G378" i="15"/>
  <c r="D378" i="15"/>
  <c r="L377" i="15"/>
  <c r="J377" i="15"/>
  <c r="Q377" i="15" s="1"/>
  <c r="I377" i="15"/>
  <c r="H377" i="15"/>
  <c r="G377" i="15"/>
  <c r="D377" i="15"/>
  <c r="L376" i="15"/>
  <c r="J376" i="15"/>
  <c r="Q376" i="15" s="1"/>
  <c r="I376" i="15"/>
  <c r="H376" i="15"/>
  <c r="G376" i="15"/>
  <c r="D376" i="15"/>
  <c r="L375" i="15"/>
  <c r="J375" i="15"/>
  <c r="Q375" i="15" s="1"/>
  <c r="I375" i="15"/>
  <c r="H375" i="15"/>
  <c r="G375" i="15"/>
  <c r="D375" i="15"/>
  <c r="Q374" i="15"/>
  <c r="L374" i="15"/>
  <c r="J374" i="15"/>
  <c r="I374" i="15"/>
  <c r="H374" i="15"/>
  <c r="G374" i="15"/>
  <c r="D374" i="15"/>
  <c r="Q373" i="15"/>
  <c r="L373" i="15"/>
  <c r="J373" i="15"/>
  <c r="I373" i="15"/>
  <c r="H373" i="15"/>
  <c r="G373" i="15"/>
  <c r="D373" i="15"/>
  <c r="L372" i="15"/>
  <c r="J372" i="15"/>
  <c r="Q372" i="15" s="1"/>
  <c r="I372" i="15"/>
  <c r="H372" i="15"/>
  <c r="G372" i="15"/>
  <c r="D372" i="15"/>
  <c r="Q371" i="15"/>
  <c r="L371" i="15"/>
  <c r="J371" i="15"/>
  <c r="I371" i="15"/>
  <c r="H371" i="15"/>
  <c r="G371" i="15"/>
  <c r="D371" i="15"/>
  <c r="L370" i="15"/>
  <c r="J370" i="15"/>
  <c r="Q370" i="15" s="1"/>
  <c r="I370" i="15"/>
  <c r="H370" i="15"/>
  <c r="G370" i="15"/>
  <c r="D370" i="15"/>
  <c r="L369" i="15"/>
  <c r="J369" i="15"/>
  <c r="Q369" i="15" s="1"/>
  <c r="I369" i="15"/>
  <c r="H369" i="15"/>
  <c r="G369" i="15"/>
  <c r="D369" i="15"/>
  <c r="L368" i="15"/>
  <c r="J368" i="15"/>
  <c r="Q368" i="15" s="1"/>
  <c r="I368" i="15"/>
  <c r="H368" i="15"/>
  <c r="G368" i="15"/>
  <c r="D368" i="15"/>
  <c r="Q367" i="15"/>
  <c r="L367" i="15"/>
  <c r="J367" i="15"/>
  <c r="I367" i="15"/>
  <c r="H367" i="15"/>
  <c r="G367" i="15"/>
  <c r="D367" i="15"/>
  <c r="L366" i="15"/>
  <c r="J366" i="15"/>
  <c r="Q366" i="15" s="1"/>
  <c r="I366" i="15"/>
  <c r="H366" i="15"/>
  <c r="G366" i="15"/>
  <c r="D366" i="15"/>
  <c r="L365" i="15"/>
  <c r="J365" i="15"/>
  <c r="Q365" i="15" s="1"/>
  <c r="I365" i="15"/>
  <c r="H365" i="15"/>
  <c r="G365" i="15"/>
  <c r="D365" i="15"/>
  <c r="L364" i="15"/>
  <c r="J364" i="15"/>
  <c r="Q364" i="15" s="1"/>
  <c r="I364" i="15"/>
  <c r="H364" i="15"/>
  <c r="G364" i="15"/>
  <c r="D364" i="15"/>
  <c r="Q363" i="15"/>
  <c r="L363" i="15"/>
  <c r="H363" i="15"/>
  <c r="G363" i="15"/>
  <c r="D363" i="15"/>
  <c r="L362" i="15"/>
  <c r="J362" i="15"/>
  <c r="Q362" i="15" s="1"/>
  <c r="I362" i="15"/>
  <c r="H362" i="15"/>
  <c r="G362" i="15"/>
  <c r="D362" i="15"/>
  <c r="L361" i="15"/>
  <c r="J361" i="15"/>
  <c r="Q361" i="15" s="1"/>
  <c r="I361" i="15"/>
  <c r="H361" i="15"/>
  <c r="G361" i="15"/>
  <c r="D361" i="15"/>
  <c r="Q360" i="15"/>
  <c r="L360" i="15"/>
  <c r="J360" i="15"/>
  <c r="I360" i="15"/>
  <c r="H360" i="15"/>
  <c r="G360" i="15"/>
  <c r="D360" i="15"/>
  <c r="L359" i="15"/>
  <c r="J359" i="15"/>
  <c r="Q359" i="15" s="1"/>
  <c r="I359" i="15"/>
  <c r="H359" i="15"/>
  <c r="G359" i="15"/>
  <c r="D359" i="15"/>
  <c r="L358" i="15"/>
  <c r="J358" i="15"/>
  <c r="Q358" i="15" s="1"/>
  <c r="I358" i="15"/>
  <c r="H358" i="15"/>
  <c r="G358" i="15"/>
  <c r="D358" i="15"/>
  <c r="Q357" i="15"/>
  <c r="L357" i="15"/>
  <c r="J357" i="15"/>
  <c r="I357" i="15"/>
  <c r="H357" i="15"/>
  <c r="G357" i="15"/>
  <c r="D357" i="15"/>
  <c r="Q356" i="15"/>
  <c r="L356" i="15"/>
  <c r="H356" i="15"/>
  <c r="G356" i="15"/>
  <c r="D356" i="15"/>
  <c r="Q355" i="15"/>
  <c r="L355" i="15"/>
  <c r="J355" i="15"/>
  <c r="I355" i="15"/>
  <c r="H355" i="15"/>
  <c r="G355" i="15"/>
  <c r="D355" i="15"/>
  <c r="Q354" i="15"/>
  <c r="L354" i="15"/>
  <c r="J354" i="15"/>
  <c r="I354" i="15"/>
  <c r="H354" i="15"/>
  <c r="G354" i="15"/>
  <c r="D354" i="15"/>
  <c r="L353" i="15"/>
  <c r="J353" i="15"/>
  <c r="Q353" i="15" s="1"/>
  <c r="I353" i="15"/>
  <c r="H353" i="15"/>
  <c r="G353" i="15"/>
  <c r="D353" i="15"/>
  <c r="Q352" i="15"/>
  <c r="L352" i="15"/>
  <c r="J352" i="15"/>
  <c r="I352" i="15"/>
  <c r="H352" i="15"/>
  <c r="G352" i="15"/>
  <c r="D352" i="15"/>
  <c r="Q351" i="15"/>
  <c r="L351" i="15"/>
  <c r="J351" i="15"/>
  <c r="I351" i="15"/>
  <c r="H351" i="15"/>
  <c r="G351" i="15"/>
  <c r="D351" i="15"/>
  <c r="L350" i="15"/>
  <c r="J350" i="15"/>
  <c r="Q350" i="15" s="1"/>
  <c r="I350" i="15"/>
  <c r="H350" i="15"/>
  <c r="G350" i="15"/>
  <c r="D350" i="15"/>
  <c r="L349" i="15"/>
  <c r="J349" i="15"/>
  <c r="Q349" i="15" s="1"/>
  <c r="I349" i="15"/>
  <c r="H349" i="15"/>
  <c r="G349" i="15"/>
  <c r="D349" i="15"/>
  <c r="Q348" i="15"/>
  <c r="L348" i="15"/>
  <c r="H348" i="15"/>
  <c r="G348" i="15"/>
  <c r="D348" i="15"/>
  <c r="Q347" i="15"/>
  <c r="L347" i="15"/>
  <c r="H347" i="15"/>
  <c r="G347" i="15"/>
  <c r="D347" i="15"/>
  <c r="L346" i="15"/>
  <c r="J346" i="15"/>
  <c r="Q346" i="15" s="1"/>
  <c r="I346" i="15"/>
  <c r="H346" i="15"/>
  <c r="G346" i="15"/>
  <c r="D346" i="15"/>
  <c r="L345" i="15"/>
  <c r="J345" i="15"/>
  <c r="Q345" i="15" s="1"/>
  <c r="I345" i="15"/>
  <c r="H345" i="15"/>
  <c r="G345" i="15"/>
  <c r="D345" i="15"/>
  <c r="L344" i="15"/>
  <c r="J344" i="15"/>
  <c r="Q344" i="15" s="1"/>
  <c r="I344" i="15"/>
  <c r="H344" i="15"/>
  <c r="G344" i="15"/>
  <c r="D344" i="15"/>
  <c r="Q343" i="15"/>
  <c r="L343" i="15"/>
  <c r="H343" i="15"/>
  <c r="G343" i="15"/>
  <c r="D343" i="15"/>
  <c r="L342" i="15"/>
  <c r="J342" i="15"/>
  <c r="Q342" i="15" s="1"/>
  <c r="I342" i="15"/>
  <c r="H342" i="15"/>
  <c r="G342" i="15"/>
  <c r="D342" i="15"/>
  <c r="L341" i="15"/>
  <c r="J341" i="15"/>
  <c r="Q341" i="15" s="1"/>
  <c r="I341" i="15"/>
  <c r="H341" i="15"/>
  <c r="G341" i="15"/>
  <c r="D341" i="15"/>
  <c r="Q340" i="15"/>
  <c r="L340" i="15"/>
  <c r="J340" i="15"/>
  <c r="I340" i="15"/>
  <c r="H340" i="15"/>
  <c r="G340" i="15"/>
  <c r="D340" i="15"/>
  <c r="Q339" i="15"/>
  <c r="L339" i="15"/>
  <c r="J339" i="15"/>
  <c r="I339" i="15"/>
  <c r="H339" i="15"/>
  <c r="G339" i="15"/>
  <c r="D339" i="15"/>
  <c r="L338" i="15"/>
  <c r="J338" i="15"/>
  <c r="Q338" i="15" s="1"/>
  <c r="I338" i="15"/>
  <c r="H338" i="15"/>
  <c r="G338" i="15"/>
  <c r="D338" i="15"/>
  <c r="Q337" i="15"/>
  <c r="L337" i="15"/>
  <c r="H337" i="15"/>
  <c r="G337" i="15"/>
  <c r="D337" i="15"/>
  <c r="Q336" i="15"/>
  <c r="L336" i="15"/>
  <c r="H336" i="15"/>
  <c r="G336" i="15"/>
  <c r="D336" i="15"/>
  <c r="Q335" i="15"/>
  <c r="L335" i="15"/>
  <c r="J335" i="15"/>
  <c r="I335" i="15"/>
  <c r="H335" i="15"/>
  <c r="G335" i="15"/>
  <c r="D335" i="15"/>
  <c r="L334" i="15"/>
  <c r="J334" i="15"/>
  <c r="Q334" i="15" s="1"/>
  <c r="I334" i="15"/>
  <c r="H334" i="15"/>
  <c r="G334" i="15"/>
  <c r="D334" i="15"/>
  <c r="Q333" i="15"/>
  <c r="L333" i="15"/>
  <c r="J333" i="15"/>
  <c r="I333" i="15"/>
  <c r="H333" i="15"/>
  <c r="G333" i="15"/>
  <c r="D333" i="15"/>
  <c r="Q332" i="15"/>
  <c r="L332" i="15"/>
  <c r="J332" i="15"/>
  <c r="I332" i="15"/>
  <c r="H332" i="15"/>
  <c r="G332" i="15"/>
  <c r="D332" i="15"/>
  <c r="Q331" i="15"/>
  <c r="L331" i="15"/>
  <c r="H331" i="15"/>
  <c r="G331" i="15"/>
  <c r="D331" i="15"/>
  <c r="Q330" i="15"/>
  <c r="L330" i="15"/>
  <c r="H330" i="15"/>
  <c r="G330" i="15"/>
  <c r="D330" i="15"/>
  <c r="Q329" i="15"/>
  <c r="L329" i="15"/>
  <c r="J329" i="15"/>
  <c r="I329" i="15"/>
  <c r="H329" i="15"/>
  <c r="G329" i="15"/>
  <c r="D329" i="15"/>
  <c r="Q328" i="15"/>
  <c r="L328" i="15"/>
  <c r="J328" i="15"/>
  <c r="I328" i="15"/>
  <c r="H328" i="15"/>
  <c r="G328" i="15"/>
  <c r="D328" i="15"/>
  <c r="L327" i="15"/>
  <c r="J327" i="15"/>
  <c r="Q327" i="15" s="1"/>
  <c r="I327" i="15"/>
  <c r="H327" i="15"/>
  <c r="G327" i="15"/>
  <c r="D327" i="15"/>
  <c r="L326" i="15"/>
  <c r="J326" i="15"/>
  <c r="Q326" i="15" s="1"/>
  <c r="I326" i="15"/>
  <c r="H326" i="15"/>
  <c r="G326" i="15"/>
  <c r="D326" i="15"/>
  <c r="Q325" i="15"/>
  <c r="L325" i="15"/>
  <c r="J325" i="15"/>
  <c r="I325" i="15"/>
  <c r="H325" i="15"/>
  <c r="G325" i="15"/>
  <c r="D325" i="15"/>
  <c r="L324" i="15"/>
  <c r="J324" i="15"/>
  <c r="Q324" i="15" s="1"/>
  <c r="I324" i="15"/>
  <c r="H324" i="15"/>
  <c r="G324" i="15"/>
  <c r="D324" i="15"/>
  <c r="L323" i="15"/>
  <c r="J323" i="15"/>
  <c r="Q323" i="15" s="1"/>
  <c r="I323" i="15"/>
  <c r="H323" i="15"/>
  <c r="G323" i="15"/>
  <c r="D323" i="15"/>
  <c r="Q322" i="15"/>
  <c r="L322" i="15"/>
  <c r="J322" i="15"/>
  <c r="I322" i="15"/>
  <c r="H322" i="15"/>
  <c r="G322" i="15"/>
  <c r="D322" i="15"/>
  <c r="L321" i="15"/>
  <c r="J321" i="15"/>
  <c r="Q321" i="15" s="1"/>
  <c r="I321" i="15"/>
  <c r="H321" i="15"/>
  <c r="G321" i="15"/>
  <c r="D321" i="15"/>
  <c r="Q320" i="15"/>
  <c r="L320" i="15"/>
  <c r="J320" i="15"/>
  <c r="I320" i="15"/>
  <c r="H320" i="15"/>
  <c r="G320" i="15"/>
  <c r="D320" i="15"/>
  <c r="Q319" i="15"/>
  <c r="L319" i="15"/>
  <c r="J319" i="15"/>
  <c r="I319" i="15"/>
  <c r="H319" i="15"/>
  <c r="G319" i="15"/>
  <c r="D319" i="15"/>
  <c r="L318" i="15"/>
  <c r="J318" i="15"/>
  <c r="Q318" i="15" s="1"/>
  <c r="I318" i="15"/>
  <c r="H318" i="15"/>
  <c r="G318" i="15"/>
  <c r="D318" i="15"/>
  <c r="Q317" i="15"/>
  <c r="L317" i="15"/>
  <c r="J317" i="15"/>
  <c r="I317" i="15"/>
  <c r="H317" i="15"/>
  <c r="G317" i="15"/>
  <c r="D317" i="15"/>
  <c r="L316" i="15"/>
  <c r="J316" i="15"/>
  <c r="Q316" i="15" s="1"/>
  <c r="I316" i="15"/>
  <c r="H316" i="15"/>
  <c r="G316" i="15"/>
  <c r="D316" i="15"/>
  <c r="Q315" i="15"/>
  <c r="L315" i="15"/>
  <c r="H315" i="15"/>
  <c r="G315" i="15"/>
  <c r="D315" i="15"/>
  <c r="L314" i="15"/>
  <c r="J314" i="15"/>
  <c r="Q314" i="15" s="1"/>
  <c r="I314" i="15"/>
  <c r="H314" i="15"/>
  <c r="G314" i="15"/>
  <c r="D314" i="15"/>
  <c r="L313" i="15"/>
  <c r="J313" i="15"/>
  <c r="Q313" i="15" s="1"/>
  <c r="I313" i="15"/>
  <c r="H313" i="15"/>
  <c r="G313" i="15"/>
  <c r="D313" i="15"/>
  <c r="L312" i="15"/>
  <c r="J312" i="15"/>
  <c r="Q312" i="15" s="1"/>
  <c r="I312" i="15"/>
  <c r="H312" i="15"/>
  <c r="G312" i="15"/>
  <c r="D312" i="15"/>
  <c r="Q311" i="15"/>
  <c r="L311" i="15"/>
  <c r="J311" i="15"/>
  <c r="I311" i="15"/>
  <c r="H311" i="15"/>
  <c r="G311" i="15"/>
  <c r="D311" i="15"/>
  <c r="L310" i="15"/>
  <c r="J310" i="15"/>
  <c r="Q310" i="15" s="1"/>
  <c r="I310" i="15"/>
  <c r="H310" i="15"/>
  <c r="G310" i="15"/>
  <c r="D310" i="15"/>
  <c r="L309" i="15"/>
  <c r="J309" i="15"/>
  <c r="Q309" i="15" s="1"/>
  <c r="I309" i="15"/>
  <c r="H309" i="15"/>
  <c r="G309" i="15"/>
  <c r="D309" i="15"/>
  <c r="Q308" i="15"/>
  <c r="L308" i="15"/>
  <c r="J308" i="15"/>
  <c r="I308" i="15"/>
  <c r="H308" i="15"/>
  <c r="G308" i="15"/>
  <c r="D308" i="15"/>
  <c r="L307" i="15"/>
  <c r="J307" i="15"/>
  <c r="Q307" i="15" s="1"/>
  <c r="I307" i="15"/>
  <c r="H307" i="15"/>
  <c r="G307" i="15"/>
  <c r="D307" i="15"/>
  <c r="Q306" i="15"/>
  <c r="L306" i="15"/>
  <c r="J306" i="15"/>
  <c r="I306" i="15"/>
  <c r="H306" i="15"/>
  <c r="G306" i="15"/>
  <c r="D306" i="15"/>
  <c r="L305" i="15"/>
  <c r="J305" i="15"/>
  <c r="Q305" i="15" s="1"/>
  <c r="I305" i="15"/>
  <c r="H305" i="15"/>
  <c r="G305" i="15"/>
  <c r="D305" i="15"/>
  <c r="L304" i="15"/>
  <c r="J304" i="15"/>
  <c r="Q304" i="15" s="1"/>
  <c r="I304" i="15"/>
  <c r="H304" i="15"/>
  <c r="G304" i="15"/>
  <c r="D304" i="15"/>
  <c r="Q303" i="15"/>
  <c r="L303" i="15"/>
  <c r="J303" i="15"/>
  <c r="I303" i="15"/>
  <c r="H303" i="15"/>
  <c r="G303" i="15"/>
  <c r="D303" i="15"/>
  <c r="Q302" i="15"/>
  <c r="L302" i="15"/>
  <c r="J302" i="15"/>
  <c r="I302" i="15"/>
  <c r="H302" i="15"/>
  <c r="G302" i="15"/>
  <c r="D302" i="15"/>
  <c r="L301" i="15"/>
  <c r="J301" i="15"/>
  <c r="Q301" i="15" s="1"/>
  <c r="I301" i="15"/>
  <c r="H301" i="15"/>
  <c r="G301" i="15"/>
  <c r="D301" i="15"/>
  <c r="L300" i="15"/>
  <c r="J300" i="15"/>
  <c r="Q300" i="15" s="1"/>
  <c r="I300" i="15"/>
  <c r="H300" i="15"/>
  <c r="G300" i="15"/>
  <c r="D300" i="15"/>
  <c r="Q299" i="15"/>
  <c r="L299" i="15"/>
  <c r="J299" i="15"/>
  <c r="I299" i="15"/>
  <c r="H299" i="15"/>
  <c r="G299" i="15"/>
  <c r="D299" i="15"/>
  <c r="L298" i="15"/>
  <c r="J298" i="15"/>
  <c r="Q298" i="15" s="1"/>
  <c r="I298" i="15"/>
  <c r="H298" i="15"/>
  <c r="G298" i="15"/>
  <c r="D298" i="15"/>
  <c r="Q297" i="15"/>
  <c r="L297" i="15"/>
  <c r="H297" i="15"/>
  <c r="G297" i="15"/>
  <c r="D297" i="15"/>
  <c r="Q296" i="15"/>
  <c r="L296" i="15"/>
  <c r="H296" i="15"/>
  <c r="G296" i="15"/>
  <c r="D296" i="15"/>
  <c r="Q295" i="15"/>
  <c r="L295" i="15"/>
  <c r="J295" i="15"/>
  <c r="I295" i="15"/>
  <c r="H295" i="15"/>
  <c r="G295" i="15"/>
  <c r="D295" i="15"/>
  <c r="L294" i="15"/>
  <c r="J294" i="15"/>
  <c r="Q294" i="15" s="1"/>
  <c r="I294" i="15"/>
  <c r="H294" i="15"/>
  <c r="G294" i="15"/>
  <c r="D294" i="15"/>
  <c r="L293" i="15"/>
  <c r="J293" i="15"/>
  <c r="Q293" i="15" s="1"/>
  <c r="I293" i="15"/>
  <c r="H293" i="15"/>
  <c r="G293" i="15"/>
  <c r="D293" i="15"/>
  <c r="L292" i="15"/>
  <c r="J292" i="15"/>
  <c r="Q292" i="15" s="1"/>
  <c r="I292" i="15"/>
  <c r="H292" i="15"/>
  <c r="G292" i="15"/>
  <c r="D292" i="15"/>
  <c r="Q291" i="15"/>
  <c r="L291" i="15"/>
  <c r="H291" i="15"/>
  <c r="G291" i="15"/>
  <c r="D291" i="15"/>
  <c r="L290" i="15"/>
  <c r="J290" i="15"/>
  <c r="Q290" i="15" s="1"/>
  <c r="I290" i="15"/>
  <c r="H290" i="15"/>
  <c r="G290" i="15"/>
  <c r="D290" i="15"/>
  <c r="Q289" i="15"/>
  <c r="L289" i="15"/>
  <c r="J289" i="15"/>
  <c r="I289" i="15"/>
  <c r="H289" i="15"/>
  <c r="G289" i="15"/>
  <c r="D289" i="15"/>
  <c r="Q288" i="15"/>
  <c r="L288" i="15"/>
  <c r="J288" i="15"/>
  <c r="I288" i="15"/>
  <c r="H288" i="15"/>
  <c r="G288" i="15"/>
  <c r="D288" i="15"/>
  <c r="L287" i="15"/>
  <c r="J287" i="15"/>
  <c r="Q287" i="15" s="1"/>
  <c r="I287" i="15"/>
  <c r="H287" i="15"/>
  <c r="G287" i="15"/>
  <c r="D287" i="15"/>
  <c r="L286" i="15"/>
  <c r="J286" i="15"/>
  <c r="Q286" i="15" s="1"/>
  <c r="I286" i="15"/>
  <c r="H286" i="15"/>
  <c r="G286" i="15"/>
  <c r="D286" i="15"/>
  <c r="Q285" i="15"/>
  <c r="L285" i="15"/>
  <c r="J285" i="15"/>
  <c r="I285" i="15"/>
  <c r="H285" i="15"/>
  <c r="G285" i="15"/>
  <c r="D285" i="15"/>
  <c r="L284" i="15"/>
  <c r="J284" i="15"/>
  <c r="Q284" i="15" s="1"/>
  <c r="I284" i="15"/>
  <c r="H284" i="15"/>
  <c r="G284" i="15"/>
  <c r="D284" i="15"/>
  <c r="L283" i="15"/>
  <c r="J283" i="15"/>
  <c r="Q283" i="15" s="1"/>
  <c r="I283" i="15"/>
  <c r="H283" i="15"/>
  <c r="G283" i="15"/>
  <c r="D283" i="15"/>
  <c r="Q282" i="15"/>
  <c r="L282" i="15"/>
  <c r="J282" i="15"/>
  <c r="I282" i="15"/>
  <c r="H282" i="15"/>
  <c r="G282" i="15"/>
  <c r="D282" i="15"/>
  <c r="Q281" i="15"/>
  <c r="L281" i="15"/>
  <c r="J281" i="15"/>
  <c r="I281" i="15"/>
  <c r="H281" i="15"/>
  <c r="G281" i="15"/>
  <c r="D281" i="15"/>
  <c r="Q280" i="15"/>
  <c r="L280" i="15"/>
  <c r="J280" i="15"/>
  <c r="I280" i="15"/>
  <c r="H280" i="15"/>
  <c r="G280" i="15"/>
  <c r="D280" i="15"/>
  <c r="L279" i="15"/>
  <c r="J279" i="15"/>
  <c r="Q279" i="15" s="1"/>
  <c r="I279" i="15"/>
  <c r="H279" i="15"/>
  <c r="G279" i="15"/>
  <c r="D279" i="15"/>
  <c r="L278" i="15"/>
  <c r="J278" i="15"/>
  <c r="Q278" i="15" s="1"/>
  <c r="I278" i="15"/>
  <c r="H278" i="15"/>
  <c r="G278" i="15"/>
  <c r="D278" i="15"/>
  <c r="L277" i="15"/>
  <c r="J277" i="15"/>
  <c r="Q277" i="15" s="1"/>
  <c r="I277" i="15"/>
  <c r="H277" i="15"/>
  <c r="G277" i="15"/>
  <c r="D277" i="15"/>
  <c r="Q276" i="15"/>
  <c r="L276" i="15"/>
  <c r="J276" i="15"/>
  <c r="I276" i="15"/>
  <c r="H276" i="15"/>
  <c r="G276" i="15"/>
  <c r="D276" i="15"/>
  <c r="Q275" i="15"/>
  <c r="L275" i="15"/>
  <c r="J275" i="15"/>
  <c r="I275" i="15"/>
  <c r="H275" i="15"/>
  <c r="G275" i="15"/>
  <c r="D275" i="15"/>
  <c r="L274" i="15"/>
  <c r="J274" i="15"/>
  <c r="Q274" i="15" s="1"/>
  <c r="I274" i="15"/>
  <c r="H274" i="15"/>
  <c r="G274" i="15"/>
  <c r="D274" i="15"/>
  <c r="Q273" i="15"/>
  <c r="L273" i="15"/>
  <c r="J273" i="15"/>
  <c r="I273" i="15"/>
  <c r="H273" i="15"/>
  <c r="G273" i="15"/>
  <c r="D273" i="15"/>
  <c r="Q272" i="15"/>
  <c r="L272" i="15"/>
  <c r="J272" i="15"/>
  <c r="I272" i="15"/>
  <c r="H272" i="15"/>
  <c r="G272" i="15"/>
  <c r="D272" i="15"/>
  <c r="L271" i="15"/>
  <c r="J271" i="15"/>
  <c r="Q271" i="15" s="1"/>
  <c r="I271" i="15"/>
  <c r="H271" i="15"/>
  <c r="G271" i="15"/>
  <c r="D271" i="15"/>
  <c r="Q270" i="15"/>
  <c r="L270" i="15"/>
  <c r="J270" i="15"/>
  <c r="I270" i="15"/>
  <c r="H270" i="15"/>
  <c r="G270" i="15"/>
  <c r="D270" i="15"/>
  <c r="Q269" i="15"/>
  <c r="L269" i="15"/>
  <c r="J269" i="15"/>
  <c r="I269" i="15"/>
  <c r="H269" i="15"/>
  <c r="G269" i="15"/>
  <c r="D269" i="15"/>
  <c r="L268" i="15"/>
  <c r="J268" i="15"/>
  <c r="Q268" i="15" s="1"/>
  <c r="I268" i="15"/>
  <c r="H268" i="15"/>
  <c r="G268" i="15"/>
  <c r="D268" i="15"/>
  <c r="L267" i="15"/>
  <c r="J267" i="15"/>
  <c r="Q267" i="15" s="1"/>
  <c r="I267" i="15"/>
  <c r="H267" i="15"/>
  <c r="G267" i="15"/>
  <c r="D267" i="15"/>
  <c r="Q266" i="15"/>
  <c r="L266" i="15"/>
  <c r="J266" i="15"/>
  <c r="I266" i="15"/>
  <c r="H266" i="15"/>
  <c r="G266" i="15"/>
  <c r="D266" i="15"/>
  <c r="L265" i="15"/>
  <c r="J265" i="15"/>
  <c r="Q265" i="15" s="1"/>
  <c r="I265" i="15"/>
  <c r="H265" i="15"/>
  <c r="G265" i="15"/>
  <c r="D265" i="15"/>
  <c r="Q264" i="15"/>
  <c r="L264" i="15"/>
  <c r="J264" i="15"/>
  <c r="I264" i="15"/>
  <c r="H264" i="15"/>
  <c r="G264" i="15"/>
  <c r="D264" i="15"/>
  <c r="Q263" i="15"/>
  <c r="L263" i="15"/>
  <c r="J263" i="15"/>
  <c r="I263" i="15"/>
  <c r="H263" i="15"/>
  <c r="G263" i="15"/>
  <c r="D263" i="15"/>
  <c r="L262" i="15"/>
  <c r="J262" i="15"/>
  <c r="Q262" i="15" s="1"/>
  <c r="I262" i="15"/>
  <c r="H262" i="15"/>
  <c r="G262" i="15"/>
  <c r="D262" i="15"/>
  <c r="Q261" i="15"/>
  <c r="L261" i="15"/>
  <c r="J261" i="15"/>
  <c r="I261" i="15"/>
  <c r="H261" i="15"/>
  <c r="G261" i="15"/>
  <c r="D261" i="15"/>
  <c r="L260" i="15"/>
  <c r="J260" i="15"/>
  <c r="Q260" i="15" s="1"/>
  <c r="I260" i="15"/>
  <c r="H260" i="15"/>
  <c r="G260" i="15"/>
  <c r="D260" i="15"/>
  <c r="L259" i="15"/>
  <c r="J259" i="15"/>
  <c r="Q259" i="15" s="1"/>
  <c r="I259" i="15"/>
  <c r="H259" i="15"/>
  <c r="G259" i="15"/>
  <c r="D259" i="15"/>
  <c r="L258" i="15"/>
  <c r="J258" i="15"/>
  <c r="Q258" i="15" s="1"/>
  <c r="I258" i="15"/>
  <c r="H258" i="15"/>
  <c r="G258" i="15"/>
  <c r="D258" i="15"/>
  <c r="Q257" i="15"/>
  <c r="L257" i="15"/>
  <c r="J257" i="15"/>
  <c r="I257" i="15"/>
  <c r="H257" i="15"/>
  <c r="G257" i="15"/>
  <c r="D257" i="15"/>
  <c r="L256" i="15"/>
  <c r="J256" i="15"/>
  <c r="Q256" i="15" s="1"/>
  <c r="I256" i="15"/>
  <c r="H256" i="15"/>
  <c r="G256" i="15"/>
  <c r="D256" i="15"/>
  <c r="L255" i="15"/>
  <c r="J255" i="15"/>
  <c r="Q255" i="15" s="1"/>
  <c r="I255" i="15"/>
  <c r="H255" i="15"/>
  <c r="G255" i="15"/>
  <c r="D255" i="15"/>
  <c r="Q254" i="15"/>
  <c r="L254" i="15"/>
  <c r="J254" i="15"/>
  <c r="I254" i="15"/>
  <c r="H254" i="15"/>
  <c r="G254" i="15"/>
  <c r="D254" i="15"/>
  <c r="L253" i="15"/>
  <c r="J253" i="15"/>
  <c r="Q253" i="15" s="1"/>
  <c r="I253" i="15"/>
  <c r="H253" i="15"/>
  <c r="G253" i="15"/>
  <c r="D253" i="15"/>
  <c r="Q252" i="15"/>
  <c r="L252" i="15"/>
  <c r="J252" i="15"/>
  <c r="I252" i="15"/>
  <c r="H252" i="15"/>
  <c r="G252" i="15"/>
  <c r="D252" i="15"/>
  <c r="L251" i="15"/>
  <c r="J251" i="15"/>
  <c r="Q251" i="15" s="1"/>
  <c r="I251" i="15"/>
  <c r="H251" i="15"/>
  <c r="G251" i="15"/>
  <c r="D251" i="15"/>
  <c r="L250" i="15"/>
  <c r="J250" i="15"/>
  <c r="Q250" i="15" s="1"/>
  <c r="I250" i="15"/>
  <c r="H250" i="15"/>
  <c r="G250" i="15"/>
  <c r="D250" i="15"/>
  <c r="Q249" i="15"/>
  <c r="L249" i="15"/>
  <c r="J249" i="15"/>
  <c r="I249" i="15"/>
  <c r="H249" i="15"/>
  <c r="G249" i="15"/>
  <c r="D249" i="15"/>
  <c r="Q248" i="15"/>
  <c r="L248" i="15"/>
  <c r="J248" i="15"/>
  <c r="I248" i="15"/>
  <c r="H248" i="15"/>
  <c r="G248" i="15"/>
  <c r="D248" i="15"/>
  <c r="L247" i="15"/>
  <c r="J247" i="15"/>
  <c r="Q247" i="15" s="1"/>
  <c r="I247" i="15"/>
  <c r="H247" i="15"/>
  <c r="G247" i="15"/>
  <c r="D247" i="15"/>
  <c r="L246" i="15"/>
  <c r="J246" i="15"/>
  <c r="Q246" i="15" s="1"/>
  <c r="I246" i="15"/>
  <c r="H246" i="15"/>
  <c r="G246" i="15"/>
  <c r="D246" i="15"/>
  <c r="Q245" i="15"/>
  <c r="L245" i="15"/>
  <c r="J245" i="15"/>
  <c r="I245" i="15"/>
  <c r="H245" i="15"/>
  <c r="G245" i="15"/>
  <c r="D245" i="15"/>
  <c r="L244" i="15"/>
  <c r="J244" i="15"/>
  <c r="Q244" i="15" s="1"/>
  <c r="I244" i="15"/>
  <c r="H244" i="15"/>
  <c r="G244" i="15"/>
  <c r="D244" i="15"/>
  <c r="L243" i="15"/>
  <c r="J243" i="15"/>
  <c r="Q243" i="15" s="1"/>
  <c r="I243" i="15"/>
  <c r="H243" i="15"/>
  <c r="G243" i="15"/>
  <c r="D243" i="15"/>
  <c r="L242" i="15"/>
  <c r="J242" i="15"/>
  <c r="Q242" i="15" s="1"/>
  <c r="I242" i="15"/>
  <c r="H242" i="15"/>
  <c r="G242" i="15"/>
  <c r="D242" i="15"/>
  <c r="Q241" i="15"/>
  <c r="L241" i="15"/>
  <c r="J241" i="15"/>
  <c r="I241" i="15"/>
  <c r="H241" i="15"/>
  <c r="G241" i="15"/>
  <c r="D241" i="15"/>
  <c r="Q240" i="15"/>
  <c r="L240" i="15"/>
  <c r="J240" i="15"/>
  <c r="I240" i="15"/>
  <c r="H240" i="15"/>
  <c r="G240" i="15"/>
  <c r="D240" i="15"/>
  <c r="L239" i="15"/>
  <c r="J239" i="15"/>
  <c r="Q239" i="15" s="1"/>
  <c r="I239" i="15"/>
  <c r="H239" i="15"/>
  <c r="G239" i="15"/>
  <c r="D239" i="15"/>
  <c r="L238" i="15"/>
  <c r="J238" i="15"/>
  <c r="Q238" i="15" s="1"/>
  <c r="I238" i="15"/>
  <c r="H238" i="15"/>
  <c r="G238" i="15"/>
  <c r="D238" i="15"/>
  <c r="Q237" i="15"/>
  <c r="L237" i="15"/>
  <c r="J237" i="15"/>
  <c r="I237" i="15"/>
  <c r="H237" i="15"/>
  <c r="G237" i="15"/>
  <c r="D237" i="15"/>
  <c r="L236" i="15"/>
  <c r="J236" i="15"/>
  <c r="Q236" i="15" s="1"/>
  <c r="I236" i="15"/>
  <c r="H236" i="15"/>
  <c r="G236" i="15"/>
  <c r="D236" i="15"/>
  <c r="Q235" i="15"/>
  <c r="L235" i="15"/>
  <c r="H235" i="15"/>
  <c r="G235" i="15"/>
  <c r="D235" i="15"/>
  <c r="L234" i="15"/>
  <c r="J234" i="15"/>
  <c r="Q234" i="15" s="1"/>
  <c r="I234" i="15"/>
  <c r="H234" i="15"/>
  <c r="G234" i="15"/>
  <c r="D234" i="15"/>
  <c r="L233" i="15"/>
  <c r="J233" i="15"/>
  <c r="Q233" i="15" s="1"/>
  <c r="I233" i="15"/>
  <c r="H233" i="15"/>
  <c r="G233" i="15"/>
  <c r="D233" i="15"/>
  <c r="Q232" i="15"/>
  <c r="L232" i="15"/>
  <c r="J232" i="15"/>
  <c r="I232" i="15"/>
  <c r="H232" i="15"/>
  <c r="G232" i="15"/>
  <c r="D232" i="15"/>
  <c r="Q231" i="15"/>
  <c r="L231" i="15"/>
  <c r="J231" i="15"/>
  <c r="I231" i="15"/>
  <c r="H231" i="15"/>
  <c r="G231" i="15"/>
  <c r="D231" i="15"/>
  <c r="Q230" i="15"/>
  <c r="L230" i="15"/>
  <c r="J230" i="15"/>
  <c r="I230" i="15"/>
  <c r="H230" i="15"/>
  <c r="G230" i="15"/>
  <c r="D230" i="15"/>
  <c r="L229" i="15"/>
  <c r="J229" i="15"/>
  <c r="Q229" i="15" s="1"/>
  <c r="I229" i="15"/>
  <c r="H229" i="15"/>
  <c r="G229" i="15"/>
  <c r="D229" i="15"/>
  <c r="L228" i="15"/>
  <c r="J228" i="15"/>
  <c r="Q228" i="15" s="1"/>
  <c r="I228" i="15"/>
  <c r="H228" i="15"/>
  <c r="G228" i="15"/>
  <c r="D228" i="15"/>
  <c r="L227" i="15"/>
  <c r="J227" i="15"/>
  <c r="Q227" i="15" s="1"/>
  <c r="I227" i="15"/>
  <c r="H227" i="15"/>
  <c r="G227" i="15"/>
  <c r="D227" i="15"/>
  <c r="Q226" i="15"/>
  <c r="L226" i="15"/>
  <c r="J226" i="15"/>
  <c r="I226" i="15"/>
  <c r="H226" i="15"/>
  <c r="G226" i="15"/>
  <c r="D226" i="15"/>
  <c r="Q225" i="15"/>
  <c r="L225" i="15"/>
  <c r="J225" i="15"/>
  <c r="I225" i="15"/>
  <c r="H225" i="15"/>
  <c r="G225" i="15"/>
  <c r="D225" i="15"/>
  <c r="L224" i="15"/>
  <c r="J224" i="15"/>
  <c r="Q224" i="15" s="1"/>
  <c r="I224" i="15"/>
  <c r="H224" i="15"/>
  <c r="G224" i="15"/>
  <c r="D224" i="15"/>
  <c r="Q223" i="15"/>
  <c r="L223" i="15"/>
  <c r="J223" i="15"/>
  <c r="I223" i="15"/>
  <c r="H223" i="15"/>
  <c r="G223" i="15"/>
  <c r="D223" i="15"/>
  <c r="L222" i="15"/>
  <c r="J222" i="15"/>
  <c r="Q222" i="15" s="1"/>
  <c r="I222" i="15"/>
  <c r="H222" i="15"/>
  <c r="G222" i="15"/>
  <c r="D222" i="15"/>
  <c r="L221" i="15"/>
  <c r="J221" i="15"/>
  <c r="Q221" i="15" s="1"/>
  <c r="I221" i="15"/>
  <c r="H221" i="15"/>
  <c r="G221" i="15"/>
  <c r="D221" i="15"/>
  <c r="L220" i="15"/>
  <c r="J220" i="15"/>
  <c r="Q220" i="15" s="1"/>
  <c r="I220" i="15"/>
  <c r="H220" i="15"/>
  <c r="G220" i="15"/>
  <c r="D220" i="15"/>
  <c r="Q219" i="15"/>
  <c r="L219" i="15"/>
  <c r="J219" i="15"/>
  <c r="I219" i="15"/>
  <c r="H219" i="15"/>
  <c r="G219" i="15"/>
  <c r="D219" i="15"/>
  <c r="L218" i="15"/>
  <c r="J218" i="15"/>
  <c r="Q218" i="15" s="1"/>
  <c r="I218" i="15"/>
  <c r="H218" i="15"/>
  <c r="G218" i="15"/>
  <c r="D218" i="15"/>
  <c r="L217" i="15"/>
  <c r="J217" i="15"/>
  <c r="Q217" i="15" s="1"/>
  <c r="I217" i="15"/>
  <c r="H217" i="15"/>
  <c r="G217" i="15"/>
  <c r="D217" i="15"/>
  <c r="Q216" i="15"/>
  <c r="L216" i="15"/>
  <c r="J216" i="15"/>
  <c r="I216" i="15"/>
  <c r="H216" i="15"/>
  <c r="G216" i="15"/>
  <c r="D216" i="15"/>
  <c r="Q215" i="15"/>
  <c r="L215" i="15"/>
  <c r="J215" i="15"/>
  <c r="I215" i="15"/>
  <c r="H215" i="15"/>
  <c r="G215" i="15"/>
  <c r="D215" i="15"/>
  <c r="Q214" i="15"/>
  <c r="L214" i="15"/>
  <c r="J214" i="15"/>
  <c r="I214" i="15"/>
  <c r="H214" i="15"/>
  <c r="G214" i="15"/>
  <c r="D214" i="15"/>
  <c r="L213" i="15"/>
  <c r="J213" i="15"/>
  <c r="Q213" i="15" s="1"/>
  <c r="I213" i="15"/>
  <c r="H213" i="15"/>
  <c r="G213" i="15"/>
  <c r="D213" i="15"/>
  <c r="L212" i="15"/>
  <c r="J212" i="15"/>
  <c r="Q212" i="15" s="1"/>
  <c r="I212" i="15"/>
  <c r="H212" i="15"/>
  <c r="G212" i="15"/>
  <c r="D212" i="15"/>
  <c r="Q211" i="15"/>
  <c r="L211" i="15"/>
  <c r="J211" i="15"/>
  <c r="I211" i="15"/>
  <c r="H211" i="15"/>
  <c r="G211" i="15"/>
  <c r="D211" i="15"/>
  <c r="L210" i="15"/>
  <c r="J210" i="15"/>
  <c r="Q210" i="15" s="1"/>
  <c r="I210" i="15"/>
  <c r="H210" i="15"/>
  <c r="G210" i="15"/>
  <c r="D210" i="15"/>
  <c r="L209" i="15"/>
  <c r="J209" i="15"/>
  <c r="Q209" i="15" s="1"/>
  <c r="I209" i="15"/>
  <c r="H209" i="15"/>
  <c r="G209" i="15"/>
  <c r="D209" i="15"/>
  <c r="L208" i="15"/>
  <c r="J208" i="15"/>
  <c r="Q208" i="15" s="1"/>
  <c r="I208" i="15"/>
  <c r="H208" i="15"/>
  <c r="G208" i="15"/>
  <c r="D208" i="15"/>
  <c r="Q207" i="15"/>
  <c r="L207" i="15"/>
  <c r="J207" i="15"/>
  <c r="I207" i="15"/>
  <c r="H207" i="15"/>
  <c r="G207" i="15"/>
  <c r="D207" i="15"/>
  <c r="Q206" i="15"/>
  <c r="L206" i="15"/>
  <c r="J206" i="15"/>
  <c r="I206" i="15"/>
  <c r="H206" i="15"/>
  <c r="G206" i="15"/>
  <c r="D206" i="15"/>
  <c r="L205" i="15"/>
  <c r="J205" i="15"/>
  <c r="Q205" i="15" s="1"/>
  <c r="I205" i="15"/>
  <c r="H205" i="15"/>
  <c r="G205" i="15"/>
  <c r="D205" i="15"/>
  <c r="Q204" i="15"/>
  <c r="L204" i="15"/>
  <c r="J204" i="15"/>
  <c r="I204" i="15"/>
  <c r="H204" i="15"/>
  <c r="G204" i="15"/>
  <c r="D204" i="15"/>
  <c r="Q203" i="15"/>
  <c r="L203" i="15"/>
  <c r="H203" i="15"/>
  <c r="G203" i="15"/>
  <c r="D203" i="15"/>
  <c r="Q202" i="15"/>
  <c r="L202" i="15"/>
  <c r="J202" i="15"/>
  <c r="I202" i="15"/>
  <c r="H202" i="15"/>
  <c r="G202" i="15"/>
  <c r="D202" i="15"/>
  <c r="L201" i="15"/>
  <c r="J201" i="15"/>
  <c r="Q201" i="15" s="1"/>
  <c r="I201" i="15"/>
  <c r="H201" i="15"/>
  <c r="G201" i="15"/>
  <c r="D201" i="15"/>
  <c r="Q200" i="15"/>
  <c r="L200" i="15"/>
  <c r="J200" i="15"/>
  <c r="I200" i="15"/>
  <c r="H200" i="15"/>
  <c r="G200" i="15"/>
  <c r="D200" i="15"/>
  <c r="L199" i="15"/>
  <c r="J199" i="15"/>
  <c r="Q199" i="15" s="1"/>
  <c r="I199" i="15"/>
  <c r="H199" i="15"/>
  <c r="G199" i="15"/>
  <c r="D199" i="15"/>
  <c r="L198" i="15"/>
  <c r="J198" i="15"/>
  <c r="Q198" i="15" s="1"/>
  <c r="I198" i="15"/>
  <c r="H198" i="15"/>
  <c r="G198" i="15"/>
  <c r="D198" i="15"/>
  <c r="Q197" i="15"/>
  <c r="L197" i="15"/>
  <c r="J197" i="15"/>
  <c r="I197" i="15"/>
  <c r="H197" i="15"/>
  <c r="G197" i="15"/>
  <c r="D197" i="15"/>
  <c r="Q196" i="15"/>
  <c r="L196" i="15"/>
  <c r="J196" i="15"/>
  <c r="I196" i="15"/>
  <c r="H196" i="15"/>
  <c r="G196" i="15"/>
  <c r="D196" i="15"/>
  <c r="L195" i="15"/>
  <c r="J195" i="15"/>
  <c r="Q195" i="15" s="1"/>
  <c r="I195" i="15"/>
  <c r="H195" i="15"/>
  <c r="G195" i="15"/>
  <c r="D195" i="15"/>
  <c r="L194" i="15"/>
  <c r="J194" i="15"/>
  <c r="Q194" i="15" s="1"/>
  <c r="I194" i="15"/>
  <c r="H194" i="15"/>
  <c r="G194" i="15"/>
  <c r="D194" i="15"/>
  <c r="Q193" i="15"/>
  <c r="L193" i="15"/>
  <c r="J193" i="15"/>
  <c r="I193" i="15"/>
  <c r="H193" i="15"/>
  <c r="G193" i="15"/>
  <c r="D193" i="15"/>
  <c r="Q192" i="15"/>
  <c r="L192" i="15"/>
  <c r="H192" i="15"/>
  <c r="G192" i="15"/>
  <c r="D192" i="15"/>
  <c r="Q191" i="15"/>
  <c r="L191" i="15"/>
  <c r="H191" i="15"/>
  <c r="G191" i="15"/>
  <c r="D191" i="15"/>
  <c r="L190" i="15"/>
  <c r="J190" i="15"/>
  <c r="Q190" i="15" s="1"/>
  <c r="I190" i="15"/>
  <c r="H190" i="15"/>
  <c r="G190" i="15"/>
  <c r="D190" i="15"/>
  <c r="Q189" i="15"/>
  <c r="L189" i="15"/>
  <c r="J189" i="15"/>
  <c r="I189" i="15"/>
  <c r="H189" i="15"/>
  <c r="G189" i="15"/>
  <c r="D189" i="15"/>
  <c r="L188" i="15"/>
  <c r="J188" i="15"/>
  <c r="Q188" i="15" s="1"/>
  <c r="I188" i="15"/>
  <c r="H188" i="15"/>
  <c r="G188" i="15"/>
  <c r="D188" i="15"/>
  <c r="L187" i="15"/>
  <c r="J187" i="15"/>
  <c r="Q187" i="15" s="1"/>
  <c r="I187" i="15"/>
  <c r="H187" i="15"/>
  <c r="G187" i="15"/>
  <c r="D187" i="15"/>
  <c r="L186" i="15"/>
  <c r="J186" i="15"/>
  <c r="Q186" i="15" s="1"/>
  <c r="I186" i="15"/>
  <c r="H186" i="15"/>
  <c r="G186" i="15"/>
  <c r="D186" i="15"/>
  <c r="Q185" i="15"/>
  <c r="L185" i="15"/>
  <c r="J185" i="15"/>
  <c r="I185" i="15"/>
  <c r="H185" i="15"/>
  <c r="G185" i="15"/>
  <c r="D185" i="15"/>
  <c r="Q184" i="15"/>
  <c r="L184" i="15"/>
  <c r="J184" i="15"/>
  <c r="I184" i="15"/>
  <c r="H184" i="15"/>
  <c r="G184" i="15"/>
  <c r="D184" i="15"/>
  <c r="L183" i="15"/>
  <c r="J183" i="15"/>
  <c r="Q183" i="15" s="1"/>
  <c r="I183" i="15"/>
  <c r="H183" i="15"/>
  <c r="G183" i="15"/>
  <c r="D183" i="15"/>
  <c r="L182" i="15"/>
  <c r="J182" i="15"/>
  <c r="Q182" i="15" s="1"/>
  <c r="I182" i="15"/>
  <c r="H182" i="15"/>
  <c r="G182" i="15"/>
  <c r="D182" i="15"/>
  <c r="Q181" i="15"/>
  <c r="L181" i="15"/>
  <c r="J181" i="15"/>
  <c r="I181" i="15"/>
  <c r="H181" i="15"/>
  <c r="G181" i="15"/>
  <c r="D181" i="15"/>
  <c r="L180" i="15"/>
  <c r="J180" i="15"/>
  <c r="Q180" i="15" s="1"/>
  <c r="I180" i="15"/>
  <c r="H180" i="15"/>
  <c r="G180" i="15"/>
  <c r="D180" i="15"/>
  <c r="L179" i="15"/>
  <c r="J179" i="15"/>
  <c r="Q179" i="15" s="1"/>
  <c r="I179" i="15"/>
  <c r="H179" i="15"/>
  <c r="G179" i="15"/>
  <c r="D179" i="15"/>
  <c r="Q178" i="15"/>
  <c r="L178" i="15"/>
  <c r="H178" i="15"/>
  <c r="G178" i="15"/>
  <c r="D178" i="15"/>
  <c r="Q177" i="15"/>
  <c r="L177" i="15"/>
  <c r="H177" i="15"/>
  <c r="G177" i="15"/>
  <c r="D177" i="15"/>
  <c r="L176" i="15"/>
  <c r="J176" i="15"/>
  <c r="Q176" i="15" s="1"/>
  <c r="I176" i="15"/>
  <c r="H176" i="15"/>
  <c r="G176" i="15"/>
  <c r="D176" i="15"/>
  <c r="L175" i="15"/>
  <c r="J175" i="15"/>
  <c r="Q175" i="15" s="1"/>
  <c r="I175" i="15"/>
  <c r="H175" i="15"/>
  <c r="G175" i="15"/>
  <c r="D175" i="15"/>
  <c r="L174" i="15"/>
  <c r="J174" i="15"/>
  <c r="Q174" i="15" s="1"/>
  <c r="I174" i="15"/>
  <c r="H174" i="15"/>
  <c r="G174" i="15"/>
  <c r="D174" i="15"/>
  <c r="Q173" i="15"/>
  <c r="L173" i="15"/>
  <c r="J173" i="15"/>
  <c r="I173" i="15"/>
  <c r="H173" i="15"/>
  <c r="G173" i="15"/>
  <c r="D173" i="15"/>
  <c r="Q172" i="15"/>
  <c r="L172" i="15"/>
  <c r="H172" i="15"/>
  <c r="G172" i="15"/>
  <c r="D172" i="15"/>
  <c r="Q171" i="15"/>
  <c r="L171" i="15"/>
  <c r="J171" i="15"/>
  <c r="I171" i="15"/>
  <c r="H171" i="15"/>
  <c r="G171" i="15"/>
  <c r="D171" i="15"/>
  <c r="Q170" i="15"/>
  <c r="L170" i="15"/>
  <c r="J170" i="15"/>
  <c r="I170" i="15"/>
  <c r="H170" i="15"/>
  <c r="G170" i="15"/>
  <c r="D170" i="15"/>
  <c r="L169" i="15"/>
  <c r="J169" i="15"/>
  <c r="Q169" i="15" s="1"/>
  <c r="I169" i="15"/>
  <c r="H169" i="15"/>
  <c r="G169" i="15"/>
  <c r="D169" i="15"/>
  <c r="Q168" i="15"/>
  <c r="L168" i="15"/>
  <c r="J168" i="15"/>
  <c r="I168" i="15"/>
  <c r="H168" i="15"/>
  <c r="G168" i="15"/>
  <c r="D168" i="15"/>
  <c r="Q167" i="15"/>
  <c r="L167" i="15"/>
  <c r="H167" i="15"/>
  <c r="G167" i="15"/>
  <c r="D167" i="15"/>
  <c r="Q166" i="15"/>
  <c r="L166" i="15"/>
  <c r="J166" i="15"/>
  <c r="I166" i="15"/>
  <c r="H166" i="15"/>
  <c r="G166" i="15"/>
  <c r="D166" i="15"/>
  <c r="L165" i="15"/>
  <c r="J165" i="15"/>
  <c r="Q165" i="15" s="1"/>
  <c r="I165" i="15"/>
  <c r="H165" i="15"/>
  <c r="G165" i="15"/>
  <c r="D165" i="15"/>
  <c r="Q164" i="15"/>
  <c r="L164" i="15"/>
  <c r="J164" i="15"/>
  <c r="I164" i="15"/>
  <c r="H164" i="15"/>
  <c r="G164" i="15"/>
  <c r="D164" i="15"/>
  <c r="L163" i="15"/>
  <c r="J163" i="15"/>
  <c r="Q163" i="15" s="1"/>
  <c r="I163" i="15"/>
  <c r="H163" i="15"/>
  <c r="G163" i="15"/>
  <c r="D163" i="15"/>
  <c r="L162" i="15"/>
  <c r="J162" i="15"/>
  <c r="Q162" i="15" s="1"/>
  <c r="I162" i="15"/>
  <c r="H162" i="15"/>
  <c r="G162" i="15"/>
  <c r="D162" i="15"/>
  <c r="Q161" i="15"/>
  <c r="L161" i="15"/>
  <c r="J161" i="15"/>
  <c r="I161" i="15"/>
  <c r="H161" i="15"/>
  <c r="G161" i="15"/>
  <c r="D161" i="15"/>
  <c r="L160" i="15"/>
  <c r="J160" i="15"/>
  <c r="Q160" i="15" s="1"/>
  <c r="I160" i="15"/>
  <c r="H160" i="15"/>
  <c r="G160" i="15"/>
  <c r="D160" i="15"/>
  <c r="L159" i="15"/>
  <c r="J159" i="15"/>
  <c r="Q159" i="15" s="1"/>
  <c r="I159" i="15"/>
  <c r="H159" i="15"/>
  <c r="G159" i="15"/>
  <c r="D159" i="15"/>
  <c r="L158" i="15"/>
  <c r="J158" i="15"/>
  <c r="Q158" i="15" s="1"/>
  <c r="I158" i="15"/>
  <c r="H158" i="15"/>
  <c r="G158" i="15"/>
  <c r="D158" i="15"/>
  <c r="Q157" i="15"/>
  <c r="L157" i="15"/>
  <c r="H157" i="15"/>
  <c r="G157" i="15"/>
  <c r="D157" i="15"/>
  <c r="L156" i="15"/>
  <c r="J156" i="15"/>
  <c r="Q156" i="15" s="1"/>
  <c r="I156" i="15"/>
  <c r="H156" i="15"/>
  <c r="G156" i="15"/>
  <c r="D156" i="15"/>
  <c r="Q155" i="15"/>
  <c r="L155" i="15"/>
  <c r="J155" i="15"/>
  <c r="I155" i="15"/>
  <c r="H155" i="15"/>
  <c r="G155" i="15"/>
  <c r="D155" i="15"/>
  <c r="L154" i="15"/>
  <c r="J154" i="15"/>
  <c r="Q154" i="15" s="1"/>
  <c r="I154" i="15"/>
  <c r="H154" i="15"/>
  <c r="G154" i="15"/>
  <c r="D154" i="15"/>
  <c r="L153" i="15"/>
  <c r="J153" i="15"/>
  <c r="Q153" i="15" s="1"/>
  <c r="I153" i="15"/>
  <c r="H153" i="15"/>
  <c r="G153" i="15"/>
  <c r="D153" i="15"/>
  <c r="Q152" i="15"/>
  <c r="L152" i="15"/>
  <c r="H152" i="15"/>
  <c r="G152" i="15"/>
  <c r="D152" i="15"/>
  <c r="L151" i="15"/>
  <c r="J151" i="15"/>
  <c r="Q151" i="15" s="1"/>
  <c r="I151" i="15"/>
  <c r="H151" i="15"/>
  <c r="G151" i="15"/>
  <c r="D151" i="15"/>
  <c r="L150" i="15"/>
  <c r="J150" i="15"/>
  <c r="Q150" i="15" s="1"/>
  <c r="I150" i="15"/>
  <c r="H150" i="15"/>
  <c r="G150" i="15"/>
  <c r="D150" i="15"/>
  <c r="L149" i="15"/>
  <c r="J149" i="15"/>
  <c r="Q149" i="15" s="1"/>
  <c r="I149" i="15"/>
  <c r="H149" i="15"/>
  <c r="G149" i="15"/>
  <c r="D149" i="15"/>
  <c r="Q148" i="15"/>
  <c r="L148" i="15"/>
  <c r="J148" i="15"/>
  <c r="I148" i="15"/>
  <c r="H148" i="15"/>
  <c r="G148" i="15"/>
  <c r="D148" i="15"/>
  <c r="L147" i="15"/>
  <c r="J147" i="15"/>
  <c r="Q147" i="15" s="1"/>
  <c r="I147" i="15"/>
  <c r="H147" i="15"/>
  <c r="G147" i="15"/>
  <c r="D147" i="15"/>
  <c r="L146" i="15"/>
  <c r="J146" i="15"/>
  <c r="Q146" i="15" s="1"/>
  <c r="I146" i="15"/>
  <c r="H146" i="15"/>
  <c r="G146" i="15"/>
  <c r="D146" i="15"/>
  <c r="Q145" i="15"/>
  <c r="L145" i="15"/>
  <c r="J145" i="15"/>
  <c r="I145" i="15"/>
  <c r="H145" i="15"/>
  <c r="G145" i="15"/>
  <c r="D145" i="15"/>
  <c r="L144" i="15"/>
  <c r="J144" i="15"/>
  <c r="Q144" i="15" s="1"/>
  <c r="I144" i="15"/>
  <c r="H144" i="15"/>
  <c r="G144" i="15"/>
  <c r="D144" i="15"/>
  <c r="L143" i="15"/>
  <c r="J143" i="15"/>
  <c r="Q143" i="15" s="1"/>
  <c r="I143" i="15"/>
  <c r="H143" i="15"/>
  <c r="G143" i="15"/>
  <c r="D143" i="15"/>
  <c r="L142" i="15"/>
  <c r="J142" i="15"/>
  <c r="Q142" i="15" s="1"/>
  <c r="I142" i="15"/>
  <c r="H142" i="15"/>
  <c r="G142" i="15"/>
  <c r="D142" i="15"/>
  <c r="Q141" i="15"/>
  <c r="L141" i="15"/>
  <c r="H141" i="15"/>
  <c r="G141" i="15"/>
  <c r="D141" i="15"/>
  <c r="L140" i="15"/>
  <c r="J140" i="15"/>
  <c r="Q140" i="15" s="1"/>
  <c r="I140" i="15"/>
  <c r="H140" i="15"/>
  <c r="G140" i="15"/>
  <c r="D140" i="15"/>
  <c r="Q139" i="15"/>
  <c r="L139" i="15"/>
  <c r="J139" i="15"/>
  <c r="I139" i="15"/>
  <c r="H139" i="15"/>
  <c r="G139" i="15"/>
  <c r="D139" i="15"/>
  <c r="L138" i="15"/>
  <c r="J138" i="15"/>
  <c r="Q138" i="15" s="1"/>
  <c r="I138" i="15"/>
  <c r="H138" i="15"/>
  <c r="G138" i="15"/>
  <c r="D138" i="15"/>
  <c r="L137" i="15"/>
  <c r="J137" i="15"/>
  <c r="Q137" i="15" s="1"/>
  <c r="I137" i="15"/>
  <c r="H137" i="15"/>
  <c r="G137" i="15"/>
  <c r="D137" i="15"/>
  <c r="Q136" i="15"/>
  <c r="L136" i="15"/>
  <c r="H136" i="15"/>
  <c r="G136" i="15"/>
  <c r="D136" i="15"/>
  <c r="Q135" i="15"/>
  <c r="L135" i="15"/>
  <c r="H135" i="15"/>
  <c r="G135" i="15"/>
  <c r="D135" i="15"/>
  <c r="L134" i="15"/>
  <c r="J134" i="15"/>
  <c r="Q134" i="15" s="1"/>
  <c r="I134" i="15"/>
  <c r="H134" i="15"/>
  <c r="G134" i="15"/>
  <c r="D134" i="15"/>
  <c r="L133" i="15"/>
  <c r="J133" i="15"/>
  <c r="Q133" i="15" s="1"/>
  <c r="I133" i="15"/>
  <c r="H133" i="15"/>
  <c r="G133" i="15"/>
  <c r="D133" i="15"/>
  <c r="L132" i="15"/>
  <c r="J132" i="15"/>
  <c r="Q132" i="15" s="1"/>
  <c r="I132" i="15"/>
  <c r="H132" i="15"/>
  <c r="G132" i="15"/>
  <c r="D132" i="15"/>
  <c r="Q131" i="15"/>
  <c r="L131" i="15"/>
  <c r="J131" i="15"/>
  <c r="I131" i="15"/>
  <c r="H131" i="15"/>
  <c r="G131" i="15"/>
  <c r="D131" i="15"/>
  <c r="Q130" i="15"/>
  <c r="L130" i="15"/>
  <c r="J130" i="15"/>
  <c r="I130" i="15"/>
  <c r="H130" i="15"/>
  <c r="G130" i="15"/>
  <c r="D130" i="15"/>
  <c r="L129" i="15"/>
  <c r="J129" i="15"/>
  <c r="Q129" i="15" s="1"/>
  <c r="I129" i="15"/>
  <c r="H129" i="15"/>
  <c r="G129" i="15"/>
  <c r="D129" i="15"/>
  <c r="L128" i="15"/>
  <c r="J128" i="15"/>
  <c r="Q128" i="15" s="1"/>
  <c r="I128" i="15"/>
  <c r="H128" i="15"/>
  <c r="G128" i="15"/>
  <c r="D128" i="15"/>
  <c r="Q127" i="15"/>
  <c r="L127" i="15"/>
  <c r="J127" i="15"/>
  <c r="I127" i="15"/>
  <c r="H127" i="15"/>
  <c r="G127" i="15"/>
  <c r="D127" i="15"/>
  <c r="Q126" i="15"/>
  <c r="L126" i="15"/>
  <c r="J126" i="15"/>
  <c r="I126" i="15"/>
  <c r="H126" i="15"/>
  <c r="G126" i="15"/>
  <c r="D126" i="15"/>
  <c r="L125" i="15"/>
  <c r="J125" i="15"/>
  <c r="Q125" i="15" s="1"/>
  <c r="I125" i="15"/>
  <c r="H125" i="15"/>
  <c r="G125" i="15"/>
  <c r="D125" i="15"/>
  <c r="Q124" i="15"/>
  <c r="L124" i="15"/>
  <c r="J124" i="15"/>
  <c r="I124" i="15"/>
  <c r="H124" i="15"/>
  <c r="G124" i="15"/>
  <c r="D124" i="15"/>
  <c r="Q123" i="15"/>
  <c r="L123" i="15"/>
  <c r="H123" i="15"/>
  <c r="G123" i="15"/>
  <c r="D123" i="15"/>
  <c r="Q122" i="15"/>
  <c r="L122" i="15"/>
  <c r="J122" i="15"/>
  <c r="I122" i="15"/>
  <c r="H122" i="15"/>
  <c r="G122" i="15"/>
  <c r="D122" i="15"/>
  <c r="Q121" i="15"/>
  <c r="L121" i="15"/>
  <c r="J121" i="15"/>
  <c r="I121" i="15"/>
  <c r="H121" i="15"/>
  <c r="G121" i="15"/>
  <c r="D121" i="15"/>
  <c r="Q120" i="15"/>
  <c r="L120" i="15"/>
  <c r="J120" i="15"/>
  <c r="I120" i="15"/>
  <c r="H120" i="15"/>
  <c r="G120" i="15"/>
  <c r="D120" i="15"/>
  <c r="L119" i="15"/>
  <c r="J119" i="15"/>
  <c r="Q119" i="15" s="1"/>
  <c r="I119" i="15"/>
  <c r="H119" i="15"/>
  <c r="G119" i="15"/>
  <c r="D119" i="15"/>
  <c r="Q118" i="15"/>
  <c r="L118" i="15"/>
  <c r="H118" i="15"/>
  <c r="G118" i="15"/>
  <c r="D118" i="15"/>
  <c r="Q117" i="15"/>
  <c r="L117" i="15"/>
  <c r="H117" i="15"/>
  <c r="G117" i="15"/>
  <c r="D117" i="15"/>
  <c r="Q116" i="15"/>
  <c r="L116" i="15"/>
  <c r="J116" i="15"/>
  <c r="I116" i="15"/>
  <c r="H116" i="15"/>
  <c r="G116" i="15"/>
  <c r="D116" i="15"/>
  <c r="L115" i="15"/>
  <c r="J115" i="15"/>
  <c r="Q115" i="15" s="1"/>
  <c r="I115" i="15"/>
  <c r="H115" i="15"/>
  <c r="G115" i="15"/>
  <c r="D115" i="15"/>
  <c r="Q114" i="15"/>
  <c r="L114" i="15"/>
  <c r="J114" i="15"/>
  <c r="I114" i="15"/>
  <c r="H114" i="15"/>
  <c r="G114" i="15"/>
  <c r="D114" i="15"/>
  <c r="Q113" i="15"/>
  <c r="L113" i="15"/>
  <c r="J113" i="15"/>
  <c r="I113" i="15"/>
  <c r="H113" i="15"/>
  <c r="G113" i="15"/>
  <c r="D113" i="15"/>
  <c r="Q112" i="15"/>
  <c r="L112" i="15"/>
  <c r="H112" i="15"/>
  <c r="G112" i="15"/>
  <c r="D112" i="15"/>
  <c r="Q111" i="15"/>
  <c r="L111" i="15"/>
  <c r="J111" i="15"/>
  <c r="I111" i="15"/>
  <c r="H111" i="15"/>
  <c r="G111" i="15"/>
  <c r="D111" i="15"/>
  <c r="Q110" i="15"/>
  <c r="L110" i="15"/>
  <c r="J110" i="15"/>
  <c r="I110" i="15"/>
  <c r="H110" i="15"/>
  <c r="G110" i="15"/>
  <c r="D110" i="15"/>
  <c r="Q109" i="15"/>
  <c r="L109" i="15"/>
  <c r="J109" i="15"/>
  <c r="I109" i="15"/>
  <c r="H109" i="15"/>
  <c r="G109" i="15"/>
  <c r="D109" i="15"/>
  <c r="L108" i="15"/>
  <c r="J108" i="15"/>
  <c r="Q108" i="15" s="1"/>
  <c r="I108" i="15"/>
  <c r="H108" i="15"/>
  <c r="G108" i="15"/>
  <c r="D108" i="15"/>
  <c r="Q107" i="15"/>
  <c r="L107" i="15"/>
  <c r="J107" i="15"/>
  <c r="I107" i="15"/>
  <c r="H107" i="15"/>
  <c r="G107" i="15"/>
  <c r="D107" i="15"/>
  <c r="L106" i="15"/>
  <c r="J106" i="15"/>
  <c r="Q106" i="15" s="1"/>
  <c r="I106" i="15"/>
  <c r="H106" i="15"/>
  <c r="G106" i="15"/>
  <c r="D106" i="15"/>
  <c r="L105" i="15"/>
  <c r="J105" i="15"/>
  <c r="Q105" i="15" s="1"/>
  <c r="I105" i="15"/>
  <c r="H105" i="15"/>
  <c r="G105" i="15"/>
  <c r="D105" i="15"/>
  <c r="Q104" i="15"/>
  <c r="L104" i="15"/>
  <c r="H104" i="15"/>
  <c r="G104" i="15"/>
  <c r="D104" i="15"/>
  <c r="Q103" i="15"/>
  <c r="L103" i="15"/>
  <c r="H103" i="15"/>
  <c r="G103" i="15"/>
  <c r="D103" i="15"/>
  <c r="Q102" i="15"/>
  <c r="L102" i="15"/>
  <c r="H102" i="15"/>
  <c r="G102" i="15"/>
  <c r="D102" i="15"/>
  <c r="Q101" i="15"/>
  <c r="L101" i="15"/>
  <c r="H101" i="15"/>
  <c r="G101" i="15"/>
  <c r="D101" i="15"/>
  <c r="L100" i="15"/>
  <c r="J100" i="15"/>
  <c r="Q100" i="15" s="1"/>
  <c r="I100" i="15"/>
  <c r="H100" i="15"/>
  <c r="G100" i="15"/>
  <c r="D100" i="15"/>
  <c r="Q99" i="15"/>
  <c r="L99" i="15"/>
  <c r="J99" i="15"/>
  <c r="I99" i="15"/>
  <c r="H99" i="15"/>
  <c r="G99" i="15"/>
  <c r="D99" i="15"/>
  <c r="L98" i="15"/>
  <c r="J98" i="15"/>
  <c r="Q98" i="15" s="1"/>
  <c r="I98" i="15"/>
  <c r="H98" i="15"/>
  <c r="G98" i="15"/>
  <c r="D98" i="15"/>
  <c r="L97" i="15"/>
  <c r="J97" i="15"/>
  <c r="Q97" i="15" s="1"/>
  <c r="I97" i="15"/>
  <c r="H97" i="15"/>
  <c r="G97" i="15"/>
  <c r="D97" i="15"/>
  <c r="Q96" i="15"/>
  <c r="Q95" i="15"/>
  <c r="Q94" i="15"/>
  <c r="Q93" i="15"/>
  <c r="Q92" i="15"/>
  <c r="Q91" i="15"/>
  <c r="Q90" i="15"/>
  <c r="Q89" i="15"/>
  <c r="Q88" i="15"/>
  <c r="Q87" i="15"/>
  <c r="Q86" i="15"/>
  <c r="Q85" i="15"/>
  <c r="Q84" i="15"/>
  <c r="Q83" i="15"/>
  <c r="Q82" i="15"/>
  <c r="Q81" i="15"/>
  <c r="Q80" i="15"/>
  <c r="Q79" i="15"/>
  <c r="Q78" i="15"/>
  <c r="Q77" i="15"/>
  <c r="Q76" i="15"/>
  <c r="Q75" i="15"/>
  <c r="Q74" i="15"/>
  <c r="Q73" i="15"/>
  <c r="Q72" i="15"/>
  <c r="Q71" i="15"/>
  <c r="Q70" i="15"/>
  <c r="Q69" i="15"/>
  <c r="Q68" i="15"/>
  <c r="Q67" i="15"/>
  <c r="Q66" i="15"/>
  <c r="Q65" i="15"/>
  <c r="Q64" i="15"/>
  <c r="Q63" i="15"/>
  <c r="Q62" i="15"/>
  <c r="Q61" i="15"/>
  <c r="Q60" i="15"/>
  <c r="Q59" i="15"/>
  <c r="Q58" i="15"/>
  <c r="Q57" i="15"/>
  <c r="Q56" i="15"/>
  <c r="Q55" i="15"/>
  <c r="Q54" i="15"/>
  <c r="Q53" i="15"/>
  <c r="Q52" i="15"/>
  <c r="Q51" i="15"/>
  <c r="Q50" i="15"/>
  <c r="Q49" i="15"/>
  <c r="Q48" i="15"/>
  <c r="Q47" i="15"/>
  <c r="Q46" i="15"/>
  <c r="Q45" i="15"/>
  <c r="Q44" i="15"/>
  <c r="Q43" i="15"/>
  <c r="Q42" i="15"/>
  <c r="Q41" i="15"/>
  <c r="Q40" i="15"/>
  <c r="Q39" i="15"/>
  <c r="Q38" i="15"/>
  <c r="Q37" i="15"/>
  <c r="Q36" i="15"/>
  <c r="Q35" i="15"/>
  <c r="Q34" i="15"/>
  <c r="Q33" i="15"/>
  <c r="Q32" i="15"/>
  <c r="Q31" i="15"/>
  <c r="Q30" i="15"/>
  <c r="Q29" i="15"/>
  <c r="Q28" i="15"/>
  <c r="Q27" i="15"/>
  <c r="Q26" i="15"/>
  <c r="Q25" i="15"/>
  <c r="Q24" i="15"/>
  <c r="Q23" i="15"/>
  <c r="Q22" i="15"/>
  <c r="Q21" i="15"/>
  <c r="Q20" i="15"/>
  <c r="Q19" i="15"/>
  <c r="Q18" i="15"/>
  <c r="Q17" i="15"/>
  <c r="Q16" i="15"/>
  <c r="Q15" i="15"/>
  <c r="Q14" i="15"/>
  <c r="Q13" i="15"/>
  <c r="Q12" i="15"/>
  <c r="Q11" i="15"/>
  <c r="Q10" i="15"/>
  <c r="Q9" i="15"/>
  <c r="Q8" i="15"/>
  <c r="Q7" i="15"/>
  <c r="Q6" i="15"/>
  <c r="Q5" i="15"/>
  <c r="Q4" i="15"/>
  <c r="Q3" i="15"/>
  <c r="Q2" i="15"/>
  <c r="Q971" i="15" l="1"/>
  <c r="Q632" i="15"/>
  <c r="Q894" i="15"/>
  <c r="Q651" i="15"/>
  <c r="Q830" i="15"/>
  <c r="Q648" i="15"/>
  <c r="Q873" i="15"/>
  <c r="Q922" i="15"/>
  <c r="Q1047" i="15"/>
  <c r="Q644" i="15"/>
  <c r="Q826" i="15"/>
  <c r="Q919" i="15"/>
  <c r="C1" i="6" l="1"/>
</calcChain>
</file>

<file path=xl/sharedStrings.xml><?xml version="1.0" encoding="utf-8"?>
<sst xmlns="http://schemas.openxmlformats.org/spreadsheetml/2006/main" count="21200" uniqueCount="1332">
  <si>
    <t>Kata / Kumite</t>
  </si>
  <si>
    <t>Sportolók száma</t>
  </si>
  <si>
    <t>Verseny típusa</t>
  </si>
  <si>
    <t>Helyezés</t>
  </si>
  <si>
    <t>Név</t>
  </si>
  <si>
    <t>Egyesület rövidítése</t>
  </si>
  <si>
    <t>Ország</t>
  </si>
  <si>
    <t>Kumite</t>
  </si>
  <si>
    <t>Kumite, JUNIOR FÉRFI 59,9 KG</t>
  </si>
  <si>
    <t>5 fős körmérkőzés</t>
  </si>
  <si>
    <t>Pető Zsombor Tamás</t>
  </si>
  <si>
    <t>Spirit SE.</t>
  </si>
  <si>
    <t>HUN</t>
  </si>
  <si>
    <t>Feczkó Zoltán</t>
  </si>
  <si>
    <t>Shogun</t>
  </si>
  <si>
    <t>Breznyiczki Benedek</t>
  </si>
  <si>
    <t>Nozomu Dojo</t>
  </si>
  <si>
    <t>Kumite, JUNIOR FÉRFI 64,9 KG</t>
  </si>
  <si>
    <t>8 fős egyenes kiesés</t>
  </si>
  <si>
    <t>Szabó Bence</t>
  </si>
  <si>
    <t>Makay Zétény</t>
  </si>
  <si>
    <t>Pósán Zétény</t>
  </si>
  <si>
    <t>Rozgics Dominik</t>
  </si>
  <si>
    <t>Kemecse SE</t>
  </si>
  <si>
    <t>Kumite, JUNIOR FÉRFI 69,9 KG</t>
  </si>
  <si>
    <t>Hardi Balázs</t>
  </si>
  <si>
    <t>Siófok KSE</t>
  </si>
  <si>
    <t>Kurucz László Botond</t>
  </si>
  <si>
    <t>OKKHE</t>
  </si>
  <si>
    <t>Gémes Gergő</t>
  </si>
  <si>
    <t>ESZME</t>
  </si>
  <si>
    <t>Horváth Levente András</t>
  </si>
  <si>
    <t>SMAFC</t>
  </si>
  <si>
    <t>Kumite, JUNIOR FÉRFI 74,9 KG</t>
  </si>
  <si>
    <t>Jámbor Dániel</t>
  </si>
  <si>
    <t>KHSE</t>
  </si>
  <si>
    <t>Ádám Gergő</t>
  </si>
  <si>
    <t>Kamikaze S</t>
  </si>
  <si>
    <t>Schmetz Kornél</t>
  </si>
  <si>
    <t>Bendiák Dojo</t>
  </si>
  <si>
    <t>Orbán Balázs</t>
  </si>
  <si>
    <t>KKE - Spartacus</t>
  </si>
  <si>
    <t>Kumite, JUNIOR FÉRFI 79,9 KG</t>
  </si>
  <si>
    <t>2 fős egyenes kiesés</t>
  </si>
  <si>
    <t>Simon Boldizsár</t>
  </si>
  <si>
    <t xml:space="preserve">Kiai Dojo </t>
  </si>
  <si>
    <t>Spanjevic Dániel</t>
  </si>
  <si>
    <t>BHMSE</t>
  </si>
  <si>
    <t>Kumite, JUNIOR FÉRFI PLUSZ 80 KG</t>
  </si>
  <si>
    <t>3 fős körmérkőzés</t>
  </si>
  <si>
    <t>Esvég Dominik</t>
  </si>
  <si>
    <t>Kisvárda KKDOSC</t>
  </si>
  <si>
    <t>Sipos Árpád</t>
  </si>
  <si>
    <t>Nagy Dávid</t>
  </si>
  <si>
    <t>Kumite, JUNIOR NŐI 49,9 KG</t>
  </si>
  <si>
    <t>Kiss-Leizer Luca</t>
  </si>
  <si>
    <t>Bánky Liliána</t>
  </si>
  <si>
    <t>Kumite, JUNIOR NŐI 54,9 KG</t>
  </si>
  <si>
    <t>4 fős körmérkőzés</t>
  </si>
  <si>
    <t>Bagdi Alexa Zita</t>
  </si>
  <si>
    <t>Ponyokai Petra</t>
  </si>
  <si>
    <t>Magna Dojo</t>
  </si>
  <si>
    <t>Szigeti Zsófia</t>
  </si>
  <si>
    <t>Kumite, JUNIOR NŐI 59,9 KG</t>
  </si>
  <si>
    <t>Kis Mónika</t>
  </si>
  <si>
    <t>Főnix Dojo</t>
  </si>
  <si>
    <t>Bognár Léna</t>
  </si>
  <si>
    <t>Rakurai</t>
  </si>
  <si>
    <t>Kumite, JUNIOR NŐI 64,9 KG</t>
  </si>
  <si>
    <t>Sólyom Gréta</t>
  </si>
  <si>
    <t>Kozma Rebeka</t>
  </si>
  <si>
    <t>Rácz Dorottya</t>
  </si>
  <si>
    <t>Kumite, JUNIOR NŐI PLUSZ 65 KG</t>
  </si>
  <si>
    <t>Varga Borbála</t>
  </si>
  <si>
    <t>Rácz Viktória</t>
  </si>
  <si>
    <t>Józsa Erika Réka</t>
  </si>
  <si>
    <t>Kumite, FELNŐTT FÉRFI 59,9 KG</t>
  </si>
  <si>
    <t>Soltész Szabolcs</t>
  </si>
  <si>
    <t>Rintaro Watanabe</t>
  </si>
  <si>
    <t>Ippon KKSE</t>
  </si>
  <si>
    <t>Kumite, FELNŐTT FÉRFI 69,9 KG</t>
  </si>
  <si>
    <t>Karczub Zalán</t>
  </si>
  <si>
    <t>Bátor KSE</t>
  </si>
  <si>
    <t>Gagna Patrik</t>
  </si>
  <si>
    <t>Ludszky Tamás</t>
  </si>
  <si>
    <t>Kumite, FELNŐTT FÉRFI 79,9 KG</t>
  </si>
  <si>
    <t>Fekete Gergely</t>
  </si>
  <si>
    <t>Victory</t>
  </si>
  <si>
    <t>Rétfalvi Tamás</t>
  </si>
  <si>
    <t>Gazi Dávid</t>
  </si>
  <si>
    <t>Kumite, FELNŐTT FÉRFI 89,9 KG</t>
  </si>
  <si>
    <t>Ludszky Zsolt</t>
  </si>
  <si>
    <t>Oláh Gergő</t>
  </si>
  <si>
    <t>Kumite, FELNŐTT FÉRFI PLUSZ 90 KG</t>
  </si>
  <si>
    <t>6 fős vegyes</t>
  </si>
  <si>
    <t>Lajtos Patrik</t>
  </si>
  <si>
    <t>Kukuly Attila</t>
  </si>
  <si>
    <t>Sebestyén Miklós</t>
  </si>
  <si>
    <t xml:space="preserve">TADASHII </t>
  </si>
  <si>
    <t>Kumite, MASTERS FÉRFI</t>
  </si>
  <si>
    <t>Horváth Zoltán</t>
  </si>
  <si>
    <t>Béres Sándor</t>
  </si>
  <si>
    <t>Kollányi Miklós</t>
  </si>
  <si>
    <t>Kumite, FELNŐTT NŐI 49,9 KG</t>
  </si>
  <si>
    <t>Nagy Nóra Bíborka</t>
  </si>
  <si>
    <t>Bihari Lili</t>
  </si>
  <si>
    <t>Kumite, FELNŐTT NŐI 53,9 KG</t>
  </si>
  <si>
    <t>Litvák Lili</t>
  </si>
  <si>
    <t>Csivincsik Adél</t>
  </si>
  <si>
    <t>Tekeres SK</t>
  </si>
  <si>
    <t>Gyenge Judit</t>
  </si>
  <si>
    <t>Kumite, FELNŐTT NŐI 58,9 KG</t>
  </si>
  <si>
    <t>Mező Lili</t>
  </si>
  <si>
    <t>Polák Leila</t>
  </si>
  <si>
    <t>Fehér Eszter</t>
  </si>
  <si>
    <t>Kumite, FELNŐTT NŐI 64,9 KG</t>
  </si>
  <si>
    <t>Bóka Viktória</t>
  </si>
  <si>
    <t>Griff SE</t>
  </si>
  <si>
    <t>Kerezsi Csenge</t>
  </si>
  <si>
    <t>Puskás Fruzsina</t>
  </si>
  <si>
    <t>Kumite, FELNŐTT NŐI PLUSZ 65 KG</t>
  </si>
  <si>
    <t>Tóth Csenge</t>
  </si>
  <si>
    <t>Gergely Henrietta</t>
  </si>
  <si>
    <t>Fejes Hanna</t>
  </si>
  <si>
    <t>Verseny</t>
  </si>
  <si>
    <t>ssz</t>
  </si>
  <si>
    <t>Kata</t>
  </si>
  <si>
    <t>Kolonics Márk</t>
  </si>
  <si>
    <t>Kis Benedek Ernő</t>
  </si>
  <si>
    <t>Junior férfi kata</t>
  </si>
  <si>
    <t>Junior női kata</t>
  </si>
  <si>
    <t>Berényi Lujza Beatrix</t>
  </si>
  <si>
    <t>Arnódi Gréta Bernadette</t>
  </si>
  <si>
    <t>Jernyei Nikolett</t>
  </si>
  <si>
    <t xml:space="preserve">Kollár Nóra </t>
  </si>
  <si>
    <t>Bendiák Barbara</t>
  </si>
  <si>
    <t>Felnőtt női kata</t>
  </si>
  <si>
    <t>pontozásos</t>
  </si>
  <si>
    <t>Balázs Panni</t>
  </si>
  <si>
    <t>Berencsi Tímea</t>
  </si>
  <si>
    <t>Sólyom Anna</t>
  </si>
  <si>
    <t>Bánszki Eszter</t>
  </si>
  <si>
    <t>Hardi Laura</t>
  </si>
  <si>
    <t>Felnőtt férfi kata</t>
  </si>
  <si>
    <t>Vastag Adrián</t>
  </si>
  <si>
    <t>Pápai Balázs</t>
  </si>
  <si>
    <t>Tóth Péter</t>
  </si>
  <si>
    <t>Bendiák Soma</t>
  </si>
  <si>
    <t>Andrikó Antal</t>
  </si>
  <si>
    <t>Kagami</t>
  </si>
  <si>
    <t>KSE Tarján</t>
  </si>
  <si>
    <t>KYO Fighter SE</t>
  </si>
  <si>
    <t>Minősítési pont</t>
  </si>
  <si>
    <t>Megjegyzés</t>
  </si>
  <si>
    <t>3A</t>
  </si>
  <si>
    <t>Knock-Down Magyar Bajnokság</t>
  </si>
  <si>
    <t>Junior Országos Bajnokság</t>
  </si>
  <si>
    <t>3B</t>
  </si>
  <si>
    <t>nem jár pont</t>
  </si>
  <si>
    <t xml:space="preserve">Mészáros Mercédesz </t>
  </si>
  <si>
    <t xml:space="preserve">körbeverés </t>
  </si>
  <si>
    <t>64B</t>
  </si>
  <si>
    <t>Horváth László</t>
  </si>
  <si>
    <t>Sorcímkék</t>
  </si>
  <si>
    <t>Végösszeg</t>
  </si>
  <si>
    <t>Összeg / Minősítési pont</t>
  </si>
  <si>
    <t>Lendvai László</t>
  </si>
  <si>
    <t>Nagykátai Bushido SE</t>
  </si>
  <si>
    <t>nyert meccset 4.hely</t>
  </si>
  <si>
    <t>IBK Hungary</t>
  </si>
  <si>
    <t>IKO Kyokushin</t>
  </si>
  <si>
    <t>Fránki Károly</t>
  </si>
  <si>
    <t>körbeverés 4.hely</t>
  </si>
  <si>
    <t>MKKSZ minősítési pontok (2017 01 28)</t>
  </si>
  <si>
    <t xml:space="preserve">Követelmények a minősítések megszerzéséhez </t>
  </si>
  <si>
    <t>Alapversenyek: országos szintű versenyek; Diákolimpiai selejtezők</t>
  </si>
  <si>
    <t>Csökkentett pontértékű versenyek: országos szintű "B" "C" kategóriájú versenyek</t>
  </si>
  <si>
    <t>Emelt pontértékű versenyek: országos szintű kiemelt kategóriájú és címversenyek</t>
  </si>
  <si>
    <t>Nemzetközi versenyek: több ország versenyzőinek részvételével</t>
  </si>
  <si>
    <t>A kumite és kata: versenyszámok pontértékei a táblázatokban külön lettek meghatározva</t>
  </si>
  <si>
    <t>kumite / kata</t>
  </si>
  <si>
    <t>1. sz. Pontértéktáblázat /nemzetközi ill. "címversenyek"/</t>
  </si>
  <si>
    <t>I.</t>
  </si>
  <si>
    <t>II.</t>
  </si>
  <si>
    <t>III.</t>
  </si>
  <si>
    <t>IV.</t>
  </si>
  <si>
    <t>V-VIII.</t>
  </si>
  <si>
    <t>16-ban</t>
  </si>
  <si>
    <t>32-ben</t>
  </si>
  <si>
    <t>ESEMÉNY</t>
  </si>
  <si>
    <t>Világbajnokság</t>
  </si>
  <si>
    <t>Világkupa</t>
  </si>
  <si>
    <t>-</t>
  </si>
  <si>
    <t>Európa Bajnokság</t>
  </si>
  <si>
    <t>Jun./U22 EB</t>
  </si>
  <si>
    <t>Ifi EB</t>
  </si>
  <si>
    <t xml:space="preserve">"A" kat. nk.-i </t>
  </si>
  <si>
    <t xml:space="preserve">"B" kat. nk.-i </t>
  </si>
  <si>
    <t xml:space="preserve">Megj: a győzelem eléréséhez szükséges küzdelmek száma nincs figyelembe véve </t>
  </si>
  <si>
    <t>"A" kat. nk.-i: min. HU+7 ország versenyzői</t>
  </si>
  <si>
    <t>"B" kat. nk.-i: min. HU+3 ország versenyzői</t>
  </si>
  <si>
    <t>2. sz. Pontértéktáblázat /"alapversenyek"/</t>
  </si>
  <si>
    <t>Országos versenyek, Diák Ol. Selejtezők; CsB-k; utánpótlás versenyek</t>
  </si>
  <si>
    <t>Az első hely eléréséhez szükséges küzdelmek száma</t>
  </si>
  <si>
    <t>I. helyezés</t>
  </si>
  <si>
    <t>II. helyezés</t>
  </si>
  <si>
    <t>III. helyezés</t>
  </si>
  <si>
    <t>(2)</t>
  </si>
  <si>
    <t>(1)</t>
  </si>
  <si>
    <t xml:space="preserve">IV. helyezés </t>
  </si>
  <si>
    <t>V.-VIII. helyezés</t>
  </si>
  <si>
    <t>3a. sz. Pontértéktáblázat /emelt pontértékű versenyek/</t>
  </si>
  <si>
    <t>Diákolimpia döntő, MKSZ Utánpótlás MB; MKKSZ utánpótlás OB;  MKKSZ országos felnőtt versenyek</t>
  </si>
  <si>
    <t>(3)</t>
  </si>
  <si>
    <t>3b. sz. Pontértéktáblázat /emelt pontértékű versenyek/</t>
  </si>
  <si>
    <t>MKSZ felnőtt MB / MKKSZ felnőtt OB</t>
  </si>
  <si>
    <t>(5)</t>
  </si>
  <si>
    <t>4a. sz. Pontértéktáblázat /csökkentett pontértékű versenyek/</t>
  </si>
  <si>
    <t>Kizárás: 11 pont</t>
  </si>
  <si>
    <t>"B" kategóriás felnőtt versenyek</t>
  </si>
  <si>
    <t>4b. sz. Pontértéktáblázat /csökkentett pontértékű versenyek/</t>
  </si>
  <si>
    <t>Kizárás: 7 pont</t>
  </si>
  <si>
    <t>"C" kategóriás felnőtt versenyek</t>
  </si>
  <si>
    <t xml:space="preserve">5. sz. Pontértéktáblázat /küzd. száma/  </t>
  </si>
  <si>
    <t>indulók száma</t>
  </si>
  <si>
    <t>tipus</t>
  </si>
  <si>
    <t>küzd.-ek az I. helyhez</t>
  </si>
  <si>
    <t>33-64 induló mint</t>
  </si>
  <si>
    <t>egy.</t>
  </si>
  <si>
    <t>17-32 induló mint</t>
  </si>
  <si>
    <t>9-16 induló mint</t>
  </si>
  <si>
    <t>7-8 induló mint</t>
  </si>
  <si>
    <t>6 induló mint</t>
  </si>
  <si>
    <t>vegyes</t>
  </si>
  <si>
    <t>5 induló mint</t>
  </si>
  <si>
    <t>kör</t>
  </si>
  <si>
    <t>4 induló mint</t>
  </si>
  <si>
    <t>3 induló mint</t>
  </si>
  <si>
    <t>Megj.: Súlycs. nélk. és KATA versenyszámokban is figyelembe veendő</t>
  </si>
  <si>
    <t>7 induló</t>
  </si>
  <si>
    <t>masters=nem minősítő</t>
  </si>
  <si>
    <t>Dátum</t>
  </si>
  <si>
    <t>Helyszín</t>
  </si>
  <si>
    <t>Debrecen</t>
  </si>
  <si>
    <t>DOL elődöntő "B" csoport"</t>
  </si>
  <si>
    <t>DOL elődöntő "A" csoport"</t>
  </si>
  <si>
    <t>Várpalota</t>
  </si>
  <si>
    <t>junior itt nem minősítő!</t>
  </si>
  <si>
    <t>Gyöngyös</t>
  </si>
  <si>
    <t>Kumite 0-30 kg, Gyerek 1. (9-10) fiú</t>
  </si>
  <si>
    <t>Kumite 30-35 kg, Gyerek 1. (9-10) fiú</t>
  </si>
  <si>
    <t>Kumite 35-99 kg, Gyerek 1. (9-10) fiú</t>
  </si>
  <si>
    <t>Kata Gyerek 1. (9-10) fiú</t>
  </si>
  <si>
    <t>Kumite 0-30 kg, Gyerek 1. (9-10) lány</t>
  </si>
  <si>
    <t>Kumite 30-35 kg, Gyerek 1. (9-10) lány</t>
  </si>
  <si>
    <t>Kumite 35-200 kg, Gyerek 1. (9-10) lány</t>
  </si>
  <si>
    <t>Kata Gyerek 1. (9-10) lány</t>
  </si>
  <si>
    <t>Kumite 0-35 kg, Gyerek 2. (11-12) fiú</t>
  </si>
  <si>
    <t>Kumite 35-40 kg, Gyerek 2. (11-12) fiú</t>
  </si>
  <si>
    <t>Kumite 40-45 kg, Gyerek 2. (11-12) fiú</t>
  </si>
  <si>
    <t>Kumite 45-55 kg, Gyerek 2. (11-12) fiú</t>
  </si>
  <si>
    <t>Kumite 55-999 kg, Gyerek 2. (11-12) fiú</t>
  </si>
  <si>
    <t>Kata Gyerek 2. (11-12) fiú</t>
  </si>
  <si>
    <t>Kumite 0-35 kg, Gyerek 2. (11-12) lány</t>
  </si>
  <si>
    <t>Kumite 35-40 kg, Gyerek 2. (11-12) lány</t>
  </si>
  <si>
    <t>Kumite 45-200 kg, Gyerek 2. (11-12) lány</t>
  </si>
  <si>
    <t>Kumite 40-45 kg, Gyerek 2. (11-12) lány</t>
  </si>
  <si>
    <t>Kata Gyerek 2. (11-12) lány</t>
  </si>
  <si>
    <t>Kata  Serdülő (13-14) lány</t>
  </si>
  <si>
    <t>Kumite 0-40 kg, Serdülő (13-14) fiú</t>
  </si>
  <si>
    <t>Kumite 40-45 kg, Serdülő (13-14) fiú</t>
  </si>
  <si>
    <t>Kumite 45-50 kg, Serdülő (13-14) fiú</t>
  </si>
  <si>
    <t>Kumite 50-60 kg, Serdülő (13-14) fiú</t>
  </si>
  <si>
    <t>Kumite 70-999 kg, Serdülő (13-14) fiú</t>
  </si>
  <si>
    <t>Kumite 60-70 kg, Serdülő (13-14) fiú</t>
  </si>
  <si>
    <t>Kata  Serdülő (13-14) fiú</t>
  </si>
  <si>
    <t>Kumite 0-45 kg, Serdülő (13-14) lány</t>
  </si>
  <si>
    <t>Kumite 45-55 kg, Serdülő (13-14) lány</t>
  </si>
  <si>
    <t>Kumite 55-65 kg, Serdülő (13-14) lány</t>
  </si>
  <si>
    <t>Kumite 65-150 kg, Serdülő (13-14) lány</t>
  </si>
  <si>
    <t>Kumite 0-50 kg, Ifjúsági (15-16) fiú</t>
  </si>
  <si>
    <t>Kumite 50-55 kg, Ifjúsági (15-16) fiú</t>
  </si>
  <si>
    <t>Kumite 55-60 kg, Ifjúsági (15-16) fiú</t>
  </si>
  <si>
    <t>Kumite 65-70 kg, Ifjúsági (15-16) fiú</t>
  </si>
  <si>
    <t>Kumite 75-999 kg, Ifjúsági (15-16) fiú</t>
  </si>
  <si>
    <t>Kata  Ifjúsági (15-16) fiú</t>
  </si>
  <si>
    <t>Kumite 0-60 kg, Junior DOL (17-19) fiú</t>
  </si>
  <si>
    <t>Kumite 65-70 kg, Junior DOL (17-19) fiú</t>
  </si>
  <si>
    <t>Kumite 70-75 kg, Junior DOL (17-19) fiú</t>
  </si>
  <si>
    <t>Kumite 75-80 kg, Junior DOL (17-19) fiú</t>
  </si>
  <si>
    <t>Kata , Junior (17-18) fiú</t>
  </si>
  <si>
    <t>Kumite 60-65 kg, Ifjúsági (15-16) fiú</t>
  </si>
  <si>
    <t>Kumite 70-75 kg, Ifjúsági (15-16) fiú</t>
  </si>
  <si>
    <t>Kumite 0-50 kg, Ifjúsági (15-16) lány</t>
  </si>
  <si>
    <t>Kumite 50-55 kg, Ifjúsági (15-16) lány</t>
  </si>
  <si>
    <t>Kumite 55-60 kg, Ifjúsági (15-16) lány</t>
  </si>
  <si>
    <t>Kumite 60-65 kg, Ifjúsági (15-16) lány</t>
  </si>
  <si>
    <t>Kumite 65-200 kg, Ifjúsági (15-16) lány</t>
  </si>
  <si>
    <t>Kata  Ifjúsági (15-16) lány</t>
  </si>
  <si>
    <t>Kumite 50-55 kg, Junior DOL (17-19) lány</t>
  </si>
  <si>
    <t>Kumite 65-199 kg, Junior DOL (17-19) lány</t>
  </si>
  <si>
    <t>Kata , Junior (17-18) lány</t>
  </si>
  <si>
    <t>5-8</t>
  </si>
  <si>
    <t>Kantó Máté</t>
  </si>
  <si>
    <t>nyert meccsel a 8-ba</t>
  </si>
  <si>
    <t>Zajácz Miklós</t>
  </si>
  <si>
    <t>Virág Oszkár</t>
  </si>
  <si>
    <t>Rokku KKSE</t>
  </si>
  <si>
    <t>Bálint Gábor</t>
  </si>
  <si>
    <t>POWER SE.</t>
  </si>
  <si>
    <t>ARSC</t>
  </si>
  <si>
    <t xml:space="preserve">Balatoni Multi S.E. </t>
  </si>
  <si>
    <t>Buke Reikon HRSE</t>
  </si>
  <si>
    <t>Bushido Kaposvár</t>
  </si>
  <si>
    <t>Castrum</t>
  </si>
  <si>
    <t>Cs.S.E.</t>
  </si>
  <si>
    <t>Damashi</t>
  </si>
  <si>
    <t>Délegyházi Karate SE</t>
  </si>
  <si>
    <t>Derecske BUDO</t>
  </si>
  <si>
    <t>DTKK SE</t>
  </si>
  <si>
    <t>Fight-team</t>
  </si>
  <si>
    <t>Fitt SE</t>
  </si>
  <si>
    <t>Hajdúszoboszló</t>
  </si>
  <si>
    <t>HARCOSOK KLUBJA</t>
  </si>
  <si>
    <t>Kapuvári SE</t>
  </si>
  <si>
    <t>Katana SE</t>
  </si>
  <si>
    <t>Keizoku SE</t>
  </si>
  <si>
    <t>Keszth.KKK</t>
  </si>
  <si>
    <t>KyoDabas SE.</t>
  </si>
  <si>
    <t>Mátészalkai MTK</t>
  </si>
  <si>
    <t>MSKKE Tokaj</t>
  </si>
  <si>
    <t>Nyíradonyi KKE</t>
  </si>
  <si>
    <t>RDKKSE</t>
  </si>
  <si>
    <t xml:space="preserve">Renmei se </t>
  </si>
  <si>
    <t>Samurai SE</t>
  </si>
  <si>
    <t>ShinzóDojo</t>
  </si>
  <si>
    <t>SONGOKU SE</t>
  </si>
  <si>
    <t>UDSE</t>
  </si>
  <si>
    <t>VKKKK SE</t>
  </si>
  <si>
    <t>Jónás Alex</t>
  </si>
  <si>
    <t>körbeverés, nyert meccs</t>
  </si>
  <si>
    <t>Gombos-Weidinger Zsombor</t>
  </si>
  <si>
    <t>Hideg Krisztián</t>
  </si>
  <si>
    <t>Thornton Ruby</t>
  </si>
  <si>
    <t>Molnár Marcell</t>
  </si>
  <si>
    <t>Horváth Mátyás Nándor</t>
  </si>
  <si>
    <t>Antal Dániel Kristóf</t>
  </si>
  <si>
    <t>Finta Csanád</t>
  </si>
  <si>
    <t>Moosbauer Kevin</t>
  </si>
  <si>
    <t>Bota Sára</t>
  </si>
  <si>
    <t>IKO Matsushima</t>
  </si>
  <si>
    <t>Szabó Anna Tímea</t>
  </si>
  <si>
    <t>Szelőczei Noémi</t>
  </si>
  <si>
    <t>Gergácz Róza</t>
  </si>
  <si>
    <t>Magasi Attila</t>
  </si>
  <si>
    <t>Kóri Iván</t>
  </si>
  <si>
    <t>Németh Adrián</t>
  </si>
  <si>
    <t>Horváth Milán Noel</t>
  </si>
  <si>
    <t>Balla Adrián</t>
  </si>
  <si>
    <t>Kiss István</t>
  </si>
  <si>
    <t>Kis Ádám Zsolt</t>
  </si>
  <si>
    <t>Virág Marcell Máté</t>
  </si>
  <si>
    <t>Litauszki Keve</t>
  </si>
  <si>
    <t>Székely Lázár</t>
  </si>
  <si>
    <t xml:space="preserve">Kis Zoltán János </t>
  </si>
  <si>
    <t>Bodor Noémi</t>
  </si>
  <si>
    <t>Almási Petra</t>
  </si>
  <si>
    <t>Fábián Anna</t>
  </si>
  <si>
    <t>MOLNÁR MARCELL</t>
  </si>
  <si>
    <t xml:space="preserve">Lakatos Ádám </t>
  </si>
  <si>
    <t>Novák Máté</t>
  </si>
  <si>
    <t>Novák Balázs</t>
  </si>
  <si>
    <t>Vórincsák Vivien</t>
  </si>
  <si>
    <t>Ecsedi Réka</t>
  </si>
  <si>
    <t>Szabó Lara</t>
  </si>
  <si>
    <t>Pénzes Zsófia</t>
  </si>
  <si>
    <t xml:space="preserve">MKKSZ Minősítési Szabályzat </t>
  </si>
  <si>
    <t>(4.módosítás 2017)</t>
  </si>
  <si>
    <t>Alapelvek:</t>
  </si>
  <si>
    <r>
      <t xml:space="preserve">- A versenyek akkor tekintendők </t>
    </r>
    <r>
      <rPr>
        <b/>
        <sz val="11"/>
        <color theme="1"/>
        <rFont val="Calibri"/>
        <family val="2"/>
        <charset val="238"/>
        <scheme val="minor"/>
      </rPr>
      <t>minősítő verseny</t>
    </r>
    <r>
      <rPr>
        <sz val="11"/>
        <color theme="1"/>
        <rFont val="Calibri"/>
        <family val="2"/>
        <charset val="238"/>
        <scheme val="minor"/>
      </rPr>
      <t xml:space="preserve">nek, ha azok szerepelnek az </t>
    </r>
    <r>
      <rPr>
        <b/>
        <sz val="11"/>
        <color theme="1"/>
        <rFont val="Calibri"/>
        <family val="2"/>
        <charset val="238"/>
        <scheme val="minor"/>
      </rPr>
      <t>MKKSZ éves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>versenynaptárban</t>
    </r>
    <r>
      <rPr>
        <sz val="11"/>
        <color theme="1"/>
        <rFont val="Calibri"/>
        <family val="2"/>
        <charset val="238"/>
        <scheme val="minor"/>
      </rPr>
      <t xml:space="preserve"> és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charset val="238"/>
        <scheme val="minor"/>
      </rPr>
      <t>az éves MKKSZ versenynaptár összeállításakor minősítő versenyként kiválasztásra kerülnek.</t>
    </r>
  </si>
  <si>
    <r>
      <t xml:space="preserve">- A versenyek </t>
    </r>
    <r>
      <rPr>
        <b/>
        <sz val="11"/>
        <color theme="1"/>
        <rFont val="Calibri"/>
        <family val="2"/>
        <charset val="238"/>
        <scheme val="minor"/>
      </rPr>
      <t>minősítési besorolását</t>
    </r>
    <r>
      <rPr>
        <sz val="11"/>
        <color theme="1"/>
        <rFont val="Calibri"/>
        <family val="2"/>
        <charset val="238"/>
        <scheme val="minor"/>
      </rPr>
      <t xml:space="preserve"> a verseny lebonyolítási szintje alapján kell meghatározni.</t>
    </r>
  </si>
  <si>
    <t>Így egy verseny egy minősítési kategóriát jelent, kivéve, ha az előzetesen vegyesnek lett meghatározva.</t>
  </si>
  <si>
    <r>
      <t xml:space="preserve">Vegyes: </t>
    </r>
    <r>
      <rPr>
        <sz val="11"/>
        <color theme="1"/>
        <rFont val="Calibri"/>
        <family val="2"/>
        <charset val="238"/>
        <scheme val="minor"/>
      </rPr>
      <t xml:space="preserve">pl. ha egy versenyen bizonyos korosztályban más kategória lett meghirdetve (pl. B, C kategória), vagy bizonyos korosztály részére hazai, más korosztály részére nemzetközi a verseny. Ezeket a részleteket a </t>
    </r>
    <r>
      <rPr>
        <b/>
        <sz val="11"/>
        <color theme="1"/>
        <rFont val="Calibri"/>
        <family val="2"/>
        <charset val="238"/>
        <scheme val="minor"/>
      </rPr>
      <t>versenykiírásban</t>
    </r>
    <r>
      <rPr>
        <sz val="11"/>
        <color theme="1"/>
        <rFont val="Calibri"/>
        <family val="2"/>
        <charset val="238"/>
        <scheme val="minor"/>
      </rPr>
      <t xml:space="preserve"> előzetesen, pontosan, </t>
    </r>
    <r>
      <rPr>
        <b/>
        <sz val="11"/>
        <color theme="1"/>
        <rFont val="Calibri"/>
        <family val="2"/>
        <charset val="238"/>
        <scheme val="minor"/>
      </rPr>
      <t>meg kell határozni</t>
    </r>
    <r>
      <rPr>
        <sz val="11"/>
        <color theme="1"/>
        <rFont val="Calibri"/>
        <family val="2"/>
        <charset val="238"/>
        <scheme val="minor"/>
      </rPr>
      <t>!</t>
    </r>
  </si>
  <si>
    <t>Utólagosan egy versenyt, bármilyen indokkal, átminősíteni nem lehet!</t>
  </si>
  <si>
    <r>
      <t xml:space="preserve">- A </t>
    </r>
    <r>
      <rPr>
        <b/>
        <sz val="11"/>
        <color theme="1"/>
        <rFont val="Calibri"/>
        <family val="2"/>
        <charset val="238"/>
        <scheme val="minor"/>
      </rPr>
      <t>hazai versenyek</t>
    </r>
    <r>
      <rPr>
        <sz val="11"/>
        <color theme="1"/>
        <rFont val="Calibri"/>
        <family val="2"/>
        <charset val="238"/>
        <scheme val="minor"/>
      </rPr>
      <t xml:space="preserve"> minősítési besorolás szerint lehetnek </t>
    </r>
    <r>
      <rPr>
        <b/>
        <sz val="11"/>
        <color theme="1"/>
        <rFont val="Calibri"/>
        <family val="2"/>
        <charset val="238"/>
        <scheme val="minor"/>
      </rPr>
      <t>alapversenyek</t>
    </r>
    <r>
      <rPr>
        <sz val="11"/>
        <color theme="1"/>
        <rFont val="Calibri"/>
        <family val="2"/>
        <charset val="238"/>
        <scheme val="minor"/>
      </rPr>
      <t xml:space="preserve">, </t>
    </r>
    <r>
      <rPr>
        <b/>
        <sz val="11"/>
        <color theme="1"/>
        <rFont val="Calibri"/>
        <family val="2"/>
        <charset val="238"/>
        <scheme val="minor"/>
      </rPr>
      <t>cím versenyek</t>
    </r>
    <r>
      <rPr>
        <sz val="11"/>
        <color theme="1"/>
        <rFont val="Calibri"/>
        <family val="2"/>
        <charset val="238"/>
        <scheme val="minor"/>
      </rPr>
      <t xml:space="preserve"> (bajnokságok) emelt pontértékkel </t>
    </r>
    <r>
      <rPr>
        <b/>
        <sz val="11"/>
        <color theme="1"/>
        <rFont val="Calibri"/>
        <family val="2"/>
        <charset val="238"/>
        <scheme val="minor"/>
      </rPr>
      <t>valamint „B”; „C” kategóriás versenyek</t>
    </r>
    <r>
      <rPr>
        <sz val="11"/>
        <color theme="1"/>
        <rFont val="Calibri"/>
        <family val="2"/>
        <charset val="238"/>
        <scheme val="minor"/>
      </rPr>
      <t xml:space="preserve"> csökkentett pontértékkel.</t>
    </r>
  </si>
  <si>
    <r>
      <t xml:space="preserve">- </t>
    </r>
    <r>
      <rPr>
        <b/>
        <sz val="11"/>
        <color theme="1"/>
        <rFont val="Calibri"/>
        <family val="2"/>
        <charset val="238"/>
        <scheme val="minor"/>
      </rPr>
      <t>Helyezésre</t>
    </r>
    <r>
      <rPr>
        <sz val="11"/>
        <color theme="1"/>
        <rFont val="Calibri"/>
        <family val="2"/>
        <charset val="238"/>
        <scheme val="minor"/>
      </rPr>
      <t xml:space="preserve"> csak olyan versenyző érdemesül, aki legalább </t>
    </r>
    <r>
      <rPr>
        <b/>
        <sz val="11"/>
        <color theme="1"/>
        <rFont val="Calibri"/>
        <family val="2"/>
        <charset val="238"/>
        <scheme val="minor"/>
      </rPr>
      <t>egy ellenfelet legyőzött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</si>
  <si>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- </t>
    </r>
    <r>
      <rPr>
        <b/>
        <sz val="11"/>
        <color theme="1"/>
        <rFont val="Calibri"/>
        <family val="2"/>
        <charset val="238"/>
        <scheme val="minor"/>
      </rPr>
      <t>Minősítési pontot</t>
    </r>
    <r>
      <rPr>
        <sz val="11"/>
        <color theme="1"/>
        <rFont val="Calibri"/>
        <family val="2"/>
        <charset val="238"/>
        <scheme val="minor"/>
      </rPr>
      <t xml:space="preserve"> csak </t>
    </r>
    <r>
      <rPr>
        <b/>
        <sz val="11"/>
        <color theme="1"/>
        <rFont val="Calibri"/>
        <family val="2"/>
        <charset val="238"/>
        <scheme val="minor"/>
      </rPr>
      <t>helyezett versenyző</t>
    </r>
    <r>
      <rPr>
        <sz val="11"/>
        <color theme="1"/>
        <rFont val="Calibri"/>
        <family val="2"/>
        <charset val="238"/>
        <scheme val="minor"/>
      </rPr>
      <t xml:space="preserve"> kaphat (pl. háromfős, körmérkőzéses mezőnynél az első két helyezett). Ez a szabály </t>
    </r>
    <r>
      <rPr>
        <b/>
        <sz val="11"/>
        <color theme="1"/>
        <rFont val="Calibri"/>
        <family val="2"/>
        <charset val="238"/>
        <scheme val="minor"/>
      </rPr>
      <t>nemzetközi versenyek esetén is érvényes</t>
    </r>
    <r>
      <rPr>
        <sz val="11"/>
        <color theme="1"/>
        <rFont val="Calibri"/>
        <family val="2"/>
        <charset val="238"/>
        <scheme val="minor"/>
      </rPr>
      <t xml:space="preserve"> függetlenül attól, hogy kapott-e az adott versenyen helyezést.</t>
    </r>
  </si>
  <si>
    <r>
      <t xml:space="preserve">- A </t>
    </r>
    <r>
      <rPr>
        <b/>
        <sz val="11"/>
        <color theme="1"/>
        <rFont val="Calibri"/>
        <family val="2"/>
        <charset val="238"/>
        <scheme val="minor"/>
      </rPr>
      <t>négyes körmérkőzések</t>
    </r>
    <r>
      <rPr>
        <sz val="11"/>
        <color theme="1"/>
        <rFont val="Calibri"/>
        <family val="2"/>
        <charset val="238"/>
        <scheme val="minor"/>
      </rPr>
      <t xml:space="preserve"> esetén, keresztbe verésnél, valamint </t>
    </r>
    <r>
      <rPr>
        <b/>
        <sz val="11"/>
        <color theme="1"/>
        <rFont val="Calibri"/>
        <family val="2"/>
        <charset val="238"/>
        <scheme val="minor"/>
      </rPr>
      <t>ötös körmérkőzés</t>
    </r>
    <r>
      <rPr>
        <sz val="11"/>
        <color theme="1"/>
        <rFont val="Calibri"/>
        <family val="2"/>
        <charset val="238"/>
        <scheme val="minor"/>
      </rPr>
      <t xml:space="preserve"> esetén az a versenyző, aki legalább egy mérkőzést nyert </t>
    </r>
    <r>
      <rPr>
        <b/>
        <sz val="11"/>
        <color theme="1"/>
        <rFont val="Calibri"/>
        <family val="2"/>
        <charset val="238"/>
        <scheme val="minor"/>
      </rPr>
      <t>negyedik helyezésre jogosult</t>
    </r>
    <r>
      <rPr>
        <sz val="11"/>
        <color theme="1"/>
        <rFont val="Calibri"/>
        <family val="2"/>
        <charset val="238"/>
        <scheme val="minor"/>
      </rPr>
      <t xml:space="preserve"> az azt megillető ponttal.</t>
    </r>
  </si>
  <si>
    <r>
      <t xml:space="preserve">- Az 5-8. helyezés csak abban a mezőnyben adható ki, ahol a létszám eléri a -négy küzdelem a győzelemhez - </t>
    </r>
    <r>
      <rPr>
        <b/>
        <sz val="11"/>
        <color theme="1"/>
        <rFont val="Calibri"/>
        <family val="2"/>
        <charset val="238"/>
        <scheme val="minor"/>
      </rPr>
      <t>létszámkritériumot</t>
    </r>
    <r>
      <rPr>
        <sz val="11"/>
        <color theme="1"/>
        <rFont val="Calibri"/>
        <family val="2"/>
        <charset val="238"/>
        <scheme val="minor"/>
      </rPr>
      <t xml:space="preserve"> és </t>
    </r>
    <r>
      <rPr>
        <b/>
        <sz val="11"/>
        <color theme="1"/>
        <rFont val="Calibri"/>
        <family val="2"/>
        <charset val="238"/>
        <scheme val="minor"/>
      </rPr>
      <t>nyert mérkőzéssel</t>
    </r>
    <r>
      <rPr>
        <sz val="11"/>
        <color theme="1"/>
        <rFont val="Calibri"/>
        <family val="2"/>
        <charset val="238"/>
        <scheme val="minor"/>
      </rPr>
      <t xml:space="preserve"> került a versenyző a nyolc közé.</t>
    </r>
  </si>
  <si>
    <r>
      <t xml:space="preserve">- </t>
    </r>
    <r>
      <rPr>
        <b/>
        <sz val="11"/>
        <color theme="1"/>
        <rFont val="Calibri"/>
        <family val="2"/>
        <charset val="238"/>
        <scheme val="minor"/>
      </rPr>
      <t>Pontozásos kata versenyek</t>
    </r>
    <r>
      <rPr>
        <sz val="11"/>
        <color theme="1"/>
        <rFont val="Calibri"/>
        <family val="2"/>
        <charset val="238"/>
        <scheme val="minor"/>
      </rPr>
      <t xml:space="preserve"> esetére is vonatkoznak ezek az elvek, a negyedik helyezésre csak 6 főt meghaladó (min. 7 fős) mezőny esetén jár pont.</t>
    </r>
  </si>
  <si>
    <t>- A pontozásos kata versenyeket 3 fordulósnak kell tekinteni, függetlenül attól, hogy azt esetleg két fordulóban rendezik meg.</t>
  </si>
  <si>
    <t xml:space="preserve"> - A pontozásos kata versenyek esetén a kiadandó helyezések száma az indulók létszámától függ:</t>
  </si>
  <si>
    <t>3 fő esetén: az első két helyezés</t>
  </si>
  <si>
    <r>
      <t>4</t>
    </r>
    <r>
      <rPr>
        <sz val="11"/>
        <color rgb="FFFF0000"/>
        <rFont val="Calibri"/>
        <family val="2"/>
        <charset val="238"/>
        <scheme val="minor"/>
      </rPr>
      <t>-5-6</t>
    </r>
    <r>
      <rPr>
        <sz val="11"/>
        <color theme="1"/>
        <rFont val="Calibri"/>
        <family val="2"/>
        <charset val="238"/>
        <scheme val="minor"/>
      </rPr>
      <t xml:space="preserve"> fő esetén: az első három helyezés</t>
    </r>
  </si>
  <si>
    <t>7 - 8 fő esetén: az első négy helyezés</t>
  </si>
  <si>
    <t>9 fő estén: az első négy + V. helyezett; 10 fő esetén: az első négy + V.-VI. helyezett;</t>
  </si>
  <si>
    <t>11 fő esetén: az első négy helyezett + V.-VI.-VII. helyezett;</t>
  </si>
  <si>
    <t>12 fő és feletti létszám esetén: az első négy helyezés + V.-VI.-VII.-VIII. helyezett.</t>
  </si>
  <si>
    <t>Kilenc fő és feletti létszám esetén a felsorolt helyezettek az V.-VIII. helyezésért járó pontot kapják.</t>
  </si>
  <si>
    <r>
      <t xml:space="preserve">- Olyan versenyeken, ahol </t>
    </r>
    <r>
      <rPr>
        <b/>
        <sz val="11"/>
        <color theme="1"/>
        <rFont val="Calibri"/>
        <family val="2"/>
        <charset val="238"/>
        <scheme val="minor"/>
      </rPr>
      <t>küzdelem van a 3.-4. helyezés eldöntésére</t>
    </r>
    <r>
      <rPr>
        <sz val="11"/>
        <color theme="1"/>
        <rFont val="Calibri"/>
        <family val="2"/>
        <charset val="238"/>
        <scheme val="minor"/>
      </rPr>
      <t>, a negyedik helyezésre csak 6 főt meghaladó (min. 7 fős) mezőny esetén jár pont.</t>
    </r>
  </si>
  <si>
    <r>
      <t xml:space="preserve">- Olyan versenyeken, ahol </t>
    </r>
    <r>
      <rPr>
        <b/>
        <sz val="11"/>
        <color theme="1"/>
        <rFont val="Calibri"/>
        <family val="2"/>
        <charset val="238"/>
        <scheme val="minor"/>
      </rPr>
      <t>nincs körmérkőzés</t>
    </r>
    <r>
      <rPr>
        <sz val="11"/>
        <color theme="1"/>
        <rFont val="Calibri"/>
        <family val="2"/>
        <charset val="238"/>
        <scheme val="minor"/>
      </rPr>
      <t xml:space="preserve"> a 6 fős vagy kisebb létszámú mezőnyöknél, az „első hely eléréséhez szükséges küzdelmek száma” a kieséses tabella alapján legyen megállapítva. (hat és öt főnél a nyolcas tabella száma: </t>
    </r>
    <r>
      <rPr>
        <b/>
        <sz val="11"/>
        <color theme="1"/>
        <rFont val="Calibri"/>
        <family val="2"/>
        <charset val="238"/>
        <scheme val="minor"/>
      </rPr>
      <t>3</t>
    </r>
    <r>
      <rPr>
        <sz val="11"/>
        <color theme="1"/>
        <rFont val="Calibri"/>
        <family val="2"/>
        <charset val="238"/>
        <scheme val="minor"/>
      </rPr>
      <t xml:space="preserve">; négy és három főnél: </t>
    </r>
    <r>
      <rPr>
        <b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.)</t>
    </r>
  </si>
  <si>
    <r>
      <t xml:space="preserve">- </t>
    </r>
    <r>
      <rPr>
        <b/>
        <sz val="11"/>
        <color theme="1"/>
        <rFont val="Calibri"/>
        <family val="2"/>
        <charset val="238"/>
        <scheme val="minor"/>
      </rPr>
      <t>Nemzetközi „A” és „B” kategóriát</t>
    </r>
    <r>
      <rPr>
        <sz val="11"/>
        <color theme="1"/>
        <rFont val="Calibri"/>
        <family val="2"/>
        <charset val="238"/>
        <scheme val="minor"/>
      </rPr>
      <t xml:space="preserve"> csak </t>
    </r>
    <r>
      <rPr>
        <b/>
        <sz val="11"/>
        <color theme="1"/>
        <rFont val="Calibri"/>
        <family val="2"/>
        <charset val="238"/>
        <scheme val="minor"/>
      </rPr>
      <t xml:space="preserve">felnőttek </t>
    </r>
    <r>
      <rPr>
        <sz val="11"/>
        <color theme="1"/>
        <rFont val="Calibri"/>
        <family val="2"/>
        <charset val="238"/>
        <scheme val="minor"/>
      </rPr>
      <t xml:space="preserve">esetére alkalmazzuk, olyan </t>
    </r>
    <r>
      <rPr>
        <b/>
        <sz val="11"/>
        <color theme="1"/>
        <rFont val="Calibri"/>
        <family val="2"/>
        <charset val="238"/>
        <scheme val="minor"/>
      </rPr>
      <t>nemzetközi utánpótlás versenyek</t>
    </r>
    <r>
      <rPr>
        <sz val="11"/>
        <color theme="1"/>
        <rFont val="Calibri"/>
        <family val="2"/>
        <charset val="238"/>
        <scheme val="minor"/>
      </rPr>
      <t xml:space="preserve">, amelyek elérnék a nemzetközi „A” és „B” kritériumokat, a </t>
    </r>
    <r>
      <rPr>
        <b/>
        <sz val="11"/>
        <color theme="1"/>
        <rFont val="Calibri"/>
        <family val="2"/>
        <charset val="238"/>
        <scheme val="minor"/>
      </rPr>
      <t>hazai emelt pontértékkel</t>
    </r>
    <r>
      <rPr>
        <sz val="11"/>
        <color theme="1"/>
        <rFont val="Calibri"/>
        <family val="2"/>
        <charset val="238"/>
        <scheme val="minor"/>
      </rPr>
      <t xml:space="preserve"> számolandók el. „A” kat. esetén 3.b táblázat, „B” kat. esetén 3.a táblázat pontértéke az </t>
    </r>
    <r>
      <rPr>
        <b/>
        <sz val="11"/>
        <color theme="1"/>
        <rFont val="Calibri"/>
        <family val="2"/>
        <charset val="238"/>
        <scheme val="minor"/>
      </rPr>
      <t>indulói létszám figyelembe vételével.</t>
    </r>
  </si>
  <si>
    <t>A minősítési rendszer a minősítési excel táblázat utolsó munkalapján (min_pont) mindenki számára megtekinthető.</t>
  </si>
  <si>
    <t xml:space="preserve">2017 január 28. </t>
  </si>
  <si>
    <t>MKKSZ Közgyűlés által elfogadva</t>
  </si>
  <si>
    <t>Pont- érték</t>
  </si>
  <si>
    <t>Katana</t>
  </si>
  <si>
    <t>Név + Egyesület</t>
  </si>
  <si>
    <t>Mátó Katalin</t>
  </si>
  <si>
    <t>DOL Döntő</t>
  </si>
  <si>
    <t>Szigetszentmiklós</t>
  </si>
  <si>
    <t>Spanjevic Frida</t>
  </si>
  <si>
    <t>Fajka Flóra</t>
  </si>
  <si>
    <t>Wölfinger Liza</t>
  </si>
  <si>
    <t>Kiss Aliz</t>
  </si>
  <si>
    <t>Joób-Fancsaly András</t>
  </si>
  <si>
    <t>Vati András</t>
  </si>
  <si>
    <t>Kiss Levente</t>
  </si>
  <si>
    <t>Némethy Balázs</t>
  </si>
  <si>
    <t>Tálas Csongor</t>
  </si>
  <si>
    <t>Gaál Kolos Botond</t>
  </si>
  <si>
    <t>Remenyik Péter</t>
  </si>
  <si>
    <t>Hidegh Krisztián</t>
  </si>
  <si>
    <t>Héder Patrik</t>
  </si>
  <si>
    <t>Mohai Szilárd</t>
  </si>
  <si>
    <t>Belicza András</t>
  </si>
  <si>
    <t>Csorba Romiró</t>
  </si>
  <si>
    <t>Horváth Richárd</t>
  </si>
  <si>
    <t>Kurucz Tamás Timuzsin</t>
  </si>
  <si>
    <t>Szabó Péter Nimród</t>
  </si>
  <si>
    <t>Vincze Barnabás</t>
  </si>
  <si>
    <t xml:space="preserve">Gémes Dániel </t>
  </si>
  <si>
    <t>Gaál-Vajai Tamás</t>
  </si>
  <si>
    <t>Száraz Zsombor</t>
  </si>
  <si>
    <t>Gál Gergely</t>
  </si>
  <si>
    <t>Izsák-Rudolf Gergő</t>
  </si>
  <si>
    <t xml:space="preserve">Gál Milán György </t>
  </si>
  <si>
    <t>Hiezl Barnabás</t>
  </si>
  <si>
    <t>Horváth Boróka</t>
  </si>
  <si>
    <t>Gecsei Emma Borbála</t>
  </si>
  <si>
    <t>Ledniczki Panna</t>
  </si>
  <si>
    <t>Marcali SKK</t>
  </si>
  <si>
    <t>Riegler Rebeka Gréta</t>
  </si>
  <si>
    <t>Bognár Boglárka</t>
  </si>
  <si>
    <t>nem jár pont, nincs nyert mérkőzése</t>
  </si>
  <si>
    <t>Hegedűs Botond</t>
  </si>
  <si>
    <t>Hegedűs Bence</t>
  </si>
  <si>
    <t>Eperjesi Dávid</t>
  </si>
  <si>
    <t>Jakubovics Nikolett</t>
  </si>
  <si>
    <t>Nádasdi Dávid</t>
  </si>
  <si>
    <t>Kiss Zoltán János</t>
  </si>
  <si>
    <t>Radnóti Lilla</t>
  </si>
  <si>
    <t>Szabó Zsófi</t>
  </si>
  <si>
    <t>Orosz Elizabett</t>
  </si>
  <si>
    <t>Tóth-Krisó Míra</t>
  </si>
  <si>
    <t>Berényi Imre Márk</t>
  </si>
  <si>
    <t>Gáncs Arnold</t>
  </si>
  <si>
    <t>Szalontai Levente</t>
  </si>
  <si>
    <t>Czakó Natália</t>
  </si>
  <si>
    <t>Farkas Eszter</t>
  </si>
  <si>
    <t>Sümegh Anna</t>
  </si>
  <si>
    <t>Szabó Petra</t>
  </si>
  <si>
    <t>Kun Dániel</t>
  </si>
  <si>
    <t>Uszkai Janka</t>
  </si>
  <si>
    <t>Csoport eredeti neve main2-ben</t>
  </si>
  <si>
    <t>Gyerek 1. fiú</t>
  </si>
  <si>
    <t>Gyerek 1. lány</t>
  </si>
  <si>
    <t>Gyerek 2. fiú</t>
  </si>
  <si>
    <t>Gyerek 2. lány</t>
  </si>
  <si>
    <t>Serdülő fiú</t>
  </si>
  <si>
    <t>Serdülő lány</t>
  </si>
  <si>
    <t>Ifjúsági fiú</t>
  </si>
  <si>
    <t>Ifjúsági lány</t>
  </si>
  <si>
    <t>Junior fiú</t>
  </si>
  <si>
    <t>Junior lány</t>
  </si>
  <si>
    <t>Formagyakorlat</t>
  </si>
  <si>
    <t>8 induló volt: 4. hely &gt; 2 pont</t>
  </si>
  <si>
    <t>Orosz Dorina</t>
  </si>
  <si>
    <t>Szutor Anna</t>
  </si>
  <si>
    <t>pontozás, 5-8 hely: 2 pont</t>
  </si>
  <si>
    <t>pontozás, 12 induló</t>
  </si>
  <si>
    <t>pontozás, 7 induló</t>
  </si>
  <si>
    <t>pontozás 14 induló</t>
  </si>
  <si>
    <t>Csoport egységes neve</t>
  </si>
  <si>
    <t>Kumite, felnőtt férfi 70 kg</t>
  </si>
  <si>
    <t>Kumite, felnőtt férfi 60 kg</t>
  </si>
  <si>
    <t>Kumite, felnőtt férfi 90 kg</t>
  </si>
  <si>
    <t>Kumite, felnőtt férfi 80 kg</t>
  </si>
  <si>
    <t>Kumite, felnőtt férfi +90 kg</t>
  </si>
  <si>
    <t>Kumite, felnőtt női 50 kg</t>
  </si>
  <si>
    <t>Kumite, felnőtt női 54 kg</t>
  </si>
  <si>
    <t>Kumite, felnőtt női 59 kg</t>
  </si>
  <si>
    <t>Kumite, felnőtt női 65 kg</t>
  </si>
  <si>
    <t>Kumite, felnőtt női +65 kg</t>
  </si>
  <si>
    <t>Kata, felnőtt női</t>
  </si>
  <si>
    <t>Kata, felnőtt férfi</t>
  </si>
  <si>
    <t>Kumite, junior fiú 60 kg</t>
  </si>
  <si>
    <t>Kumite, junior fiú 65 kg</t>
  </si>
  <si>
    <t>Kumite, junior fiú 70 kg</t>
  </si>
  <si>
    <t>Kumite, junior fiú 75 kg</t>
  </si>
  <si>
    <t>Kumite, junior fiú 80 kg</t>
  </si>
  <si>
    <t>Kumite, junior fiú +80 kg</t>
  </si>
  <si>
    <t>Kata, junior fiú</t>
  </si>
  <si>
    <t>Kata, junior lány</t>
  </si>
  <si>
    <t>Kumite, junior lány 50 kg</t>
  </si>
  <si>
    <t>Kumite, junior lány 55 kg</t>
  </si>
  <si>
    <t>Kumite, junior lány 60 kg</t>
  </si>
  <si>
    <t>Kumite, junior lány 65 kg</t>
  </si>
  <si>
    <t>Kumite, junior lány +65 kg</t>
  </si>
  <si>
    <t>Kumite, gyerek 1. fiú 30 kg</t>
  </si>
  <si>
    <t>Kumite, gyerek 2. fiú 30 kg</t>
  </si>
  <si>
    <t>Kumite, gyerek 1. fiú 35 kg</t>
  </si>
  <si>
    <t>Kumite, gyerek 2. fiú 35 kg</t>
  </si>
  <si>
    <t>Kumite, gyerek 1. fiú +35 kg</t>
  </si>
  <si>
    <t>Kata, gyerek 1. fiú</t>
  </si>
  <si>
    <t>Kumite, gyerek 1. lány 30 kg</t>
  </si>
  <si>
    <t>Kumite, gyerek 1. lány 35 kg</t>
  </si>
  <si>
    <t>Kumite, gyerek 2. lány 35 kg</t>
  </si>
  <si>
    <t>Kumite, gyerek 2. fiú 40 kg</t>
  </si>
  <si>
    <t>Kumite, gyerek 1. lány +35 kg</t>
  </si>
  <si>
    <t>Kata, gyerek 1. lány</t>
  </si>
  <si>
    <t>Kumite, gyerek 2. fiú 45 kg</t>
  </si>
  <si>
    <t>Kumite, gyerek 2. fiú 55 kg</t>
  </si>
  <si>
    <t>Kumite, gyerek 2. lány 40 kg</t>
  </si>
  <si>
    <t>Kumite, gyerek 2. fiú +55 kg</t>
  </si>
  <si>
    <t>Kata, gyerek 2. fiú</t>
  </si>
  <si>
    <t>Kata, gyerek 2. lány</t>
  </si>
  <si>
    <t>Kumite, gyerek 2. lány 45 kg</t>
  </si>
  <si>
    <t>Kumite, gyerek 2. lány +45 kg</t>
  </si>
  <si>
    <t>Kumite, serdülő fiú 40 kg</t>
  </si>
  <si>
    <t>Kumite, serdülő fiú 45 kg</t>
  </si>
  <si>
    <t>Kumite, serdülő fiú 50 kg</t>
  </si>
  <si>
    <t>Kumite, serdülő fiú 60 kg</t>
  </si>
  <si>
    <t>Kumite, serdülő fiú 70 kg</t>
  </si>
  <si>
    <t>Kumite, serdülő fiú 55 kg</t>
  </si>
  <si>
    <t>Kumite, serdülő fiú +70 kg</t>
  </si>
  <si>
    <t>Kumite, serdülő lány 45 kg</t>
  </si>
  <si>
    <t>Kata, serdülő fiú</t>
  </si>
  <si>
    <t>Kata, serdülő lány</t>
  </si>
  <si>
    <t>Kumite, serdülő lány 55 kg</t>
  </si>
  <si>
    <t>Kumite, serdülő lány 65 kg</t>
  </si>
  <si>
    <t>Kumite, ifjúsági fiú 50 kg</t>
  </si>
  <si>
    <t>Kumite, ifjúsági fiú 55 kg</t>
  </si>
  <si>
    <t>Kumite, serdülő lány +65 kg</t>
  </si>
  <si>
    <t>Kumite, ifjúsági fiú 60 kg</t>
  </si>
  <si>
    <t>Kumite, ifjúsági fiú 70 kg</t>
  </si>
  <si>
    <t>Kumite, ifjúsági lány 50 kg</t>
  </si>
  <si>
    <t>Kumite, ifjúsági fiú +75 kg</t>
  </si>
  <si>
    <t>Kata, ifjúsági fiú</t>
  </si>
  <si>
    <t>Kata, ifjúsági lány</t>
  </si>
  <si>
    <t>Kumite, ifjúsági lány 55 kg</t>
  </si>
  <si>
    <t>Kumite, ifjúsági lány 60 kg</t>
  </si>
  <si>
    <t>Kumite, ifjúsági lány 65 kg</t>
  </si>
  <si>
    <t>Kumite, ifjúsági lány +65 kg</t>
  </si>
  <si>
    <t>Kumite, gyerek 1. fiú 27 kg</t>
  </si>
  <si>
    <t>Kumite, ifjúsági fiú 65 kg</t>
  </si>
  <si>
    <t>Kumite, ifjúsági fiú 75 kg</t>
  </si>
  <si>
    <t>Szervezet</t>
  </si>
  <si>
    <t>Soltész Szabolcs - Kisvárda KKDOSC</t>
  </si>
  <si>
    <t>Andrikó Antal - KSE Tarján</t>
  </si>
  <si>
    <t>Bendiák Soma - Bendiák Dojo</t>
  </si>
  <si>
    <t>Sólyom Anna - Shogun</t>
  </si>
  <si>
    <t>Litvák Lili - KHSE</t>
  </si>
  <si>
    <t>Hardi Laura - Siófok KSE</t>
  </si>
  <si>
    <t>Gerő Hanna Gréta - Kagami</t>
  </si>
  <si>
    <t>Berényi Lujza Beatrix - Kagami</t>
  </si>
  <si>
    <t>Arnódi Gréta Bernadette - Kagami</t>
  </si>
  <si>
    <t>Rácz Dorottya - KHSE</t>
  </si>
  <si>
    <t>Jernyei Nikolett - KHSE</t>
  </si>
  <si>
    <t>Lajtos Patrik - Victory</t>
  </si>
  <si>
    <t>Ludszky Tamás - Főnix Dojo</t>
  </si>
  <si>
    <t>Fekete Gergely - Victory</t>
  </si>
  <si>
    <t>Tóth Csenge - Victory</t>
  </si>
  <si>
    <t>Gergely Henrietta - BHMSE</t>
  </si>
  <si>
    <t>Bihari Lili - Bátor KSE</t>
  </si>
  <si>
    <t>Gyenge Judit - KHSE</t>
  </si>
  <si>
    <t>Jámbor Dániel - KHSE</t>
  </si>
  <si>
    <t>Bede Zsombor - Ippon KKSE</t>
  </si>
  <si>
    <t>Varga Borbála - Kamikaze S</t>
  </si>
  <si>
    <t>Kollányi Miklós - Shogun</t>
  </si>
  <si>
    <t>Béres Sándor - KHSE</t>
  </si>
  <si>
    <t>Összeg / 1</t>
  </si>
  <si>
    <t>Rakurai Gumikirály Kupa</t>
  </si>
  <si>
    <t>Répcelak</t>
  </si>
  <si>
    <t>nem volt nyert mérkőzése</t>
  </si>
  <si>
    <t>első 3 kap csak pontot</t>
  </si>
  <si>
    <t>Bessenyei Csongor</t>
  </si>
  <si>
    <t xml:space="preserve">Pontozásos </t>
  </si>
  <si>
    <t>Rudi Gergő</t>
  </si>
  <si>
    <t>volt nyert meccse</t>
  </si>
  <si>
    <t>Sewed Hussein-Hajimirza</t>
  </si>
  <si>
    <t>AUT</t>
  </si>
  <si>
    <t>KK Mladost</t>
  </si>
  <si>
    <t>HRV</t>
  </si>
  <si>
    <t>SVK</t>
  </si>
  <si>
    <t>Beledi KÉSZ SE</t>
  </si>
  <si>
    <t>MKSZ</t>
  </si>
  <si>
    <t>Oyama Kyokushin</t>
  </si>
  <si>
    <t>Seibukai</t>
  </si>
  <si>
    <t>Oszlopcímkék</t>
  </si>
  <si>
    <t>European Karate Championship</t>
  </si>
  <si>
    <t>x</t>
  </si>
  <si>
    <t>nincs figyelembe véve</t>
  </si>
  <si>
    <t>Valencia</t>
  </si>
  <si>
    <t>Újvári Bálint</t>
  </si>
  <si>
    <t>Junior/U22 EB</t>
  </si>
  <si>
    <t>Felnőtt EB</t>
  </si>
  <si>
    <t>Csapatkata, junior lány</t>
  </si>
  <si>
    <t>Junior/U22 EB - nem volt nyertes mérkőzése</t>
  </si>
  <si>
    <t>Felnőtt EB - nem volt nyertes mérkőzése</t>
  </si>
  <si>
    <t>Arnódi Gréta Bernadette, Kollár Nóra, Berényi Lujza Beatrix</t>
  </si>
  <si>
    <t>Debrecen Kupa</t>
  </si>
  <si>
    <t>4b</t>
  </si>
  <si>
    <t>Szabó Áron Levente</t>
  </si>
  <si>
    <t>nincs pont a táblázatban erre</t>
  </si>
  <si>
    <t>Varga Bence</t>
  </si>
  <si>
    <t>Gyurcsán Tibor Balázs</t>
  </si>
  <si>
    <t>Ágoston Bence</t>
  </si>
  <si>
    <t>Zsin Zsófia</t>
  </si>
  <si>
    <t>Szabó Ákos Roland</t>
  </si>
  <si>
    <t>5 fős pontozásos</t>
  </si>
  <si>
    <t>Terbócs Roland</t>
  </si>
  <si>
    <t>Nagy Richárd</t>
  </si>
  <si>
    <t>Gerő Hanna Gréta</t>
  </si>
  <si>
    <t>6 fős pontozásos</t>
  </si>
  <si>
    <t>7 fős pontozásos</t>
  </si>
  <si>
    <t>Ciobanu Rianna</t>
  </si>
  <si>
    <t>FRKK</t>
  </si>
  <si>
    <t>ROU</t>
  </si>
  <si>
    <t>3 fős pontozásos</t>
  </si>
  <si>
    <t>ffi-női vegyesen volt</t>
  </si>
  <si>
    <t>nem ismert</t>
  </si>
  <si>
    <t>nincs rendesen nevezve, nem is egyértelmű</t>
  </si>
  <si>
    <t>Hamar Levente - KHSE</t>
  </si>
  <si>
    <t>Szabó Imre Richárd - KHSE</t>
  </si>
  <si>
    <t>Szervezet - segéd</t>
  </si>
  <si>
    <t>1_MKKSZ</t>
  </si>
  <si>
    <t>9_más szervezet</t>
  </si>
  <si>
    <t>nincs rendesen nevezve, de mivel két csapat volt, pont nem is jár</t>
  </si>
  <si>
    <t>Arnódi Gréta Bernadette (csapatban)</t>
  </si>
  <si>
    <t>Kollár Nóra (csapatban)</t>
  </si>
  <si>
    <t>Berényi Lujza Beatrix (csapatban)</t>
  </si>
  <si>
    <t>Junior/U22 EB csapat össz.10 pont</t>
  </si>
  <si>
    <t>korcsoport</t>
  </si>
  <si>
    <t>felnőtt</t>
  </si>
  <si>
    <t>utánpótlás</t>
  </si>
  <si>
    <t xml:space="preserve">Damashi Kupa </t>
  </si>
  <si>
    <t>Siklós</t>
  </si>
  <si>
    <t>Kumite, junior fiú +70 kg</t>
  </si>
  <si>
    <t>Kumite, U20 férfi 70 kg</t>
  </si>
  <si>
    <t>Kumite, U20 férfi 85 kg</t>
  </si>
  <si>
    <t>Kumite, Felnőtt férfi C</t>
  </si>
  <si>
    <t>Kumite, Felnőtt női C</t>
  </si>
  <si>
    <t>Kumite, U20 Női 55 kg</t>
  </si>
  <si>
    <t>nem kap pontot, mert &lt;7 fő indult</t>
  </si>
  <si>
    <t>Breznyiczki Barnabás</t>
  </si>
  <si>
    <t>Dévényi Lora - Victory</t>
  </si>
  <si>
    <t>U16, U21, Open EB Wroclaw</t>
  </si>
  <si>
    <t>Balázs Ákos</t>
  </si>
  <si>
    <t>Wroclaw</t>
  </si>
  <si>
    <t>Kumite U16 boys 60-65 kg</t>
  </si>
  <si>
    <t>Kumite U21 férfi 70 kg</t>
  </si>
  <si>
    <t>Zsin Zsombor</t>
  </si>
  <si>
    <t>Hoffer András</t>
  </si>
  <si>
    <t>Kumite U21 férfi +90 kg</t>
  </si>
  <si>
    <t>Kumite youth man 65-70 kg</t>
  </si>
  <si>
    <t>Kumite U16 girls 60-65 kg</t>
  </si>
  <si>
    <t>Kumite U21 férfi 75 kg</t>
  </si>
  <si>
    <t>Kumite U21 nő 65 kg</t>
  </si>
  <si>
    <t>Kumite youth woman 60-65 kg</t>
  </si>
  <si>
    <t>Kumite youth man 70-75 kg</t>
  </si>
  <si>
    <t>Kumite youth man +90 kg</t>
  </si>
  <si>
    <t>Kata U16 boys</t>
  </si>
  <si>
    <t>Kumite U16 boys 70-75 kg</t>
  </si>
  <si>
    <t>Kumite youth man 80-85 kg</t>
  </si>
  <si>
    <t>Kumite U21 férfi 85 kg</t>
  </si>
  <si>
    <t>Ifi EB - nem volt nyertes mérkőzése</t>
  </si>
  <si>
    <t>Kumite youth woman +65 kg</t>
  </si>
  <si>
    <t>Kumite youth woman 50-55 kg</t>
  </si>
  <si>
    <t>Kumite U16 girls 50-55 kg</t>
  </si>
  <si>
    <t>Lukács Kamilla</t>
  </si>
  <si>
    <t>Kumite youth woman -50 kg</t>
  </si>
  <si>
    <t>Kumite U21 női 50 kg</t>
  </si>
  <si>
    <t>Kumite U21 női 55 kg</t>
  </si>
  <si>
    <t>Kumite U21 női +65 kg</t>
  </si>
  <si>
    <t>Dévényi Lora</t>
  </si>
  <si>
    <t>Kumite youth man 75-80 kg</t>
  </si>
  <si>
    <t>Kumite U21 férfi 80 kg</t>
  </si>
  <si>
    <t>Szücs Marcell</t>
  </si>
  <si>
    <t>Kumite U16 girls 55-60 kg</t>
  </si>
  <si>
    <t>Kumite U16 girls -50 kg</t>
  </si>
  <si>
    <t>Kumite, ifjúsági lány -50 kg</t>
  </si>
  <si>
    <t>Németh Virág</t>
  </si>
  <si>
    <t>Adults Open EB</t>
  </si>
  <si>
    <t>Adults Women Open Weight</t>
  </si>
  <si>
    <t>Adults Men Open Weight</t>
  </si>
  <si>
    <t>Klubok rangsora összpontszám alapján</t>
  </si>
  <si>
    <t>Klubok rangsora a versenyek nevének és az ott megszerzett pontok feltüntetésével</t>
  </si>
  <si>
    <t>Kategóriánkénti EGYÉNI sorrend a minősítő versenyeken elért pontszámok feltüntetésével</t>
  </si>
  <si>
    <t>korcsoport2</t>
  </si>
  <si>
    <t>születési év</t>
  </si>
  <si>
    <t>Seiken STKE</t>
  </si>
  <si>
    <t>VTSE</t>
  </si>
  <si>
    <t>Nintai KKSE</t>
  </si>
  <si>
    <t>nem volt nyertes mérkőzése</t>
  </si>
  <si>
    <t>(üres)</t>
  </si>
  <si>
    <t>Lengyel László - Beledi KÉSZ SE</t>
  </si>
  <si>
    <t>Spéder István - Kamikaze S</t>
  </si>
  <si>
    <t>Csordás Norina - Seiken STKE</t>
  </si>
  <si>
    <t>Kollát Zétény - Nintai KKSE</t>
  </si>
  <si>
    <t xml:space="preserve">Badar Máté - TADASHII </t>
  </si>
  <si>
    <t>Genbu dojo</t>
  </si>
  <si>
    <t>Rácz Viktória - Shogun</t>
  </si>
  <si>
    <t>Kis Mónika - Főnix Dojo</t>
  </si>
  <si>
    <t>Szabó Bence - Shogun</t>
  </si>
  <si>
    <t>Feczkó Zoltán - Shogun</t>
  </si>
  <si>
    <t>Horváth Levente András - Castrum</t>
  </si>
  <si>
    <t>Gáspár Botond - Főnix Dojo</t>
  </si>
  <si>
    <t>Sólyom Gréta - Shogun</t>
  </si>
  <si>
    <t>Józsa Erika Réka - KHSE</t>
  </si>
  <si>
    <t>Kurucz László Botond - Genbu dojo</t>
  </si>
  <si>
    <t>Egyesület / verseny</t>
  </si>
  <si>
    <t>Klubok rangsora                                                                        kumite / kata                                                                        utánpótlás / felnőtt versenyzők                                        bontásában</t>
  </si>
  <si>
    <t>Klubok neve</t>
  </si>
  <si>
    <t>Versenyző neve - klubja</t>
  </si>
  <si>
    <t>Klub neve</t>
  </si>
  <si>
    <t>rangsor</t>
  </si>
  <si>
    <t>Klubok rangsora kata - kumite bontásban, összpontszám alapján</t>
  </si>
  <si>
    <t>Összes pont</t>
  </si>
  <si>
    <t>Egyesület</t>
  </si>
  <si>
    <t>Sharabi Maya - BHMSE</t>
  </si>
  <si>
    <t>Szakály Dominik - Shogun</t>
  </si>
  <si>
    <t xml:space="preserve">Egyéni sorrend - FELNŐTT és UTÁNPÓTLÁS versenyzők külön értékelve                                </t>
  </si>
  <si>
    <t>Szalay Berta - Castrum</t>
  </si>
  <si>
    <t>Mező Lili - Victory</t>
  </si>
  <si>
    <t>Név - 2025</t>
  </si>
  <si>
    <t>J21</t>
  </si>
  <si>
    <t>Rétfalvi Tamás - Kisvárda KKDOSC</t>
  </si>
  <si>
    <t>Kumite, U21 férfi 65 kg</t>
  </si>
  <si>
    <t>Kumite, U21 férfi 75 kg</t>
  </si>
  <si>
    <t>Kumite, U21 női 65 kg</t>
  </si>
  <si>
    <t>MKSZ Kyokushin Karate MB 2026</t>
  </si>
  <si>
    <t>Kumite, U21 férfi 80 kg</t>
  </si>
  <si>
    <t>Kumite, felnőtt női 55 kg</t>
  </si>
  <si>
    <t>Kumite, felnőtt női 60 kg</t>
  </si>
  <si>
    <t>Veszprém</t>
  </si>
  <si>
    <t>masters</t>
  </si>
  <si>
    <t>10 induló &gt; nem jár már pont</t>
  </si>
  <si>
    <t>14 induló &gt; nem jár már pont</t>
  </si>
  <si>
    <t>Gagna Patrik - Nozomu Dojo</t>
  </si>
  <si>
    <t>Dávid András - BHMSE</t>
  </si>
  <si>
    <t>Ujvári Bálint - Ippon KKSE</t>
  </si>
  <si>
    <t>Baranyai Máté - Shogun</t>
  </si>
  <si>
    <t>Vancsek Kristóf - Ippon KKSE</t>
  </si>
  <si>
    <t>Hoffer András - Castrum</t>
  </si>
  <si>
    <t>Bóka Viktória - Griff SE</t>
  </si>
  <si>
    <t>Nagy Nóra Bíborka - BHMSE</t>
  </si>
  <si>
    <t>Dróth-Tóth Adrienn - Rakurai</t>
  </si>
  <si>
    <t>Törő Attila - Victory</t>
  </si>
  <si>
    <t>Törő Márton - Victory</t>
  </si>
  <si>
    <t>Kántor Viktória - VTSE</t>
  </si>
  <si>
    <t xml:space="preserve">Polák Leila - TADASHII </t>
  </si>
  <si>
    <t>Horváth Nóra - Beledi KÉSZ SE</t>
  </si>
  <si>
    <t>Tóth Attila - Seiken STKE</t>
  </si>
  <si>
    <t>Varga Krsiztián - Beledi KÉSZ SE</t>
  </si>
  <si>
    <t>Csillag Viktor  - Beledi KÉSZ SE</t>
  </si>
  <si>
    <t xml:space="preserve">Pápai Balázs - TADASHII </t>
  </si>
  <si>
    <t>Csordás Benjamin - Seiken STKE</t>
  </si>
  <si>
    <t>Szabó István Balázs - KyoDabas SE.</t>
  </si>
  <si>
    <t xml:space="preserve">2 csapat induló </t>
  </si>
  <si>
    <t>Kagami csapat</t>
  </si>
  <si>
    <t>KHSE csapat</t>
  </si>
  <si>
    <t>2 induló estetán nem jár pont</t>
  </si>
  <si>
    <t>Kagami csapat - Kagami</t>
  </si>
  <si>
    <t>KHSE csapat - KHSE</t>
  </si>
  <si>
    <t>DOL elődöntő Várpalota</t>
  </si>
  <si>
    <t>DOL elődöntő Gyöngyös</t>
  </si>
  <si>
    <t>DOL döntő Szigetszentmiklós</t>
  </si>
  <si>
    <t>DOL elődöntő Várpalota TPN</t>
  </si>
  <si>
    <t>DOL elődöntő Gyöngyös TPN</t>
  </si>
  <si>
    <t>DOL döntő Szigetszentmiklós TPN</t>
  </si>
  <si>
    <t>Kumite, serdülő lány 40 kg</t>
  </si>
  <si>
    <t>Kumite, gyerek 2. fiú 50 kg</t>
  </si>
  <si>
    <t>Kumite, gyerek 2. fiú +50 kg</t>
  </si>
  <si>
    <t>Kumite, serdülő fiú 65 kg</t>
  </si>
  <si>
    <t>Kumite, serdülő fiú +65 kg</t>
  </si>
  <si>
    <t>Milutinovic Olivér</t>
  </si>
  <si>
    <t>Jankovics Marcell</t>
  </si>
  <si>
    <t>Kalamár László Thien</t>
  </si>
  <si>
    <t>Varga Tamás</t>
  </si>
  <si>
    <t>Goukai KSE</t>
  </si>
  <si>
    <t>Bartha Zsuzsanna</t>
  </si>
  <si>
    <t>6 fő esetén első 3 kap pontot</t>
  </si>
  <si>
    <t>9 fő estén 1-5 helyezett kap pontot</t>
  </si>
  <si>
    <t>3 fő estén 1-2 helyezett kap pontot</t>
  </si>
  <si>
    <t>10 fő estén 1-6 helyezett kap pontot</t>
  </si>
  <si>
    <t>gyerek</t>
  </si>
  <si>
    <t>serdülő</t>
  </si>
  <si>
    <t>ifjúsági</t>
  </si>
  <si>
    <t>junior</t>
  </si>
  <si>
    <t>Szymon Fraczek</t>
  </si>
  <si>
    <t>volt nyertes mérkőzése</t>
  </si>
  <si>
    <t>Máté Lénárd</t>
  </si>
  <si>
    <t>Kelemen-Team</t>
  </si>
  <si>
    <t>Eszenyi Barnabás</t>
  </si>
  <si>
    <t>Andrési Balázs</t>
  </si>
  <si>
    <t>Dürgő Máté</t>
  </si>
  <si>
    <t>Harsányi Tímea</t>
  </si>
  <si>
    <t>Józsa Erika</t>
  </si>
  <si>
    <t>7 fő esetén az 1-4 kap pontot</t>
  </si>
  <si>
    <t>4 fő esetén az 1-3 kap pontot</t>
  </si>
  <si>
    <t>6 fő esetén az 1-3 kap pontot</t>
  </si>
  <si>
    <t>Kovács Viktória</t>
  </si>
  <si>
    <t>13 fő esetén: 1-8 helyezett</t>
  </si>
  <si>
    <t>11 fő esetén: 1-7 helyezett</t>
  </si>
  <si>
    <t>9 fő esetén: 1-5 helyezett</t>
  </si>
  <si>
    <t>14 fő esetén: 1-8 helyezett</t>
  </si>
  <si>
    <t>WARRIORS TEAM</t>
  </si>
  <si>
    <t>Meiyo dojo</t>
  </si>
  <si>
    <t>Ichiro Dojo</t>
  </si>
  <si>
    <t>Wheelmaker dojo SE</t>
  </si>
  <si>
    <t>Nagy Sándor Dojo</t>
  </si>
  <si>
    <t>Borza Dojo</t>
  </si>
  <si>
    <t>Shinkyo SE</t>
  </si>
  <si>
    <t>IKIGAI DOJO BÖRCS</t>
  </si>
  <si>
    <t>Tora HSE</t>
  </si>
  <si>
    <t>ASE Bulldog KKSZCS</t>
  </si>
  <si>
    <t>Pagoda</t>
  </si>
  <si>
    <t>Kihaku SE</t>
  </si>
  <si>
    <t>Fitt KKSE</t>
  </si>
  <si>
    <t>Balogh Levente - Magna Dojo</t>
  </si>
  <si>
    <t>Sádt Zénó - Buke Reikon HRSE</t>
  </si>
  <si>
    <t>Szenner Valentin - Katana SE</t>
  </si>
  <si>
    <t>Eszenyi Barnabás - Shogun</t>
  </si>
  <si>
    <t>Kiss Adrián - Keizoku SE</t>
  </si>
  <si>
    <t>Boka Norman Eliot - Katana SE</t>
  </si>
  <si>
    <t>Szabó Áron Levente - Katana SE</t>
  </si>
  <si>
    <t>Hegedűs Botond - Keizoku SE</t>
  </si>
  <si>
    <t>Balázs Dénes - Griff SE</t>
  </si>
  <si>
    <t>Héder Patrik - Bátor KSE</t>
  </si>
  <si>
    <t>Tarr Bence - Shogun</t>
  </si>
  <si>
    <t>Benedek Barnabás - Nagykátai Bushido SE</t>
  </si>
  <si>
    <t>Fagbola Esther - Victory</t>
  </si>
  <si>
    <t>Zajácz Miklós - Kamikaze S</t>
  </si>
  <si>
    <t>Hidegh Krisztián - Rakurai</t>
  </si>
  <si>
    <t>Molnár I. Zétény - KKE - Spartacus</t>
  </si>
  <si>
    <t>Kárász Dániel - BHMSE</t>
  </si>
  <si>
    <t>Téglási Kamilla - Kisvárda KKDOSC</t>
  </si>
  <si>
    <t>Szabó Alex Dominik - Shogun</t>
  </si>
  <si>
    <t>Hegedűs Vencel - Nagykátai Bushido SE</t>
  </si>
  <si>
    <t>Makai Mór - Victory</t>
  </si>
  <si>
    <t>Szűcs Norbert - Shogun</t>
  </si>
  <si>
    <t>Berényi Milán - Shogun</t>
  </si>
  <si>
    <t>Pajkos Dominik - Shogun</t>
  </si>
  <si>
    <t>Kovács Milán - Katana SE</t>
  </si>
  <si>
    <t>Kis Olivér - KYO Fighter SE</t>
  </si>
  <si>
    <t>Ungai Csaba - Hajdúszoboszló</t>
  </si>
  <si>
    <t>Török Márton Ignác - Kelemen-Team</t>
  </si>
  <si>
    <t>Süller Zsombor - Katana SE</t>
  </si>
  <si>
    <t>Reinhoffer Erik - Kamikaze S</t>
  </si>
  <si>
    <t>Jaksa György - Victory</t>
  </si>
  <si>
    <t>Gulya Mátyás János - Kelemen-Team</t>
  </si>
  <si>
    <t>Vörös Mátyás - Rokku KKSE</t>
  </si>
  <si>
    <t>Nagy Zétény - BHMSE</t>
  </si>
  <si>
    <t>Csuha Benedek - BHMSE</t>
  </si>
  <si>
    <t>Kalmár Ádám István - Castrum</t>
  </si>
  <si>
    <t>Bárkovics Áron - KKE - Spartacus</t>
  </si>
  <si>
    <t>Békési Nándor István - Shogun</t>
  </si>
  <si>
    <t>Hidegh Flórián - Rakurai</t>
  </si>
  <si>
    <t>Takács Sárkány Balázs - KHSE</t>
  </si>
  <si>
    <t>Szabó Zoltán Szüa - POWER SE.</t>
  </si>
  <si>
    <t>Böszörményi Bendegúz  - Nagykátai Bushido SE</t>
  </si>
  <si>
    <t>Székely Lázár - KYO Fighter SE</t>
  </si>
  <si>
    <t>Hegedűs Zsombor - Nagykátai Bushido SE</t>
  </si>
  <si>
    <t>Kurucz Tamás Timuzsin - Shogun</t>
  </si>
  <si>
    <t>Jankovics Marcell - Siófok KSE</t>
  </si>
  <si>
    <t>Rudi Gergő - Rakurai</t>
  </si>
  <si>
    <t>Kovács Marcell András - Victory</t>
  </si>
  <si>
    <t>Kőszegfalvi Csanád - Shinkyo SE</t>
  </si>
  <si>
    <t>Bervanger Bálint - Shogun</t>
  </si>
  <si>
    <t>Virág Oszkár - Rokku KKSE</t>
  </si>
  <si>
    <t>Eperjesi Dávid - BHMSE</t>
  </si>
  <si>
    <t>Gombos-Weidinger Zsombor - BHMSE</t>
  </si>
  <si>
    <t>Árendás Botond - KSE Tarján</t>
  </si>
  <si>
    <t>Némethy Balázs - Shogun</t>
  </si>
  <si>
    <t>Vass Alexander - Siófok KSE</t>
  </si>
  <si>
    <t>Bocsányi Márton - BHMSE</t>
  </si>
  <si>
    <t>Berki Tamás - Victory</t>
  </si>
  <si>
    <t>Sipos-Cserjési Horka - BHMSE</t>
  </si>
  <si>
    <t>Hernádi Bere - BHMSE</t>
  </si>
  <si>
    <t>Mohai Szilárd - Katana SE</t>
  </si>
  <si>
    <t>Remenyik Péter - Shogun</t>
  </si>
  <si>
    <t>Tóth Gergő - SONGOKU SE</t>
  </si>
  <si>
    <t>Ádám Mátyás Richárd - Bendiák Dojo</t>
  </si>
  <si>
    <t>Zeke Dávid - Kelemen-Team</t>
  </si>
  <si>
    <t>Vámosi Juhász Máté - Nagykátai Bushido SE</t>
  </si>
  <si>
    <t>Farkas Kristóf - Buke Reikon HRSE</t>
  </si>
  <si>
    <t>Kiss Levente - Derecske BUDO</t>
  </si>
  <si>
    <t>Szabó Máté Péter - WARRIORS TEAM</t>
  </si>
  <si>
    <t>Szabó Zsombor - Buke Reikon HRSE</t>
  </si>
  <si>
    <t>Simon Titusz - Buke Reikon HRSE</t>
  </si>
  <si>
    <t>Kiss István - Derecske BUDO</t>
  </si>
  <si>
    <t>Zádori Zénó  - Buke Reikon HRSE</t>
  </si>
  <si>
    <t>Eszenyi Tamás Zsolt - Bátor KSE</t>
  </si>
  <si>
    <t>Sztarek Benett - Buke Reikon HRSE</t>
  </si>
  <si>
    <t>Gaál Botond Kolos - Bátor KSE</t>
  </si>
  <si>
    <t>Nándori Emma - Kemecse SE</t>
  </si>
  <si>
    <t>Szabó Anna Tímea - Katana SE</t>
  </si>
  <si>
    <t>Szabó Zsófi - ShinzóDojo</t>
  </si>
  <si>
    <t>Mészáros Lili Dóra - KSE Tarján</t>
  </si>
  <si>
    <t>Tóth-Krisó Míra - Katana SE</t>
  </si>
  <si>
    <t>Csató Réka - Keizoku SE</t>
  </si>
  <si>
    <t>Novák Noémi - Bendiák Dojo</t>
  </si>
  <si>
    <t>Radnóti Lilla - POWER SE.</t>
  </si>
  <si>
    <t>Horváth Dóra Lili - BHMSE</t>
  </si>
  <si>
    <t>Mihályi Tünde - BHMSE</t>
  </si>
  <si>
    <t>Gazdag Csinszka - ASE Bulldog KKSZCS</t>
  </si>
  <si>
    <t>Szatmári Nóra Hanna - WARRIORS TEAM</t>
  </si>
  <si>
    <t>Orosz Elizabett - KSE Tarján</t>
  </si>
  <si>
    <t>Bakó Panna - Kemecse SE</t>
  </si>
  <si>
    <t>Nagy Anna - Főnix Dojo</t>
  </si>
  <si>
    <t>Kovács Maja - Katana SE</t>
  </si>
  <si>
    <t>Lukácsi Réka - Ippon KKSE</t>
  </si>
  <si>
    <t>Nagy Blanka - Shogun</t>
  </si>
  <si>
    <t>Kovács Linett - RDKKSE</t>
  </si>
  <si>
    <t>Gaál-Vajai Tamara - Főnix Dojo</t>
  </si>
  <si>
    <t>Gál Petra Andrea - Fitt KKSE</t>
  </si>
  <si>
    <t>Tálas Csongor - Ippon KKSE</t>
  </si>
  <si>
    <t>Rajmon Tamás - Victory</t>
  </si>
  <si>
    <t>Gyuricska Benedek - Shogun</t>
  </si>
  <si>
    <t>Petróczki Farkas - Bátor KSE</t>
  </si>
  <si>
    <t>Baky Kornél - BHMSE</t>
  </si>
  <si>
    <t>Koczor Máté - Rakurai</t>
  </si>
  <si>
    <t>Jagyugy Zalán - Kelemen-Team</t>
  </si>
  <si>
    <t>Tóth Marcell Kevin - Nozomu Dojo</t>
  </si>
  <si>
    <t>Odorics Zétény - Rakurai</t>
  </si>
  <si>
    <t>Kurucz Árpád Soma - Victory</t>
  </si>
  <si>
    <t>Petrohai Dávid - Shogun</t>
  </si>
  <si>
    <t>Szlivka Botond Csaba - Shogun</t>
  </si>
  <si>
    <t>Sárközi Bence - Shogun</t>
  </si>
  <si>
    <t>Mohácsi DOminik - Victory</t>
  </si>
  <si>
    <t>Kolipka Máté Gergő - KSE Tarján</t>
  </si>
  <si>
    <t>Dániel Bence - Shogun</t>
  </si>
  <si>
    <t>Huszti Dániel - Shogun</t>
  </si>
  <si>
    <t>Németh Dávid - BHMSE</t>
  </si>
  <si>
    <t>Csordás Olivér - KSE Tarján</t>
  </si>
  <si>
    <t>Bakonyi Erik - BHMSE</t>
  </si>
  <si>
    <t>Gruber Marcell - Siófok KSE</t>
  </si>
  <si>
    <t>Karácsony Vadim - BHMSE</t>
  </si>
  <si>
    <t>Blokhin Alexei - Victory</t>
  </si>
  <si>
    <t>Tóth Máté - Bendiák Dojo</t>
  </si>
  <si>
    <t>Rózsa Benett - Kemecse SE</t>
  </si>
  <si>
    <t>Kiss Attila - Kelemen-Team</t>
  </si>
  <si>
    <t>Péntek András - Katana SE</t>
  </si>
  <si>
    <t>Bogdán Zsombor - Katana SE</t>
  </si>
  <si>
    <t>Gattoni Marcello - BHMSE</t>
  </si>
  <si>
    <t>Gombos-Weidinger Bence - BHMSE</t>
  </si>
  <si>
    <t>Jávor Mika - BHMSE</t>
  </si>
  <si>
    <t>Sóskuti Lili - Keizoku SE</t>
  </si>
  <si>
    <t>Papp Gréta - Castrum</t>
  </si>
  <si>
    <t>Villasenor Babos Natália  - Rakurai</t>
  </si>
  <si>
    <t>Galyas Edit - Nyíradonyi KKE</t>
  </si>
  <si>
    <t>Volenszki Adél - WARRIORS TEAM</t>
  </si>
  <si>
    <t>Gonda Lea - Kelemen-Team</t>
  </si>
  <si>
    <t>Ványi Amira - POWER SE.</t>
  </si>
  <si>
    <t>Solymári Orsolya Dalma - WARRIORS TEAM</t>
  </si>
  <si>
    <t>Volenszki Mira - WARRIORS TEAM</t>
  </si>
  <si>
    <t>Vida Zora - Buke Reikon HRSE</t>
  </si>
  <si>
    <t>Szabó Lili - Kisvárda KKDOSC</t>
  </si>
  <si>
    <t>Farkas Luca - KYO Fighter SE</t>
  </si>
  <si>
    <t>Pénzes Zsófia - KHSE</t>
  </si>
  <si>
    <t>Albert Szilvia Cintia - Derecske BUDO</t>
  </si>
  <si>
    <t>Barna Emese Nikolett - Bendiák Dojo</t>
  </si>
  <si>
    <t>Harsányi Tímea - Kelemen-Team</t>
  </si>
  <si>
    <t>Bognár Boglárka - Rakurai</t>
  </si>
  <si>
    <t>Jakubovics Nikolett - BHMSE</t>
  </si>
  <si>
    <t>Fürjesi Eszter - Shogun</t>
  </si>
  <si>
    <t>Horváth Boróka - Rakurai</t>
  </si>
  <si>
    <t>Domján-Herbat Réka - BHMSE</t>
  </si>
  <si>
    <t>Ungai Eszter - Hajdúszoboszló</t>
  </si>
  <si>
    <t>Pődör Panka - Griff SE</t>
  </si>
  <si>
    <t>Kigó Boróka - Victory</t>
  </si>
  <si>
    <t>Rudi Noémi - Rakurai</t>
  </si>
  <si>
    <t>Huszár Hanna - Kemecse SE</t>
  </si>
  <si>
    <t>Szőllősi Hanna - Kemecse SE</t>
  </si>
  <si>
    <t>Varga Zoé - Kemecse SE</t>
  </si>
  <si>
    <t>MOLNÁR MINKA - Victory</t>
  </si>
  <si>
    <t>Damu Zsanett - Kagami</t>
  </si>
  <si>
    <t>Barta-Gaál Adóra - BHMSE</t>
  </si>
  <si>
    <t>Cserép Nóra - Kelemen-Team</t>
  </si>
  <si>
    <t>Rabi-Szita Emese - Meiyo dojo</t>
  </si>
  <si>
    <t>Kis Emma - Shogun</t>
  </si>
  <si>
    <t>Sárközi Nóra - Shogun</t>
  </si>
  <si>
    <t>Falus Zsuzsanna - Rokku KKSE</t>
  </si>
  <si>
    <t>Pista Nóra - Bendiák Dojo</t>
  </si>
  <si>
    <t>Ükös Júlia - Katana SE</t>
  </si>
  <si>
    <t>Dászkál Dorottya - Shogun</t>
  </si>
  <si>
    <t>Szabó Lilla - ShinzóDojo</t>
  </si>
  <si>
    <t>Spanjevic Frida - BHMSE</t>
  </si>
  <si>
    <t>Dudás Benedek - Bendiák Dojo</t>
  </si>
  <si>
    <t>Szabó Marcell Károly - Katana SE</t>
  </si>
  <si>
    <t>Kasza Benett - Nagykátai Bushido SE</t>
  </si>
  <si>
    <t>Dócs Nándor - Nozomu Dojo</t>
  </si>
  <si>
    <t>Máté Lénárd - Kelemen-Team</t>
  </si>
  <si>
    <t>Nagy Hunor - Rakurai</t>
  </si>
  <si>
    <t>Petróczki Bendegúz - Bátor KSE</t>
  </si>
  <si>
    <t>Vass Zalán - Főnix Dojo</t>
  </si>
  <si>
    <t>Tamási Péter Tamás - Castrum</t>
  </si>
  <si>
    <t>Kis Ádám Zsolt - KYO Fighter SE</t>
  </si>
  <si>
    <t>Remenyik Dániel - Shogun</t>
  </si>
  <si>
    <t>Moosbauer Kevin - KSE Tarján</t>
  </si>
  <si>
    <t>Maklaga Norbert - Kagami</t>
  </si>
  <si>
    <t>Kárpáti Bence - Cs.S.E.</t>
  </si>
  <si>
    <t>Tarjányi Zétény Ferenc - ARSC</t>
  </si>
  <si>
    <t>Kleé Krisztián - Rakurai</t>
  </si>
  <si>
    <t>Berényi Bence - Shogun</t>
  </si>
  <si>
    <t>Sövér Levente - BHMSE</t>
  </si>
  <si>
    <t>Szigeti Boldizsár - Siófok KSE</t>
  </si>
  <si>
    <t>Ferenczhalmy Félix - BHMSE</t>
  </si>
  <si>
    <t>Fulló István Dragoljub - Ippon KKSE</t>
  </si>
  <si>
    <t>Patai Dávid - ShinzóDojo</t>
  </si>
  <si>
    <t>Nyíri György - Siófok KSE</t>
  </si>
  <si>
    <t>Marjai Sándor - Kelemen-Team</t>
  </si>
  <si>
    <t>Oszlánczi Zente - KYO Fighter SE</t>
  </si>
  <si>
    <t>Seres Zoltán - Ippon KKSE</t>
  </si>
  <si>
    <t>Papp László - Kelemen-Team</t>
  </si>
  <si>
    <t>Kádár Boldizsár - Rakurai</t>
  </si>
  <si>
    <t>Lévai Benedek - BHMSE</t>
  </si>
  <si>
    <t>Vámosi Juhász Ádám - Nagykátai Bushido SE</t>
  </si>
  <si>
    <t>Zajácz Imre - Kamikaze S</t>
  </si>
  <si>
    <t>Aldubai Mohamed Hamzah - Victory</t>
  </si>
  <si>
    <t>Kovács Kornél - KYO Fighter SE</t>
  </si>
  <si>
    <t>Lajkó Vince - Buke Reikon HRSE</t>
  </si>
  <si>
    <t>Hadnagy Botond - Rokku KKSE</t>
  </si>
  <si>
    <t>Tóth Kornél - KKE - Spartacus</t>
  </si>
  <si>
    <t>Antal Dániel Kristóf - KSE Tarján</t>
  </si>
  <si>
    <t>Pista Áron - Bendiák Dojo</t>
  </si>
  <si>
    <t>Szymon Fraczek - Bátor KSE</t>
  </si>
  <si>
    <t>Kámán Márton - Rakurai</t>
  </si>
  <si>
    <t>Halász Zente - Griff SE</t>
  </si>
  <si>
    <t>Gattyán Máté Barna - BHMSE</t>
  </si>
  <si>
    <t>Száraz Zsombor - Derecske BUDO</t>
  </si>
  <si>
    <t>Tokaji Bocsárd Norbert - KHSE</t>
  </si>
  <si>
    <t>Farkas Álmos - KYO Fighter SE</t>
  </si>
  <si>
    <t>Urszuly Noel - Rokku KKSE</t>
  </si>
  <si>
    <t>Kovács Máté Noel - Bátor KSE</t>
  </si>
  <si>
    <t>Varga Bence - KSE Tarján</t>
  </si>
  <si>
    <t>Gyarmathy Zsolt - Fitt KKSE</t>
  </si>
  <si>
    <t>Nagy Kevin  - KKE - Spartacus</t>
  </si>
  <si>
    <t>Reinhofer Patrik - Rokku KKSE</t>
  </si>
  <si>
    <t>Horváth Bence László - Rakurai</t>
  </si>
  <si>
    <t>Bennárik Bella - WARRIORS TEAM</t>
  </si>
  <si>
    <t>Virág Boglárka Csenge - Keszth.KKK</t>
  </si>
  <si>
    <t>Abou Hussein Maya - Ippon KKSE</t>
  </si>
  <si>
    <t>Horváth Réka - Castrum</t>
  </si>
  <si>
    <t>Furó Liliána - KHSE</t>
  </si>
  <si>
    <t>Kiss Boglárka - Derecske BUDO</t>
  </si>
  <si>
    <t>Serfőző Lia Zoé - Castrum</t>
  </si>
  <si>
    <t>Ható Amanda - Rakurai</t>
  </si>
  <si>
    <t>Bognár Judit - Castrum</t>
  </si>
  <si>
    <t>Karap Anna - Shogun</t>
  </si>
  <si>
    <t>Marjai Boglárka - Kelemen-Team</t>
  </si>
  <si>
    <t>Matkó Gréta - KHSE</t>
  </si>
  <si>
    <t>Janás Mia - Főnix Dojo</t>
  </si>
  <si>
    <t>Czekmeiszter Maja Lili - Bátor KSE</t>
  </si>
  <si>
    <t>Garamszegi Szófia - WARRIORS TEAM</t>
  </si>
  <si>
    <t>Sajtos Luca - Kisvárda KKDOSC</t>
  </si>
  <si>
    <t>Papp Dorottya - Rokku KKSE</t>
  </si>
  <si>
    <t>Szabó Lídia Lillada - POWER SE.</t>
  </si>
  <si>
    <t>Bognár Luca - Rakurai</t>
  </si>
  <si>
    <t>Imre Zoé Julianna - KSE Tarján</t>
  </si>
  <si>
    <t>Németh Panka - Cs.S.E.</t>
  </si>
  <si>
    <t>Orosz Dorina - Kemecse SE</t>
  </si>
  <si>
    <t>Szutor Anna - Shogun</t>
  </si>
  <si>
    <t>Farkas Regina - Shinkyo SE</t>
  </si>
  <si>
    <t>Viza Dorottya Anna - ARSC</t>
  </si>
  <si>
    <t>Kisdeák Emma - Siófok KSE</t>
  </si>
  <si>
    <t>Molnár Emese - Kihaku SE</t>
  </si>
  <si>
    <t>Nádi Viktória - ARSC</t>
  </si>
  <si>
    <t>Csonka Kata - Kamikaze S</t>
  </si>
  <si>
    <t>Bartha Zsuzsanna - BHMSE</t>
  </si>
  <si>
    <t>Soós Flóra - Nagykátai Bushido SE</t>
  </si>
  <si>
    <t>Komondi Veronika Nilla - Keszth.KKK</t>
  </si>
  <si>
    <t>Szalai Kitti - Griff SE</t>
  </si>
  <si>
    <t>Berényi Imre Márk - Shogun</t>
  </si>
  <si>
    <t>Lóránt Varga Milán - Shogun</t>
  </si>
  <si>
    <t>Németh Adrián - Cs.S.E.</t>
  </si>
  <si>
    <t>Ungvári Levente - Shogun</t>
  </si>
  <si>
    <t>Szalontai Levente - KSE Tarján</t>
  </si>
  <si>
    <t>MOLNÁR MARCELL - Victory</t>
  </si>
  <si>
    <t>Novák Máté - Bendiák Dojo</t>
  </si>
  <si>
    <t>Novák Balázs - Bendiák Dojo</t>
  </si>
  <si>
    <t>Gyarmati Viktor - BHMSE</t>
  </si>
  <si>
    <t>Lukács Filip - BHMSE</t>
  </si>
  <si>
    <t>Banka Boldizsár - KYO Fighter SE</t>
  </si>
  <si>
    <t>Baranyai Áron - BHMSE</t>
  </si>
  <si>
    <t>Varga Bálint Norbert - ARSC</t>
  </si>
  <si>
    <t>Almási Petra - KHSE</t>
  </si>
  <si>
    <t>Horváth Liliána - Kamikaze S</t>
  </si>
  <si>
    <t>Koszorus Brigitta - SONGOKU SE</t>
  </si>
  <si>
    <t>Bogdán Szonja Boróka - Rakurai</t>
  </si>
  <si>
    <t>Hegyesi Mia - Derecske BUDO</t>
  </si>
  <si>
    <t>Gombos-Weidinger Barnabás - BHMSE</t>
  </si>
  <si>
    <t>Dorka Zalán - KHSE</t>
  </si>
  <si>
    <t>Stoffán Ádám Vilmos - Victory</t>
  </si>
  <si>
    <t>Zhang Dávid - KHSE</t>
  </si>
  <si>
    <t>Papp Dávid - Nyíradonyi KKE</t>
  </si>
  <si>
    <t>Gáncs Arnold - Griff SE</t>
  </si>
  <si>
    <t>Nagy Hunor - Derecske BUDO</t>
  </si>
  <si>
    <t>Szabó Ákos Roland - KHSE</t>
  </si>
  <si>
    <t>Danka Hunor - Nagykátai Bushido SE</t>
  </si>
  <si>
    <t>Bacskai Bence - KHSE</t>
  </si>
  <si>
    <t>Balogh András Barnabás - Ippon KKSE</t>
  </si>
  <si>
    <t>Kovácsay Gergely - Ippon KKSE</t>
  </si>
  <si>
    <t>Varga Tamás - Goukai KSE</t>
  </si>
  <si>
    <t>Lukács Ajsa - BHMSE</t>
  </si>
  <si>
    <t>Buzás Anna - Meiyo dojo</t>
  </si>
  <si>
    <t>Tóth Csenge - Nagykátai Bushido SE</t>
  </si>
  <si>
    <t>Németh Kitti - Meiyo dojo</t>
  </si>
  <si>
    <t>Banyák Léna - KYO Fighter SE</t>
  </si>
  <si>
    <t>Varga Olivia - KSE Tarján</t>
  </si>
  <si>
    <t>Nándori Leona - Kemecse SE</t>
  </si>
  <si>
    <t>Simor Szofi Anna - BHMSE</t>
  </si>
  <si>
    <t>Geiger Uzonyi Lilla - Kelemen-Team</t>
  </si>
  <si>
    <t>Falus Dorottya - Rokku KKSE</t>
  </si>
  <si>
    <t>Erdei Emília - Rokku KKSE</t>
  </si>
  <si>
    <t>Fekete Alíz - Shogun</t>
  </si>
  <si>
    <t>Éles Léna Hanna - Victory</t>
  </si>
  <si>
    <t>Spanjevic Emma - BHMSE</t>
  </si>
  <si>
    <t>Józsa Erika - KHSE</t>
  </si>
  <si>
    <t>Fadgyas Eszter - Goukai KSE</t>
  </si>
  <si>
    <t>Zeke Kata - Kelemen-Team</t>
  </si>
  <si>
    <t>Kámán Luca - Rakurai</t>
  </si>
  <si>
    <t>Bácsmegi Luca - Kelemen-Team</t>
  </si>
  <si>
    <t>Szabó Levente - WARRIORS TEAM</t>
  </si>
  <si>
    <t>Csonka Máté - Kamikaze S</t>
  </si>
  <si>
    <t>Vass Noel - KHSE</t>
  </si>
  <si>
    <t>Ágoston Bence - KHSE</t>
  </si>
  <si>
    <t>Vancsó Kornél - Bendiák Dojo</t>
  </si>
  <si>
    <t>Gál Milán György  - Derecske BUDO</t>
  </si>
  <si>
    <t>Uszkai Flóra - Shogun</t>
  </si>
  <si>
    <t>Kovács Anna - Kisvárda KKDOSC</t>
  </si>
  <si>
    <t>Aranyosi Nikolett - KSE Tarján</t>
  </si>
  <si>
    <t>Czakó Natália - Nagykátai Bushido SE</t>
  </si>
  <si>
    <t>Timár Alíz - BHMSE</t>
  </si>
  <si>
    <t>Berényi Lina Boróka - Kagami</t>
  </si>
  <si>
    <t>Horváth Hanna Barbara - BHMSE</t>
  </si>
  <si>
    <t>Princz Anna - ARSC</t>
  </si>
  <si>
    <t>Varga Réka Orsolya - ARSC</t>
  </si>
  <si>
    <t>Sülyi Luca - Főnix Dojo</t>
  </si>
  <si>
    <t>Veress Dávid - KHSE</t>
  </si>
  <si>
    <t>Melczner Márk - Victory</t>
  </si>
  <si>
    <t>Andrési Balázs - KHSE</t>
  </si>
  <si>
    <t>Ungai Ferenc - Hajdúszoboszló</t>
  </si>
  <si>
    <t>Balogh Zora - Meiyo dojo</t>
  </si>
  <si>
    <t>Vágenhoffer Maja - Meiyo dojo</t>
  </si>
  <si>
    <t>Tángyes Ricardo - Kisvárda KKDOSC</t>
  </si>
  <si>
    <t>Bánfi Botond - Rokku KKSE</t>
  </si>
  <si>
    <t>Szabó Levente Botond - KSE Tarján</t>
  </si>
  <si>
    <t>Sádt Zétény - Buke Reikon HRSE</t>
  </si>
  <si>
    <t>Szabó Dominik - Buke Reikon HRSE</t>
  </si>
  <si>
    <t>Szutor Levente - Shogun</t>
  </si>
  <si>
    <t>Munkácsi Ádám - Főnix Dojo</t>
  </si>
  <si>
    <t>Hadnagy Barnabás - Rokku KKSE</t>
  </si>
  <si>
    <t>Garamszegi Zente - WARRIORS TEAM</t>
  </si>
  <si>
    <t>Szabó Lóránt - Kamikaze S</t>
  </si>
  <si>
    <t>Vörös Tibor - RDKKSE</t>
  </si>
  <si>
    <t>Vida Péter - Buke Reikon HRSE</t>
  </si>
  <si>
    <t>Kalamár László Thien - BHMSE</t>
  </si>
  <si>
    <t>Nagy Gábor András - POWER SE.</t>
  </si>
  <si>
    <t>Csorba Kristóf - Shogun</t>
  </si>
  <si>
    <t>Spanjevic Dániel - BHMSE</t>
  </si>
  <si>
    <t>Maklári Balázs - Kisvárda KKDOSC</t>
  </si>
  <si>
    <t>Kozó Flórián - Shinkyo SE</t>
  </si>
  <si>
    <t>Sipos Árpád - KHSE</t>
  </si>
  <si>
    <t>Soós Viktor - Kisvárda KKDOSC</t>
  </si>
  <si>
    <t>Villasenor Babos Viktor Éliás - Rakurai</t>
  </si>
  <si>
    <t>Virág Marcell Máté - KHSE</t>
  </si>
  <si>
    <t>Elek János - KHSE</t>
  </si>
  <si>
    <t>Salga Márton - Rokku KKSE</t>
  </si>
  <si>
    <t>Riczu Bendegúz - Nozomu Dojo</t>
  </si>
  <si>
    <t>Finta Csanád - Rakurai</t>
  </si>
  <si>
    <t>Gaál-Vajai Tamás - Főnix Dojo</t>
  </si>
  <si>
    <t>Nagy Nimród - Rakurai</t>
  </si>
  <si>
    <t>Simon Timon - Buke Reikon HRSE</t>
  </si>
  <si>
    <t>Fekete Csenge - Nozomu Dojo</t>
  </si>
  <si>
    <t>Bőzsöny Dorka - BHMSE</t>
  </si>
  <si>
    <t>Egerszegi Rebeka - Főnix Dojo</t>
  </si>
  <si>
    <t>Szanics Boglárka - Shogun</t>
  </si>
  <si>
    <t>Borsi Balázs - KHSE</t>
  </si>
  <si>
    <t>Vágó Ákos - KHSE</t>
  </si>
  <si>
    <t>Adamecz Milán - Nagykátai Bushido SE</t>
  </si>
  <si>
    <t>Tóth Dominik István - Griff SE</t>
  </si>
  <si>
    <t>Nagy Richárd - POWER SE.</t>
  </si>
  <si>
    <t>Horváth Kristóf - Griff SE</t>
  </si>
  <si>
    <t>Ratkai János - KHSE</t>
  </si>
  <si>
    <t>Fekete Kristóf - Rokku KKSE</t>
  </si>
  <si>
    <t>Bodnár Zoltán - Katana SE</t>
  </si>
  <si>
    <t>Borsi Krisztián - KHSE</t>
  </si>
  <si>
    <t>Dani Andor - Kamikaze S</t>
  </si>
  <si>
    <t>Zsin Zsófia - BHMSE</t>
  </si>
  <si>
    <t>Demeter Zsófia - WARRIORS TEAM</t>
  </si>
  <si>
    <t>Magyar Viktória - KYO Fighter SE</t>
  </si>
  <si>
    <t>Hanics Luca - Főnix Dojo</t>
  </si>
  <si>
    <t>Bessenyei Csongor - Shogun</t>
  </si>
  <si>
    <t>Terbócs Roland - Shogun</t>
  </si>
  <si>
    <t>Bűdy Sándor - BHMSE</t>
  </si>
  <si>
    <t>Vágó Márton - Shogun</t>
  </si>
  <si>
    <t>Takács-Sárkány Zalán - KHSE</t>
  </si>
  <si>
    <t>Bíró Nóra - Főnix Dojo</t>
  </si>
  <si>
    <t>Gál Regina - Derecske BUDO</t>
  </si>
  <si>
    <t>Balázs Máté - KHSE</t>
  </si>
  <si>
    <t>Dániel László - Kelemen-Team</t>
  </si>
  <si>
    <t>Dürgő Máté - Victory</t>
  </si>
  <si>
    <t>Sztojka Norbert Kevin - Ippon KKSE</t>
  </si>
  <si>
    <t>Földi Balázs - Victory</t>
  </si>
  <si>
    <t>Kiss Gábor - Victory</t>
  </si>
  <si>
    <t>Vancsó Ákos - Bendiák Dojo</t>
  </si>
  <si>
    <t>Csáti Bence Máté - Keizoku SE</t>
  </si>
  <si>
    <t>Szabó Roland - WARRIORS TEAM</t>
  </si>
  <si>
    <t>Miskolczi Zalán - Kemecse SE</t>
  </si>
  <si>
    <t>Ménes Milán - KHSE</t>
  </si>
  <si>
    <t>Bartus Marcell - KYO Fighter SE</t>
  </si>
  <si>
    <t>Kovács Vajk Zoltán - Katana SE</t>
  </si>
  <si>
    <t>Magasi Attila - Főnix Dojo</t>
  </si>
  <si>
    <t>Tutor Barnabás  - Derecske BUDO</t>
  </si>
  <si>
    <t>Molnár Bence Noel - WARRIORS TEAM</t>
  </si>
  <si>
    <t>Alkaddour Ali Áron - BHMSE</t>
  </si>
  <si>
    <t>Baranyi Tibor - POWER SE.</t>
  </si>
  <si>
    <t>Fekete Szilárd - POWER SE.</t>
  </si>
  <si>
    <t>Szabó Hanna - Hajdúszoboszló</t>
  </si>
  <si>
    <t>Balogh Dóra Panna - POWER SE.</t>
  </si>
  <si>
    <t>Böszörményi Gergő - Victory</t>
  </si>
  <si>
    <t>Takács-Sárkány Csanád - KHSE</t>
  </si>
  <si>
    <t>Földi Bence  - Victory</t>
  </si>
  <si>
    <t>Sebők Zsombor - Shogun</t>
  </si>
  <si>
    <t>Kovács Levente - Nozomu Dojo</t>
  </si>
  <si>
    <t>Vórincsák Vivien - KHSE</t>
  </si>
  <si>
    <t>Ecsedi Réka - KHSE</t>
  </si>
  <si>
    <t>Szabó Petra - Shogun</t>
  </si>
  <si>
    <t>Lukács Kamilla - Victory</t>
  </si>
  <si>
    <t>Ágoston Sára - KHSE</t>
  </si>
  <si>
    <t>Németh Virág - Castrum</t>
  </si>
  <si>
    <t>Finta Zelma - Rakurai</t>
  </si>
  <si>
    <t>Breznyiczki Barnabás - Nozomu Dojo</t>
  </si>
  <si>
    <t>Horsik Zente József - POWER SE.</t>
  </si>
  <si>
    <t>Orosz Márkó - KKE - Spartacus</t>
  </si>
  <si>
    <t>Lőrincz Bence - ASE Bulldog KKSZCS</t>
  </si>
  <si>
    <t>Ujj Szabolcs - Marcali SKK</t>
  </si>
  <si>
    <t>Dezső Norbert - Magna Dojo</t>
  </si>
  <si>
    <t>Kurucz Gergő - Victory</t>
  </si>
  <si>
    <t>Rékai Bianka - Siófok KSE</t>
  </si>
  <si>
    <t>Bota Sára - Rakurai</t>
  </si>
  <si>
    <t>Nagy Péter - KHSE</t>
  </si>
  <si>
    <t>Rimóczi Alex Benedek - Nozomu Dojo</t>
  </si>
  <si>
    <t>Bíró Krisztián - Főnix Dojo</t>
  </si>
  <si>
    <t>Tóth Arina Bejke - Nagykátai Bushido SE</t>
  </si>
  <si>
    <t>Baranya Lilla - KSE Tarján</t>
  </si>
  <si>
    <t>Szombath Jázmin - Főnix Dojo</t>
  </si>
  <si>
    <t>Vig Bendegúz - VTSE</t>
  </si>
  <si>
    <t>Viszugyel Bálint - VTSE</t>
  </si>
  <si>
    <t>Simao Roberto - Délegyházi Karate SE</t>
  </si>
  <si>
    <t>Vékony Márk - Wheelmaker dojo SE</t>
  </si>
  <si>
    <t xml:space="preserve">Kollár Gergő - TADASHII </t>
  </si>
  <si>
    <t>Farkas Áron Péter - Ichiro Dojo</t>
  </si>
  <si>
    <t>Tarsoly Norbert - Nintai KKSE</t>
  </si>
  <si>
    <t>Balogh Levente - Wheelmaker dojo SE</t>
  </si>
  <si>
    <t>Bagó Balázs - VTSE</t>
  </si>
  <si>
    <t>Kocsis Angéla - Genbu dojo</t>
  </si>
  <si>
    <t>Kocsis Nóra - Genbu dojo</t>
  </si>
  <si>
    <t>Reichert Hanna  - VTSE</t>
  </si>
  <si>
    <t>Kiss-Juhász Hanga - Tora HSE</t>
  </si>
  <si>
    <t>Böcskey Emese  - Nagy Sándor Dojo</t>
  </si>
  <si>
    <t>Nagy Hanna Míra - Genbu dojo</t>
  </si>
  <si>
    <t>Forgács Lili - Borza Dojo</t>
  </si>
  <si>
    <t>Lukács Éva - VTSE</t>
  </si>
  <si>
    <t>Tóth Gergely - Ichiro Dojo</t>
  </si>
  <si>
    <t xml:space="preserve">Flaisz Attila - TADASHII </t>
  </si>
  <si>
    <t xml:space="preserve">Fránki Réka - TADASHII </t>
  </si>
  <si>
    <t>Kovács Viktória - Nintai KKSE</t>
  </si>
  <si>
    <t xml:space="preserve">Fránki Dorina - TADASHII </t>
  </si>
  <si>
    <t>Reichert Jázmin  - VTSE</t>
  </si>
  <si>
    <t>Szente Szabolcs - VTSE</t>
  </si>
  <si>
    <t>Nagy Benedek - Tora HSE</t>
  </si>
  <si>
    <t>Rád Balázs - Nintai KKSE</t>
  </si>
  <si>
    <t>Bollók Zalán - VTSE</t>
  </si>
  <si>
    <t>Vig Boglárka - VTSE</t>
  </si>
  <si>
    <t xml:space="preserve">Avramov Dávid - TADASHII </t>
  </si>
  <si>
    <t>Kovács Mihály Ágoston - Borza Dojo</t>
  </si>
  <si>
    <t>Turcsán Barnabás - Borza Dojo</t>
  </si>
  <si>
    <t>KÁDAS DOMINIK - KyoDabas SE.</t>
  </si>
  <si>
    <t>Botlik Tibor - Nintai KKSE</t>
  </si>
  <si>
    <t>Szalai Brendon - Nintai KKSE</t>
  </si>
  <si>
    <t>Béres Bence - VTSE</t>
  </si>
  <si>
    <t>Palmer Ádám - Wheelmaker dojo SE</t>
  </si>
  <si>
    <t>Bara András - Wheelmaker dojo SE</t>
  </si>
  <si>
    <t>Tengelics Márk - IKIGAI DOJO BÖRCS</t>
  </si>
  <si>
    <t>Szőke Zalán - VTSE</t>
  </si>
  <si>
    <t>Szente Beatrix - VTSE</t>
  </si>
  <si>
    <t xml:space="preserve">Vincze Balázs - TADASHII </t>
  </si>
  <si>
    <t>Szűcs Anna - Ichiro Dojo</t>
  </si>
  <si>
    <t xml:space="preserve">Kiss Jázmin - TADASHII </t>
  </si>
  <si>
    <t>Aupek Márk - VTSE</t>
  </si>
  <si>
    <t>Tóth Benedek - Ichiro Dojo</t>
  </si>
  <si>
    <t>Adámi Áron - Ichiro Dojo</t>
  </si>
  <si>
    <t>Apjok Réka - Tora HSE</t>
  </si>
  <si>
    <t>Lukács Eszter - VTSE</t>
  </si>
  <si>
    <t>Gordos Zalán - VTSE</t>
  </si>
  <si>
    <t xml:space="preserve">Kolonics Márk - TADASHII </t>
  </si>
  <si>
    <t>Kis Kevin Gyula - Borza Dojo</t>
  </si>
  <si>
    <t>Magyar Botond - Nagy Sándor Dojo</t>
  </si>
  <si>
    <t xml:space="preserve">Flaisz Róbert - TADASHII </t>
  </si>
  <si>
    <t>Kerékgyártó Tamás - Wheelmaker dojo SE</t>
  </si>
  <si>
    <t>Kelemen Milán - Beledi KÉSZ SE</t>
  </si>
  <si>
    <t>Menyhárt Levente  - Beledi KÉSZ SE</t>
  </si>
  <si>
    <t>Bányai Kende - VTSE</t>
  </si>
  <si>
    <t>Milutinovic Olivér - Beledi KÉSZ SE</t>
  </si>
  <si>
    <t>Ferenczi Attila - VTSE</t>
  </si>
  <si>
    <t>Soós Panka - Tora HSE</t>
  </si>
  <si>
    <t>Gergácz Izabella - Beledi KÉSZ SE</t>
  </si>
  <si>
    <t>Káplár János Mihály - Pagoda</t>
  </si>
  <si>
    <t>EB Batumi, J18 és Felnőtt</t>
  </si>
  <si>
    <t>Batumi, Georgia</t>
  </si>
  <si>
    <t>Ágoston Sára</t>
  </si>
  <si>
    <t>Böszörményi Gergő</t>
  </si>
  <si>
    <t>Mészáros Mercédesz</t>
  </si>
  <si>
    <t>Éles Léna</t>
  </si>
  <si>
    <t>Kata, felnőtt csapat</t>
  </si>
  <si>
    <t>Kumite, felnőtt női 54 kg (EB-n 54 kg)</t>
  </si>
  <si>
    <t>Mészáros Mercédesz - Shogun</t>
  </si>
  <si>
    <t>Éles Léna - Victory</t>
  </si>
  <si>
    <t>n.a.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</si>
</sst>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0E]General"/>
  </numFmts>
  <fonts count="3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6"/>
      <name val="Arial CE"/>
      <family val="2"/>
      <charset val="238"/>
    </font>
    <font>
      <b/>
      <sz val="12"/>
      <color indexed="10"/>
      <name val="Arial CE"/>
      <family val="2"/>
      <charset val="238"/>
    </font>
    <font>
      <b/>
      <sz val="10"/>
      <name val="Arial CE"/>
      <family val="2"/>
      <charset val="238"/>
    </font>
    <font>
      <sz val="10"/>
      <color indexed="10"/>
      <name val="Arial"/>
      <family val="2"/>
      <charset val="238"/>
    </font>
    <font>
      <sz val="9"/>
      <name val="Arial"/>
      <family val="2"/>
      <charset val="238"/>
    </font>
    <font>
      <sz val="8"/>
      <name val="Arial CE"/>
      <family val="2"/>
      <charset val="238"/>
    </font>
    <font>
      <sz val="10"/>
      <color indexed="12"/>
      <name val="Arial"/>
      <family val="2"/>
      <charset val="238"/>
    </font>
    <font>
      <sz val="10"/>
      <color indexed="10"/>
      <name val="Arial CE"/>
      <charset val="238"/>
    </font>
    <font>
      <sz val="10"/>
      <color indexed="12"/>
      <name val="Arial CE"/>
      <charset val="238"/>
    </font>
    <font>
      <sz val="10"/>
      <name val="Arial CE"/>
      <family val="2"/>
      <charset val="238"/>
    </font>
    <font>
      <b/>
      <sz val="10"/>
      <color indexed="10"/>
      <name val="Arial CE"/>
      <charset val="238"/>
    </font>
    <font>
      <i/>
      <sz val="11"/>
      <color rgb="FFFF000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i/>
      <sz val="12"/>
      <color rgb="FF000000"/>
      <name val="Arial"/>
      <family val="2"/>
      <charset val="238"/>
    </font>
    <font>
      <i/>
      <sz val="11"/>
      <name val="Calibri"/>
      <family val="2"/>
      <charset val="238"/>
      <scheme val="minor"/>
    </font>
    <font>
      <sz val="11"/>
      <color rgb="FF00B050"/>
      <name val="Calibri"/>
      <family val="2"/>
      <charset val="238"/>
      <scheme val="minor"/>
    </font>
    <font>
      <sz val="11"/>
      <color theme="5" tint="-0.249977111117893"/>
      <name val="Calibri"/>
      <family val="2"/>
      <charset val="238"/>
      <scheme val="minor"/>
    </font>
    <font>
      <b/>
      <sz val="11"/>
      <color theme="5" tint="-0.249977111117893"/>
      <name val="Calibri"/>
      <family val="2"/>
      <charset val="238"/>
      <scheme val="minor"/>
    </font>
    <font>
      <b/>
      <sz val="10"/>
      <color theme="5" tint="-0.249977111117893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b/>
      <sz val="10"/>
      <color rgb="FF00206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i/>
      <sz val="11"/>
      <color rgb="FF00206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rgb="FFFF0000"/>
      <name val="Calibri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5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27" fillId="0" borderId="0" applyBorder="0" applyProtection="0"/>
  </cellStyleXfs>
  <cellXfs count="218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2" fillId="0" borderId="0" xfId="0" applyFont="1" applyAlignment="1">
      <alignment horizontal="center" vertical="center"/>
    </xf>
    <xf numFmtId="11" fontId="3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vertical="center"/>
    </xf>
    <xf numFmtId="0" fontId="0" fillId="0" borderId="0" xfId="0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6" fillId="4" borderId="6" xfId="0" applyFont="1" applyFill="1" applyBorder="1" applyAlignment="1">
      <alignment horizontal="center"/>
    </xf>
    <xf numFmtId="0" fontId="6" fillId="4" borderId="5" xfId="0" applyFont="1" applyFill="1" applyBorder="1" applyAlignment="1">
      <alignment horizontal="center"/>
    </xf>
    <xf numFmtId="0" fontId="0" fillId="0" borderId="8" xfId="0" applyBorder="1" applyAlignment="1">
      <alignment horizontal="center" vertical="center"/>
    </xf>
    <xf numFmtId="0" fontId="5" fillId="0" borderId="9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5" fillId="3" borderId="9" xfId="0" applyFont="1" applyFill="1" applyBorder="1" applyAlignment="1">
      <alignment horizontal="center"/>
    </xf>
    <xf numFmtId="0" fontId="8" fillId="3" borderId="8" xfId="0" applyFont="1" applyFill="1" applyBorder="1" applyAlignment="1">
      <alignment horizontal="center"/>
    </xf>
    <xf numFmtId="0" fontId="5" fillId="4" borderId="12" xfId="0" applyFont="1" applyFill="1" applyBorder="1" applyAlignment="1">
      <alignment horizontal="center"/>
    </xf>
    <xf numFmtId="0" fontId="5" fillId="4" borderId="13" xfId="0" applyFont="1" applyFill="1" applyBorder="1" applyAlignment="1">
      <alignment horizontal="center"/>
    </xf>
    <xf numFmtId="0" fontId="0" fillId="0" borderId="15" xfId="0" applyBorder="1" applyAlignment="1">
      <alignment horizontal="left"/>
    </xf>
    <xf numFmtId="0" fontId="9" fillId="0" borderId="14" xfId="0" applyFont="1" applyBorder="1" applyAlignment="1">
      <alignment horizontal="center"/>
    </xf>
    <xf numFmtId="0" fontId="10" fillId="0" borderId="16" xfId="0" applyFont="1" applyBorder="1" applyAlignment="1">
      <alignment horizontal="center"/>
    </xf>
    <xf numFmtId="0" fontId="10" fillId="0" borderId="15" xfId="0" applyFont="1" applyBorder="1" applyAlignment="1">
      <alignment horizontal="center"/>
    </xf>
    <xf numFmtId="0" fontId="9" fillId="0" borderId="17" xfId="0" applyFont="1" applyBorder="1" applyAlignment="1">
      <alignment horizontal="center"/>
    </xf>
    <xf numFmtId="0" fontId="9" fillId="3" borderId="14" xfId="0" applyFont="1" applyFill="1" applyBorder="1" applyAlignment="1">
      <alignment horizontal="center"/>
    </xf>
    <xf numFmtId="0" fontId="10" fillId="3" borderId="15" xfId="0" applyFont="1" applyFill="1" applyBorder="1" applyAlignment="1">
      <alignment horizontal="center"/>
    </xf>
    <xf numFmtId="0" fontId="9" fillId="4" borderId="18" xfId="0" applyFont="1" applyFill="1" applyBorder="1" applyAlignment="1">
      <alignment horizontal="center"/>
    </xf>
    <xf numFmtId="0" fontId="9" fillId="4" borderId="19" xfId="0" applyFont="1" applyFill="1" applyBorder="1" applyAlignment="1">
      <alignment horizontal="center"/>
    </xf>
    <xf numFmtId="0" fontId="8" fillId="0" borderId="15" xfId="0" applyFont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5" fillId="4" borderId="19" xfId="0" applyFont="1" applyFill="1" applyBorder="1" applyAlignment="1">
      <alignment horizontal="center"/>
    </xf>
    <xf numFmtId="0" fontId="9" fillId="5" borderId="17" xfId="0" applyFont="1" applyFill="1" applyBorder="1" applyAlignment="1">
      <alignment horizontal="center"/>
    </xf>
    <xf numFmtId="0" fontId="10" fillId="5" borderId="16" xfId="0" applyFont="1" applyFill="1" applyBorder="1" applyAlignment="1">
      <alignment horizontal="center"/>
    </xf>
    <xf numFmtId="0" fontId="9" fillId="5" borderId="14" xfId="0" applyFont="1" applyFill="1" applyBorder="1" applyAlignment="1">
      <alignment horizontal="center"/>
    </xf>
    <xf numFmtId="0" fontId="10" fillId="5" borderId="15" xfId="0" applyFont="1" applyFill="1" applyBorder="1" applyAlignment="1">
      <alignment horizontal="center"/>
    </xf>
    <xf numFmtId="0" fontId="0" fillId="0" borderId="22" xfId="0" applyBorder="1" applyAlignment="1">
      <alignment horizontal="left"/>
    </xf>
    <xf numFmtId="0" fontId="9" fillId="0" borderId="23" xfId="0" applyFont="1" applyBorder="1" applyAlignment="1">
      <alignment horizontal="center"/>
    </xf>
    <xf numFmtId="0" fontId="10" fillId="0" borderId="24" xfId="0" applyFont="1" applyBorder="1" applyAlignment="1">
      <alignment horizontal="center"/>
    </xf>
    <xf numFmtId="0" fontId="9" fillId="0" borderId="21" xfId="0" applyFont="1" applyBorder="1" applyAlignment="1">
      <alignment horizontal="center"/>
    </xf>
    <xf numFmtId="0" fontId="10" fillId="0" borderId="22" xfId="0" applyFont="1" applyBorder="1" applyAlignment="1">
      <alignment horizontal="center"/>
    </xf>
    <xf numFmtId="0" fontId="9" fillId="3" borderId="21" xfId="0" applyFont="1" applyFill="1" applyBorder="1" applyAlignment="1">
      <alignment horizontal="center"/>
    </xf>
    <xf numFmtId="0" fontId="10" fillId="3" borderId="22" xfId="0" applyFont="1" applyFill="1" applyBorder="1" applyAlignment="1">
      <alignment horizontal="center"/>
    </xf>
    <xf numFmtId="0" fontId="5" fillId="0" borderId="25" xfId="0" applyFont="1" applyBorder="1" applyAlignment="1">
      <alignment horizontal="center"/>
    </xf>
    <xf numFmtId="0" fontId="5" fillId="4" borderId="26" xfId="0" applyFont="1" applyFill="1" applyBorder="1" applyAlignment="1">
      <alignment horizontal="center"/>
    </xf>
    <xf numFmtId="0" fontId="11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0" fontId="9" fillId="0" borderId="28" xfId="0" applyFont="1" applyBorder="1" applyAlignment="1">
      <alignment horizontal="center"/>
    </xf>
    <xf numFmtId="0" fontId="10" fillId="0" borderId="29" xfId="0" applyFont="1" applyBorder="1" applyAlignment="1">
      <alignment horizontal="center"/>
    </xf>
    <xf numFmtId="0" fontId="8" fillId="0" borderId="30" xfId="0" applyFont="1" applyBorder="1" applyAlignment="1">
      <alignment horizontal="center"/>
    </xf>
    <xf numFmtId="0" fontId="8" fillId="5" borderId="15" xfId="0" applyFont="1" applyFill="1" applyBorder="1" applyAlignment="1">
      <alignment horizontal="center"/>
    </xf>
    <xf numFmtId="1" fontId="9" fillId="0" borderId="20" xfId="0" applyNumberFormat="1" applyFont="1" applyBorder="1" applyAlignment="1">
      <alignment horizontal="center"/>
    </xf>
    <xf numFmtId="1" fontId="9" fillId="5" borderId="20" xfId="0" quotePrefix="1" applyNumberFormat="1" applyFont="1" applyFill="1" applyBorder="1" applyAlignment="1">
      <alignment horizontal="center"/>
    </xf>
    <xf numFmtId="1" fontId="10" fillId="5" borderId="31" xfId="0" quotePrefix="1" applyNumberFormat="1" applyFont="1" applyFill="1" applyBorder="1" applyAlignment="1">
      <alignment horizontal="center"/>
    </xf>
    <xf numFmtId="1" fontId="10" fillId="0" borderId="31" xfId="0" applyNumberFormat="1" applyFont="1" applyBorder="1" applyAlignment="1">
      <alignment horizontal="center"/>
    </xf>
    <xf numFmtId="1" fontId="8" fillId="0" borderId="22" xfId="0" applyNumberFormat="1" applyFont="1" applyBorder="1" applyAlignment="1">
      <alignment horizontal="center"/>
    </xf>
    <xf numFmtId="1" fontId="5" fillId="0" borderId="21" xfId="0" applyNumberFormat="1" applyFont="1" applyBorder="1" applyAlignment="1">
      <alignment horizontal="center"/>
    </xf>
    <xf numFmtId="0" fontId="8" fillId="0" borderId="22" xfId="0" quotePrefix="1" applyFont="1" applyBorder="1" applyAlignment="1">
      <alignment horizontal="center"/>
    </xf>
    <xf numFmtId="0" fontId="0" fillId="0" borderId="19" xfId="0" applyBorder="1" applyAlignment="1">
      <alignment horizontal="center" vertical="center"/>
    </xf>
    <xf numFmtId="0" fontId="12" fillId="0" borderId="0" xfId="0" applyFont="1"/>
    <xf numFmtId="0" fontId="0" fillId="0" borderId="3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5" xfId="0" applyBorder="1" applyAlignment="1">
      <alignment vertical="center" shrinkToFit="1"/>
    </xf>
    <xf numFmtId="0" fontId="0" fillId="0" borderId="0" xfId="0" quotePrefix="1" applyAlignment="1">
      <alignment horizontal="center"/>
    </xf>
    <xf numFmtId="0" fontId="0" fillId="0" borderId="42" xfId="0" applyBorder="1" applyAlignment="1">
      <alignment horizontal="center"/>
    </xf>
    <xf numFmtId="0" fontId="0" fillId="0" borderId="45" xfId="0" applyBorder="1" applyAlignment="1">
      <alignment horizontal="center" vertical="center"/>
    </xf>
    <xf numFmtId="0" fontId="0" fillId="0" borderId="18" xfId="0" applyBorder="1" applyAlignment="1">
      <alignment horizont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6" fillId="0" borderId="18" xfId="0" applyFont="1" applyBorder="1" applyAlignment="1">
      <alignment horizontal="center"/>
    </xf>
    <xf numFmtId="0" fontId="0" fillId="0" borderId="48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49" xfId="0" applyBorder="1" applyAlignment="1">
      <alignment horizontal="center"/>
    </xf>
    <xf numFmtId="14" fontId="0" fillId="0" borderId="0" xfId="0" applyNumberFormat="1"/>
    <xf numFmtId="0" fontId="0" fillId="0" borderId="0" xfId="0" applyAlignment="1">
      <alignment horizontal="right"/>
    </xf>
    <xf numFmtId="0" fontId="13" fillId="0" borderId="0" xfId="0" applyFont="1"/>
    <xf numFmtId="0" fontId="13" fillId="0" borderId="0" xfId="0" applyFont="1" applyAlignment="1">
      <alignment horizontal="center"/>
    </xf>
    <xf numFmtId="14" fontId="13" fillId="0" borderId="0" xfId="0" applyNumberFormat="1" applyFont="1"/>
    <xf numFmtId="0" fontId="15" fillId="0" borderId="0" xfId="0" applyFont="1"/>
    <xf numFmtId="0" fontId="1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14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0" fillId="0" borderId="0" xfId="0" quotePrefix="1"/>
    <xf numFmtId="0" fontId="15" fillId="0" borderId="0" xfId="0" applyFont="1" applyAlignment="1">
      <alignment horizontal="left"/>
    </xf>
    <xf numFmtId="0" fontId="15" fillId="0" borderId="0" xfId="0" applyFont="1" applyAlignment="1">
      <alignment horizontal="center"/>
    </xf>
    <xf numFmtId="14" fontId="15" fillId="0" borderId="0" xfId="0" applyNumberFormat="1" applyFont="1"/>
    <xf numFmtId="0" fontId="0" fillId="0" borderId="0" xfId="0" applyAlignment="1">
      <alignment horizontal="left" indent="2"/>
    </xf>
    <xf numFmtId="0" fontId="19" fillId="6" borderId="0" xfId="0" applyFont="1" applyFill="1"/>
    <xf numFmtId="16" fontId="0" fillId="0" borderId="0" xfId="0" quotePrefix="1" applyNumberFormat="1" applyAlignment="1">
      <alignment horizontal="center"/>
    </xf>
    <xf numFmtId="0" fontId="20" fillId="0" borderId="0" xfId="0" applyFont="1"/>
    <xf numFmtId="0" fontId="15" fillId="0" borderId="0" xfId="0" quotePrefix="1" applyFont="1" applyAlignment="1">
      <alignment horizontal="center"/>
    </xf>
    <xf numFmtId="0" fontId="14" fillId="0" borderId="0" xfId="0" applyFont="1"/>
    <xf numFmtId="0" fontId="21" fillId="0" borderId="0" xfId="0" applyFont="1" applyAlignment="1">
      <alignment horizontal="left"/>
    </xf>
    <xf numFmtId="0" fontId="21" fillId="0" borderId="0" xfId="0" applyFont="1" applyAlignment="1">
      <alignment horizontal="center"/>
    </xf>
    <xf numFmtId="0" fontId="21" fillId="0" borderId="0" xfId="0" applyFont="1"/>
    <xf numFmtId="0" fontId="21" fillId="0" borderId="0" xfId="0" quotePrefix="1" applyFont="1" applyAlignment="1">
      <alignment horizontal="center"/>
    </xf>
    <xf numFmtId="14" fontId="21" fillId="0" borderId="0" xfId="0" applyNumberFormat="1" applyFont="1"/>
    <xf numFmtId="1" fontId="0" fillId="0" borderId="0" xfId="0" applyNumberFormat="1"/>
    <xf numFmtId="0" fontId="21" fillId="2" borderId="0" xfId="0" applyFont="1" applyFill="1" applyAlignment="1">
      <alignment horizontal="left"/>
    </xf>
    <xf numFmtId="0" fontId="21" fillId="2" borderId="0" xfId="0" applyFont="1" applyFill="1" applyAlignment="1">
      <alignment horizontal="center"/>
    </xf>
    <xf numFmtId="0" fontId="21" fillId="2" borderId="0" xfId="0" applyFont="1" applyFill="1"/>
    <xf numFmtId="0" fontId="14" fillId="2" borderId="0" xfId="0" applyFont="1" applyFill="1"/>
    <xf numFmtId="14" fontId="21" fillId="2" borderId="0" xfId="0" applyNumberFormat="1" applyFont="1" applyFill="1"/>
    <xf numFmtId="0" fontId="0" fillId="2" borderId="0" xfId="0" applyFill="1"/>
    <xf numFmtId="0" fontId="0" fillId="7" borderId="0" xfId="0" applyFill="1" applyAlignment="1">
      <alignment horizontal="left"/>
    </xf>
    <xf numFmtId="0" fontId="0" fillId="7" borderId="0" xfId="0" applyFill="1" applyAlignment="1">
      <alignment horizontal="center"/>
    </xf>
    <xf numFmtId="0" fontId="0" fillId="7" borderId="0" xfId="0" applyFill="1"/>
    <xf numFmtId="16" fontId="0" fillId="7" borderId="0" xfId="0" quotePrefix="1" applyNumberFormat="1" applyFill="1" applyAlignment="1">
      <alignment horizontal="center"/>
    </xf>
    <xf numFmtId="0" fontId="15" fillId="7" borderId="0" xfId="0" applyFont="1" applyFill="1"/>
    <xf numFmtId="14" fontId="0" fillId="7" borderId="0" xfId="0" quotePrefix="1" applyNumberFormat="1" applyFill="1"/>
    <xf numFmtId="0" fontId="22" fillId="0" borderId="0" xfId="0" applyFont="1"/>
    <xf numFmtId="0" fontId="24" fillId="0" borderId="0" xfId="0" applyFont="1" applyAlignment="1">
      <alignment horizontal="center"/>
    </xf>
    <xf numFmtId="3" fontId="0" fillId="0" borderId="0" xfId="0" applyNumberFormat="1"/>
    <xf numFmtId="3" fontId="1" fillId="0" borderId="0" xfId="0" applyNumberFormat="1" applyFont="1"/>
    <xf numFmtId="0" fontId="0" fillId="0" borderId="0" xfId="0" applyAlignment="1">
      <alignment horizontal="left" indent="3"/>
    </xf>
    <xf numFmtId="0" fontId="0" fillId="6" borderId="0" xfId="0" applyFill="1" applyAlignment="1">
      <alignment horizontal="left" indent="2"/>
    </xf>
    <xf numFmtId="0" fontId="0" fillId="9" borderId="0" xfId="0" applyFill="1" applyAlignment="1">
      <alignment horizontal="left" indent="1"/>
    </xf>
    <xf numFmtId="0" fontId="0" fillId="10" borderId="0" xfId="0" applyFill="1" applyAlignment="1">
      <alignment horizontal="left" indent="1"/>
    </xf>
    <xf numFmtId="3" fontId="0" fillId="10" borderId="0" xfId="0" applyNumberFormat="1" applyFill="1"/>
    <xf numFmtId="0" fontId="0" fillId="8" borderId="0" xfId="0" applyFill="1" applyAlignment="1">
      <alignment horizontal="left" indent="2"/>
    </xf>
    <xf numFmtId="0" fontId="0" fillId="0" borderId="0" xfId="0" applyAlignment="1">
      <alignment vertical="center" wrapText="1"/>
    </xf>
    <xf numFmtId="0" fontId="0" fillId="0" borderId="50" xfId="0" applyBorder="1" applyAlignment="1">
      <alignment vertical="center" wrapText="1"/>
    </xf>
    <xf numFmtId="0" fontId="1" fillId="0" borderId="50" xfId="0" applyFont="1" applyBorder="1" applyAlignment="1">
      <alignment vertical="center" wrapText="1"/>
    </xf>
    <xf numFmtId="3" fontId="0" fillId="0" borderId="0" xfId="0" applyNumberFormat="1" applyAlignment="1">
      <alignment horizontal="center" vertical="center" wrapText="1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pivotButton="1" applyAlignment="1">
      <alignment horizontal="center" vertical="center" wrapText="1"/>
    </xf>
    <xf numFmtId="0" fontId="24" fillId="6" borderId="0" xfId="0" applyFont="1" applyFill="1" applyAlignment="1">
      <alignment horizontal="center"/>
    </xf>
    <xf numFmtId="3" fontId="0" fillId="0" borderId="0" xfId="0" applyNumberFormat="1" applyAlignment="1">
      <alignment horizontal="center" vertical="center"/>
    </xf>
    <xf numFmtId="0" fontId="23" fillId="0" borderId="0" xfId="0" applyFont="1" applyAlignment="1">
      <alignment vertical="center"/>
    </xf>
    <xf numFmtId="0" fontId="5" fillId="0" borderId="19" xfId="0" applyFont="1" applyBorder="1" applyAlignment="1">
      <alignment horizontal="center"/>
    </xf>
    <xf numFmtId="0" fontId="28" fillId="0" borderId="0" xfId="0" applyFont="1" applyAlignment="1">
      <alignment horizontal="center"/>
    </xf>
    <xf numFmtId="3" fontId="0" fillId="0" borderId="50" xfId="0" applyNumberFormat="1" applyBorder="1"/>
    <xf numFmtId="0" fontId="30" fillId="11" borderId="0" xfId="0" applyFont="1" applyFill="1"/>
    <xf numFmtId="3" fontId="30" fillId="11" borderId="50" xfId="0" applyNumberFormat="1" applyFont="1" applyFill="1" applyBorder="1"/>
    <xf numFmtId="0" fontId="25" fillId="0" borderId="0" xfId="0" applyFont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31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center" vertical="center"/>
    </xf>
    <xf numFmtId="0" fontId="14" fillId="0" borderId="0" xfId="0" quotePrefix="1" applyFont="1" applyAlignment="1">
      <alignment horizontal="center"/>
    </xf>
    <xf numFmtId="16" fontId="14" fillId="0" borderId="0" xfId="0" quotePrefix="1" applyNumberFormat="1" applyFont="1" applyAlignment="1">
      <alignment horizontal="center"/>
    </xf>
    <xf numFmtId="0" fontId="32" fillId="0" borderId="0" xfId="0" applyFont="1"/>
    <xf numFmtId="0" fontId="24" fillId="0" borderId="0" xfId="0" quotePrefix="1" applyFont="1" applyAlignment="1">
      <alignment horizontal="center"/>
    </xf>
    <xf numFmtId="0" fontId="15" fillId="12" borderId="0" xfId="0" applyFont="1" applyFill="1" applyAlignment="1">
      <alignment horizontal="left"/>
    </xf>
    <xf numFmtId="0" fontId="15" fillId="12" borderId="0" xfId="0" applyFont="1" applyFill="1"/>
    <xf numFmtId="0" fontId="15" fillId="12" borderId="0" xfId="0" applyFont="1" applyFill="1" applyAlignment="1">
      <alignment horizontal="center"/>
    </xf>
    <xf numFmtId="0" fontId="0" fillId="12" borderId="0" xfId="0" applyFill="1"/>
    <xf numFmtId="0" fontId="0" fillId="12" borderId="0" xfId="0" applyFill="1" applyAlignment="1">
      <alignment horizontal="center"/>
    </xf>
    <xf numFmtId="0" fontId="14" fillId="12" borderId="0" xfId="0" applyFont="1" applyFill="1"/>
    <xf numFmtId="14" fontId="15" fillId="12" borderId="0" xfId="0" applyNumberFormat="1" applyFont="1" applyFill="1"/>
    <xf numFmtId="0" fontId="4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3" fontId="25" fillId="0" borderId="0" xfId="0" applyNumberFormat="1" applyFont="1" applyAlignment="1">
      <alignment horizontal="center" vertical="center" wrapText="1"/>
    </xf>
    <xf numFmtId="3" fontId="15" fillId="12" borderId="0" xfId="0" applyNumberFormat="1" applyFont="1" applyFill="1"/>
    <xf numFmtId="3" fontId="15" fillId="0" borderId="0" xfId="0" applyNumberFormat="1" applyFont="1"/>
    <xf numFmtId="0" fontId="15" fillId="12" borderId="0" xfId="0" applyFont="1" applyFill="1" applyAlignment="1">
      <alignment horizontal="center" vertical="center"/>
    </xf>
    <xf numFmtId="0" fontId="15" fillId="12" borderId="0" xfId="0" quotePrefix="1" applyFont="1" applyFill="1" applyAlignment="1">
      <alignment horizontal="center"/>
    </xf>
    <xf numFmtId="3" fontId="0" fillId="0" borderId="0" xfId="0" applyNumberFormat="1" applyFill="1"/>
    <xf numFmtId="0" fontId="29" fillId="0" borderId="0" xfId="0" applyFont="1" applyFill="1" applyAlignment="1">
      <alignment horizontal="center" vertical="center" wrapText="1"/>
    </xf>
    <xf numFmtId="0" fontId="23" fillId="8" borderId="0" xfId="0" applyFont="1" applyFill="1" applyAlignment="1">
      <alignment horizontal="center" vertical="center"/>
    </xf>
    <xf numFmtId="0" fontId="23" fillId="8" borderId="0" xfId="0" applyFont="1" applyFill="1" applyAlignment="1">
      <alignment horizontal="center" vertical="center" wrapText="1"/>
    </xf>
    <xf numFmtId="0" fontId="23" fillId="8" borderId="0" xfId="0" applyFont="1" applyFill="1" applyAlignment="1">
      <alignment horizontal="center" wrapText="1"/>
    </xf>
    <xf numFmtId="0" fontId="0" fillId="0" borderId="32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39" xfId="0" applyBorder="1" applyAlignment="1">
      <alignment horizontal="center"/>
    </xf>
    <xf numFmtId="0" fontId="0" fillId="0" borderId="26" xfId="0" applyBorder="1" applyAlignment="1">
      <alignment horizontal="center"/>
    </xf>
    <xf numFmtId="0" fontId="6" fillId="0" borderId="40" xfId="0" applyFont="1" applyBorder="1" applyAlignment="1">
      <alignment horizontal="center"/>
    </xf>
    <xf numFmtId="0" fontId="6" fillId="0" borderId="43" xfId="0" applyFont="1" applyBorder="1" applyAlignment="1">
      <alignment horizontal="center"/>
    </xf>
    <xf numFmtId="0" fontId="6" fillId="0" borderId="41" xfId="0" applyFont="1" applyBorder="1" applyAlignment="1">
      <alignment horizontal="center"/>
    </xf>
    <xf numFmtId="0" fontId="0" fillId="0" borderId="44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0" xfId="0" applyBorder="1" applyAlignment="1">
      <alignment horizontal="center"/>
    </xf>
    <xf numFmtId="0" fontId="0" fillId="0" borderId="41" xfId="0" applyBorder="1" applyAlignment="1">
      <alignment horizontal="center"/>
    </xf>
    <xf numFmtId="0" fontId="0" fillId="0" borderId="28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3" borderId="32" xfId="0" applyFill="1" applyBorder="1" applyAlignment="1">
      <alignment horizontal="center" vertical="center"/>
    </xf>
    <xf numFmtId="0" fontId="0" fillId="3" borderId="19" xfId="0" applyFill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" xfId="0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7" fillId="0" borderId="7" xfId="0" applyFont="1" applyBorder="1" applyAlignment="1">
      <alignment horizontal="center" vertical="center" textRotation="255"/>
    </xf>
    <xf numFmtId="0" fontId="7" fillId="0" borderId="14" xfId="0" applyFont="1" applyBorder="1" applyAlignment="1">
      <alignment horizontal="center" vertical="center" textRotation="255"/>
    </xf>
    <xf numFmtId="0" fontId="7" fillId="0" borderId="20" xfId="0" applyFont="1" applyBorder="1" applyAlignment="1">
      <alignment horizontal="center" vertical="center" textRotation="255"/>
    </xf>
    <xf numFmtId="0" fontId="7" fillId="0" borderId="21" xfId="0" applyFont="1" applyBorder="1" applyAlignment="1">
      <alignment horizontal="center" vertical="center" textRotation="255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3" borderId="5" xfId="0" applyFill="1" applyBorder="1" applyAlignment="1">
      <alignment horizontal="center"/>
    </xf>
  </cellXfs>
  <cellStyles count="2">
    <cellStyle name="Excel Built-in Normal" xfId="1"/>
    <cellStyle name="Normál" xfId="0" builtinId="0"/>
  </cellStyles>
  <dxfs count="70">
    <dxf>
      <alignment horizontal="center"/>
    </dxf>
    <dxf>
      <alignment horizontal="center"/>
    </dxf>
    <dxf>
      <alignment wrapText="1"/>
    </dxf>
    <dxf>
      <alignment vertical="center"/>
    </dxf>
    <dxf>
      <alignment vertical="center"/>
    </dxf>
    <dxf>
      <numFmt numFmtId="3" formatCode="#,##0"/>
    </dxf>
    <dxf>
      <numFmt numFmtId="3" formatCode="#,##0"/>
    </dxf>
    <dxf>
      <numFmt numFmtId="1" formatCode="0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wrapText="1"/>
    </dxf>
    <dxf>
      <alignment wrapText="1"/>
    </dxf>
    <dxf>
      <alignment wrapText="1"/>
    </dxf>
    <dxf>
      <font>
        <sz val="10"/>
      </font>
      <alignment horizontal="center" vertical="center" wrapText="1"/>
    </dxf>
    <dxf>
      <font>
        <sz val="10"/>
      </font>
      <alignment horizontal="center" vertical="center" wrapText="1"/>
    </dxf>
    <dxf>
      <fill>
        <patternFill patternType="none">
          <fgColor indexed="64"/>
          <bgColor indexed="6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font>
        <color rgb="FF002060"/>
      </font>
    </dxf>
    <dxf>
      <font>
        <i/>
      </font>
    </dxf>
    <dxf>
      <alignment wrapText="1"/>
    </dxf>
    <dxf>
      <alignment vertical="center"/>
    </dxf>
    <dxf>
      <alignment horizontal="center"/>
    </dxf>
    <dxf>
      <font>
        <sz val="10"/>
      </font>
    </dxf>
    <dxf>
      <numFmt numFmtId="3" formatCode="#,##0"/>
    </dxf>
    <dxf>
      <alignment horizontal="center" vertical="center" wrapText="1"/>
    </dxf>
    <dxf>
      <alignment horizontal="center"/>
    </dxf>
    <dxf>
      <alignment vertical="center"/>
    </dxf>
    <dxf>
      <alignment wrapText="1"/>
    </dxf>
    <dxf>
      <alignment horizontal="center"/>
    </dxf>
    <dxf>
      <alignment vertical="center"/>
    </dxf>
    <dxf>
      <alignment wrapText="1"/>
    </dxf>
    <dxf>
      <font>
        <b/>
      </font>
    </dxf>
    <dxf>
      <font>
        <b/>
      </font>
    </dxf>
    <dxf>
      <font>
        <b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39997558519241921"/>
        </patternFill>
      </fill>
    </dxf>
    <dxf>
      <fill>
        <patternFill patternType="solid">
          <bgColor theme="3" tint="0.59999389629810485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numFmt numFmtId="3" formatCode="#,##0"/>
    </dxf>
    <dxf>
      <numFmt numFmtId="3" formatCode="#,##0"/>
    </dxf>
    <dxf>
      <numFmt numFmtId="3" formatCode="#,##0"/>
    </dxf>
    <dxf>
      <alignment horizontal="center"/>
    </dxf>
    <dxf>
      <alignment vertical="center"/>
    </dxf>
    <dxf>
      <alignment horizontal="center"/>
    </dxf>
    <dxf>
      <alignment vertical="center"/>
    </dxf>
    <dxf>
      <alignment wrapText="1"/>
    </dxf>
    <dxf>
      <alignment horizontal="center"/>
    </dxf>
    <dxf>
      <alignment horizontal="center"/>
    </dxf>
    <dxf>
      <alignment vertical="center"/>
    </dxf>
    <dxf>
      <alignment vertical="center"/>
    </dxf>
    <dxf>
      <numFmt numFmtId="3" formatCode="#,##0"/>
    </dxf>
    <dxf>
      <numFmt numFmtId="3" formatCode="#,##0"/>
    </dxf>
    <dxf>
      <alignment wrapText="1"/>
    </dxf>
    <dxf>
      <alignment wrapText="1"/>
    </dxf>
    <dxf>
      <alignment horizontal="center"/>
    </dxf>
    <dxf>
      <alignment horizontal="center"/>
    </dxf>
    <dxf>
      <alignment vertical="center"/>
    </dxf>
    <dxf>
      <alignment vertical="center"/>
    </dxf>
    <dxf>
      <numFmt numFmtId="1" formatCode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5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4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3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187779</xdr:colOff>
      <xdr:row>37</xdr:row>
      <xdr:rowOff>24492</xdr:rowOff>
    </xdr:from>
    <xdr:to>
      <xdr:col>16</xdr:col>
      <xdr:colOff>547007</xdr:colOff>
      <xdr:row>42</xdr:row>
      <xdr:rowOff>99656</xdr:rowOff>
    </xdr:to>
    <xdr:pic>
      <xdr:nvPicPr>
        <xdr:cNvPr id="7" name="Kép 6">
          <a:extLst>
            <a:ext uri="{FF2B5EF4-FFF2-40B4-BE49-F238E27FC236}">
              <a16:creationId xmlns:a16="http://schemas.microsoft.com/office/drawing/2014/main" id="{BD992298-8458-703D-8E89-6311E4ABC2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621486" y="7192735"/>
          <a:ext cx="1665514" cy="1022221"/>
        </a:xfrm>
        <a:prstGeom prst="rect">
          <a:avLst/>
        </a:prstGeom>
      </xdr:spPr>
    </xdr:pic>
    <xdr:clientData/>
  </xdr:twoCellAnchor>
  <xdr:twoCellAnchor>
    <xdr:from>
      <xdr:col>11</xdr:col>
      <xdr:colOff>32657</xdr:colOff>
      <xdr:row>30</xdr:row>
      <xdr:rowOff>40821</xdr:rowOff>
    </xdr:from>
    <xdr:to>
      <xdr:col>14</xdr:col>
      <xdr:colOff>261257</xdr:colOff>
      <xdr:row>37</xdr:row>
      <xdr:rowOff>122464</xdr:rowOff>
    </xdr:to>
    <xdr:cxnSp macro="">
      <xdr:nvCxnSpPr>
        <xdr:cNvPr id="9" name="Egyenes összekötő nyíllal 8">
          <a:extLst>
            <a:ext uri="{FF2B5EF4-FFF2-40B4-BE49-F238E27FC236}">
              <a16:creationId xmlns:a16="http://schemas.microsoft.com/office/drawing/2014/main" id="{825CEAC2-5F0E-0A16-8FE8-95AAB1753180}"/>
            </a:ext>
          </a:extLst>
        </xdr:cNvPr>
        <xdr:cNvCxnSpPr/>
      </xdr:nvCxnSpPr>
      <xdr:spPr>
        <a:xfrm>
          <a:off x="6751864" y="5870121"/>
          <a:ext cx="1943100" cy="1420586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538843</xdr:colOff>
      <xdr:row>39</xdr:row>
      <xdr:rowOff>151882</xdr:rowOff>
    </xdr:from>
    <xdr:to>
      <xdr:col>14</xdr:col>
      <xdr:colOff>187779</xdr:colOff>
      <xdr:row>40</xdr:row>
      <xdr:rowOff>114300</xdr:rowOff>
    </xdr:to>
    <xdr:cxnSp macro="">
      <xdr:nvCxnSpPr>
        <xdr:cNvPr id="11" name="Egyenes összekötő nyíllal 10">
          <a:extLst>
            <a:ext uri="{FF2B5EF4-FFF2-40B4-BE49-F238E27FC236}">
              <a16:creationId xmlns:a16="http://schemas.microsoft.com/office/drawing/2014/main" id="{CD07250B-2A7E-F9CD-8309-C4F53A81A130}"/>
            </a:ext>
          </a:extLst>
        </xdr:cNvPr>
        <xdr:cNvCxnSpPr>
          <a:endCxn id="7" idx="1"/>
        </xdr:cNvCxnSpPr>
      </xdr:nvCxnSpPr>
      <xdr:spPr>
        <a:xfrm flipV="1">
          <a:off x="6686550" y="7703846"/>
          <a:ext cx="1934936" cy="150197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465364</xdr:colOff>
      <xdr:row>41</xdr:row>
      <xdr:rowOff>146958</xdr:rowOff>
    </xdr:from>
    <xdr:to>
      <xdr:col>14</xdr:col>
      <xdr:colOff>228600</xdr:colOff>
      <xdr:row>50</xdr:row>
      <xdr:rowOff>89807</xdr:rowOff>
    </xdr:to>
    <xdr:cxnSp macro="">
      <xdr:nvCxnSpPr>
        <xdr:cNvPr id="13" name="Egyenes összekötő nyíllal 12">
          <a:extLst>
            <a:ext uri="{FF2B5EF4-FFF2-40B4-BE49-F238E27FC236}">
              <a16:creationId xmlns:a16="http://schemas.microsoft.com/office/drawing/2014/main" id="{2107C223-C19F-9EF0-2B5D-F296F235472B}"/>
            </a:ext>
          </a:extLst>
        </xdr:cNvPr>
        <xdr:cNvCxnSpPr/>
      </xdr:nvCxnSpPr>
      <xdr:spPr>
        <a:xfrm flipV="1">
          <a:off x="6613071" y="8074479"/>
          <a:ext cx="2049236" cy="1665514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14</xdr:col>
      <xdr:colOff>552450</xdr:colOff>
      <xdr:row>34</xdr:row>
      <xdr:rowOff>24491</xdr:rowOff>
    </xdr:from>
    <xdr:to>
      <xdr:col>21</xdr:col>
      <xdr:colOff>332458</xdr:colOff>
      <xdr:row>46</xdr:row>
      <xdr:rowOff>32890</xdr:rowOff>
    </xdr:to>
    <xdr:pic>
      <xdr:nvPicPr>
        <xdr:cNvPr id="2" name="Kép 1">
          <a:extLst>
            <a:ext uri="{FF2B5EF4-FFF2-40B4-BE49-F238E27FC236}">
              <a16:creationId xmlns:a16="http://schemas.microsoft.com/office/drawing/2014/main" id="{69594B2D-3BA6-E995-C5D9-2A9FFAB2CC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986157" y="6613070"/>
          <a:ext cx="4352008" cy="230256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375557</xdr:colOff>
      <xdr:row>2</xdr:row>
      <xdr:rowOff>73479</xdr:rowOff>
    </xdr:from>
    <xdr:to>
      <xdr:col>2</xdr:col>
      <xdr:colOff>367543</xdr:colOff>
      <xdr:row>5</xdr:row>
      <xdr:rowOff>130692</xdr:rowOff>
    </xdr:to>
    <xdr:pic>
      <xdr:nvPicPr>
        <xdr:cNvPr id="2" name="Kép 1">
          <a:extLst>
            <a:ext uri="{FF2B5EF4-FFF2-40B4-BE49-F238E27FC236}">
              <a16:creationId xmlns:a16="http://schemas.microsoft.com/office/drawing/2014/main" id="{881723EC-424B-1288-BF95-705EF48644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5557" y="449036"/>
          <a:ext cx="1477886" cy="620549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átó Katalin" refreshedDate="45420.514166898145" createdVersion="8" refreshedVersion="8" minRefreshableVersion="3" recordCount="735">
  <cacheSource type="worksheet">
    <worksheetSource ref="A1:B736" sheet="kategóriák"/>
  </cacheSource>
  <cacheFields count="2">
    <cacheField name="Csoport egységes neve" numFmtId="0">
      <sharedItems count="74">
        <s v="Kumite, felnőtt férfi 60 kg"/>
        <s v="Kumite, felnőtt férfi 70 kg"/>
        <s v="Kumite, felnőtt férfi 80 kg"/>
        <s v="Kumite, felnőtt férfi 90 kg"/>
        <s v="Kumite, felnőtt férfi +90 kg"/>
        <s v="Kumite, MASTERS FÉRFI"/>
        <s v="Kumite, felnőtt női 50 kg"/>
        <s v="Kumite, felnőtt női 54 kg"/>
        <s v="Kumite, felnőtt női 59 kg"/>
        <s v="Kumite, felnőtt női 65 kg"/>
        <s v="Kumite, felnőtt női +65 kg"/>
        <s v="Kata, felnőtt női"/>
        <s v="Kata, felnőtt férfi"/>
        <s v="Kumite, junior fiú 60 kg"/>
        <s v="Kumite, junior fiú 65 kg"/>
        <s v="Kumite, junior fiú 70 kg"/>
        <s v="Kumite, junior fiú 75 kg"/>
        <s v="Kumite, junior fiú 80 kg"/>
        <s v="Kumite, junior fiú +80 kg"/>
        <s v="Kumite, junior lány 50 kg"/>
        <s v="Kumite, junior lány 55 kg"/>
        <s v="Kumite, junior lány 60 kg"/>
        <s v="Kumite, junior lány 65 kg"/>
        <s v="Kumite, junior lány +65 kg"/>
        <s v="Kata, junior fiú"/>
        <s v="Kata, junior lány"/>
        <s v="Kumite, gyerek 1. fiú 30 kg"/>
        <s v="Kumite, gyerek 1. fiú 35 kg"/>
        <s v="Kumite, gyerek 1. fiú +35 kg"/>
        <s v="Kata, gyerek 1. fiú"/>
        <s v="Kumite, gyerek 1. lány 30 kg"/>
        <s v="Kumite, gyerek 1. lány 35 kg"/>
        <s v="Kumite, gyerek 1. lány +35 kg"/>
        <s v="Kata, gyerek 1. lány"/>
        <s v="Kumite, gyerek 2. fiú 35 kg"/>
        <s v="Kumite, gyerek 2. fiú 40 kg"/>
        <s v="Kumite, gyerek 2. fiú 45 kg"/>
        <s v="Kumite, gyerek 2. fiú 55 kg"/>
        <s v="Kumite, gyerek 2. fiú +55 kg"/>
        <s v="Kata, gyerek 2. fiú"/>
        <s v="Kumite, gyerek 2. lány 35 kg"/>
        <s v="Kumite, gyerek 2. lány 40 kg"/>
        <s v="Kumite, gyerek 2. lány +45 kg"/>
        <s v="Kumite, gyerek 2. lány 45 kg"/>
        <s v="Kata, gyerek 2. lány"/>
        <s v="Kumite, serdülő fiú 40 kg"/>
        <s v="Kumite, serdülő fiú 45 kg"/>
        <s v="Kumite, serdülő fiú 50 kg"/>
        <s v="Kumite, serdülő fiú 60 kg"/>
        <s v="Kumite, serdülő fiú +70 kg"/>
        <s v="Kumite, serdülő fiú 70 kg"/>
        <s v="Kata, serdülő fiú"/>
        <s v="Kumite, serdülő lány 45 kg"/>
        <s v="Kumite, serdülő lány 55 kg"/>
        <s v="Kumite, serdülő lány 65 kg"/>
        <s v="Kumite, serdülő lány +65 kg"/>
        <s v="Kata, serdülő lány"/>
        <s v="Kumite, ifjúsági fiú 50 kg"/>
        <s v="Kumite, ifjúsági fiú 55 kg"/>
        <s v="Kumite, ifjúsági fiú 60 kg"/>
        <s v="Kumite, ifjúsági fiú 70 kg"/>
        <s v="Kumite, ifjúsági fiú +75 kg"/>
        <s v="Kata, ifjúsági fiú"/>
        <s v="Kumite, ifjúsági lány 50 kg"/>
        <s v="Kumite, ifjúsági lány 55 kg"/>
        <s v="Kumite, ifjúsági lány 60 kg"/>
        <s v="Kumite, ifjúsági lány 65 kg"/>
        <s v="Kumite, ifjúsági lány +65 kg"/>
        <s v="Kata, ifjúsági lány"/>
        <s v="Kumite, ifjúsági fiú 65 kg"/>
        <s v="Kumite, ifjúsági fiú 75 kg"/>
        <s v="Kumite, gyerek 1. fiú 27 kg"/>
        <s v="Kumite, gyerek 2. fiú 30 kg"/>
        <s v="Kumite, serdülő fiú 55 kg"/>
      </sharedItems>
    </cacheField>
    <cacheField name="1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Mátó Katalin" refreshedDate="46176.575112268518" createdVersion="8" refreshedVersion="8" minRefreshableVersion="3" recordCount="1573">
  <cacheSource type="worksheet">
    <worksheetSource ref="A1:U1048576" sheet="database_versenyek2026"/>
  </cacheSource>
  <cacheFields count="21">
    <cacheField name="Verseny" numFmtId="0">
      <sharedItems containsBlank="1" count="20">
        <s v="MKSZ Kyokushin Karate MB 2026"/>
        <s v="DOL elődöntő Várpalota"/>
        <s v="DOL elődöntő Gyöngyös"/>
        <s v="DOL döntő Szigetszentmiklós"/>
        <s v="DOL elődöntő Várpalota TPN"/>
        <s v="DOL elődöntő Gyöngyös TPN"/>
        <s v="DOL döntő Szigetszentmiklós TPN"/>
        <s v="EB Batumi, J18 és Felnőtt"/>
        <m/>
        <s v="MKSZ Kyokushin Karate MB 2025" u="1"/>
        <s v="DOL Elődöntő, Gyöngyös" u="1"/>
        <s v="DOL Elődöntő, Várpalota" u="1"/>
        <s v="J16, U21 EC2025, Litvánia" u="1"/>
        <s v="DOL Döntő, Szigetszentmiklós TPN" u="1"/>
        <s v="DOL Döntő, Szigetszentmiklós" u="1"/>
        <s v="Debrecen Kupa" u="1"/>
        <s v="Full Contact VB Tokyo" u="1"/>
        <s v="J18, Adults EC2025, Hungary" u="1"/>
        <s v="Rakurai Kupa, Répcelak" u="1"/>
        <s v="Damashi Kupa MKKSZ UMB" u="1"/>
      </sharedItems>
    </cacheField>
    <cacheField name="Pont- érték" numFmtId="0">
      <sharedItems containsBlank="1" containsMixedTypes="1" containsNumber="1" containsInteger="1" minValue="1" maxValue="2"/>
    </cacheField>
    <cacheField name="ssz" numFmtId="0">
      <sharedItems containsString="0" containsBlank="1" containsNumber="1" containsInteger="1" minValue="1" maxValue="1178"/>
    </cacheField>
    <cacheField name="Kata / Kumite" numFmtId="0">
      <sharedItems containsBlank="1" count="3">
        <s v="Kumite"/>
        <s v="Kata"/>
        <m/>
      </sharedItems>
    </cacheField>
    <cacheField name="Csoport eredeti neve main2-ben" numFmtId="0">
      <sharedItems containsBlank="1"/>
    </cacheField>
    <cacheField name="Csoport egységes neve" numFmtId="0">
      <sharedItems containsBlank="1"/>
    </cacheField>
    <cacheField name="Sportolók száma" numFmtId="0">
      <sharedItems containsBlank="1" containsMixedTypes="1" containsNumber="1" containsInteger="1" minValue="2" maxValue="14"/>
    </cacheField>
    <cacheField name="Verseny típusa" numFmtId="0">
      <sharedItems containsBlank="1"/>
    </cacheField>
    <cacheField name="Helyezés" numFmtId="0">
      <sharedItems containsBlank="1" containsMixedTypes="1" containsNumber="1" containsInteger="1" minValue="1" maxValue="14"/>
    </cacheField>
    <cacheField name="Név - 2025" numFmtId="0">
      <sharedItems containsBlank="1"/>
    </cacheField>
    <cacheField name="Egyesület rövidítése" numFmtId="0">
      <sharedItems containsBlank="1" count="95">
        <s v="Victory"/>
        <s v="Ippon KKSE"/>
        <s v="Kisvárda KKDOSC"/>
        <s v="Shogun"/>
        <s v="Főnix Dojo"/>
        <s v="TADASHII "/>
        <s v="Castrum"/>
        <s v="KHSE"/>
        <s v="Seiken STKE"/>
        <s v="Beledi KÉSZ SE"/>
        <s v="Nintai KKSE"/>
        <s v="KyoDabas SE."/>
        <s v="Bendiák Dojo"/>
        <s v="Kamikaze S"/>
        <s v="Nozomu Dojo"/>
        <s v="KSE Tarján"/>
        <s v="Genbu dojo"/>
        <s v="BHMSE"/>
        <s v="Bátor KSE"/>
        <s v="VTSE"/>
        <s v="Griff SE"/>
        <s v="Kagami"/>
        <s v="Siófok KSE"/>
        <s v="Rakurai"/>
        <s v="Nagykátai Bushido SE"/>
        <s v="Katana SE"/>
        <s v="Rokku KKSE"/>
        <s v="Meiyo dojo"/>
        <s v="KKE - Spartacus"/>
        <s v="WARRIORS TEAM"/>
        <s v="Shinkyo SE"/>
        <s v="Pagoda"/>
        <s v="ARSC"/>
        <s v="Ichiro Dojo"/>
        <s v="Cs.S.E."/>
        <s v="Fitt KKSE"/>
        <s v="POWER SE."/>
        <s v="ASE Bulldog KKSZCS"/>
        <s v="RDKKSE"/>
        <s v="Nagy Sándor Dojo"/>
        <s v="Keszth.KKK"/>
        <s v="Goukai KSE"/>
        <s v="Tora HSE"/>
        <s v="IKIGAI DOJO BÖRCS"/>
        <s v="Kihaku SE"/>
        <s v="Kelemen-Team"/>
        <s v="Kemecse SE"/>
        <s v="KYO Fighter SE"/>
        <s v="Hajdúszoboszló"/>
        <s v="Buke Reikon HRSE"/>
        <s v="Keizoku SE"/>
        <s v="Derecske BUDO"/>
        <s v="SONGOKU SE"/>
        <s v="ShinzóDojo"/>
        <s v="Borza Dojo"/>
        <s v="Nyíradonyi KKE"/>
        <s v="Wheelmaker dojo SE"/>
        <s v="Magna Dojo"/>
        <s v="Marcali SKK"/>
        <s v="Délegyházi Karate SE"/>
        <m/>
        <s v="HARCOSOK KLUBJA" u="1"/>
        <s v="Veszprémi Fitt KKSE" u="1"/>
        <s v="HASUNO SE" u="1"/>
        <s v="Samurai SE" u="1"/>
        <s v="Yamato SE" u="1"/>
        <s v="Renmei SE" u="1"/>
        <s v="Seishin Dójó" u="1"/>
        <s v="Karcagi SE" u="1"/>
        <s v="SZBSE" u="1"/>
        <s v="Shinzó Dojo" u="1"/>
        <s v="Fight-team" u="1"/>
        <s v="Samuray KKSE" u="1"/>
        <s v="DTKK SE" u="1"/>
        <s v="Shintai SE" u="1"/>
        <s v="Damashi" u="1"/>
        <s v="Spirit SE." u="1"/>
        <s v="Seibukai Kyokushin D" u="1"/>
        <s v="IKIGAI SE." u="1"/>
        <s v="Seiren Hse" u="1"/>
        <s v="Kiskunhalasi KSzE" u="1"/>
        <s v="MSKKE Tokaj" u="1"/>
        <s v="FRKK " u="1"/>
        <s v="FRKK" u="1"/>
        <s v="C.S BUDOKAI ARAD" u="1"/>
        <s v="Nyirtassi SE" u="1"/>
        <s v="KK MOSLAVINA" u="1"/>
        <s v="kkk Dugo Selo" u="1"/>
        <s v="KKZ" u="1"/>
        <s v="KK Mladost" u="1"/>
        <s v="Seishin Karate Klub" u="1"/>
        <s v="KK AIK" u="1"/>
        <s v="BKKKSZ" u="1"/>
        <s v="Shinz" u="1"/>
        <s v="Fitt SE" u="1"/>
      </sharedItems>
    </cacheField>
    <cacheField name="Ország" numFmtId="0">
      <sharedItems containsBlank="1"/>
    </cacheField>
    <cacheField name="Minősítési pont" numFmtId="3">
      <sharedItems containsString="0" containsBlank="1" containsNumber="1" minValue="0" maxValue="60"/>
    </cacheField>
    <cacheField name="Megjegyzés" numFmtId="0">
      <sharedItems containsBlank="1"/>
    </cacheField>
    <cacheField name="Helyszín" numFmtId="0">
      <sharedItems containsBlank="1"/>
    </cacheField>
    <cacheField name="Dátum" numFmtId="0">
      <sharedItems containsNonDate="0" containsDate="1" containsString="0" containsBlank="1" minDate="2026-02-14T00:00:00" maxDate="2026-05-11T00:00:00"/>
    </cacheField>
    <cacheField name="Név + Egyesület" numFmtId="0">
      <sharedItems containsBlank="1"/>
    </cacheField>
    <cacheField name="Szervezet" numFmtId="0">
      <sharedItems containsBlank="1" count="3">
        <s v="1_MKKSZ"/>
        <s v="9_más szervezet"/>
        <m/>
      </sharedItems>
    </cacheField>
    <cacheField name="Egyesület" numFmtId="0">
      <sharedItems containsBlank="1"/>
    </cacheField>
    <cacheField name="korcsoport" numFmtId="0">
      <sharedItems containsBlank="1" count="4">
        <s v="felnőtt"/>
        <s v="utánpótlás"/>
        <m/>
        <s v="felnőtt " u="1"/>
      </sharedItems>
    </cacheField>
    <cacheField name="korcsoport2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Mátó Katalin" refreshedDate="46176.575160995373" createdVersion="8" refreshedVersion="8" minRefreshableVersion="3" recordCount="1573">
  <cacheSource type="worksheet">
    <worksheetSource ref="A1:V1048576" sheet="database_versenyek2026"/>
  </cacheSource>
  <cacheFields count="22">
    <cacheField name="Verseny" numFmtId="0">
      <sharedItems containsBlank="1" count="20">
        <s v="MKSZ Kyokushin Karate MB 2026"/>
        <s v="DOL elődöntő Várpalota"/>
        <s v="DOL elődöntő Gyöngyös"/>
        <s v="DOL döntő Szigetszentmiklós"/>
        <s v="DOL elődöntő Várpalota TPN"/>
        <s v="DOL elődöntő Gyöngyös TPN"/>
        <s v="DOL döntő Szigetszentmiklós TPN"/>
        <s v="EB Batumi, J18 és Felnőtt"/>
        <m/>
        <s v="MKSZ Kyokushin Karate MB 2025" u="1"/>
        <s v="DOL Elődöntő, Gyöngyös" u="1"/>
        <s v="DOL Elődöntő, Várpalota" u="1"/>
        <s v="J16, U21 EC2025, Litvánia" u="1"/>
        <s v="DOL Döntő, Szigetszentmiklós TPN" u="1"/>
        <s v="DOL Döntő, Szigetszentmiklós" u="1"/>
        <s v="Debrecen Kupa" u="1"/>
        <s v="Full Contact VB Tokyo" u="1"/>
        <s v="J18, Adults EC2025, Hungary" u="1"/>
        <s v="Rakurai Kupa, Répcelak" u="1"/>
        <s v="Damashi Kupa MKKSZ UMB" u="1"/>
      </sharedItems>
    </cacheField>
    <cacheField name="Pont- érték" numFmtId="0">
      <sharedItems containsBlank="1" containsMixedTypes="1" containsNumber="1" containsInteger="1" minValue="1" maxValue="2"/>
    </cacheField>
    <cacheField name="ssz" numFmtId="0">
      <sharedItems containsString="0" containsBlank="1" containsNumber="1" containsInteger="1" minValue="1" maxValue="1178"/>
    </cacheField>
    <cacheField name="Kata / Kumite" numFmtId="0">
      <sharedItems containsBlank="1"/>
    </cacheField>
    <cacheField name="Csoport eredeti neve main2-ben" numFmtId="0">
      <sharedItems containsBlank="1"/>
    </cacheField>
    <cacheField name="Csoport egységes neve" numFmtId="0">
      <sharedItems containsBlank="1" count="126">
        <s v="Kumite, felnőtt férfi 80 kg"/>
        <s v="Kumite, felnőtt férfi 60 kg"/>
        <s v="Kumite, felnőtt férfi 70 kg"/>
        <s v="Kumite, felnőtt férfi 90 kg"/>
        <s v="Kumite, felnőtt férfi +90 kg"/>
        <s v="Kumite, MASTERS FÉRFI"/>
        <s v="Kumite, U21 férfi 80 kg"/>
        <s v="Kumite, U21 férfi 65 kg"/>
        <s v="Kumite, U21 férfi 75 kg"/>
        <s v="Kata, felnőtt férfi"/>
        <s v="Kumite, felnőtt női 50 kg"/>
        <s v="Kumite, felnőtt női 55 kg"/>
        <s v="Kumite, felnőtt női 60 kg"/>
        <s v="Kumite, felnőtt női 65 kg"/>
        <s v="Kumite, felnőtt női +65 kg"/>
        <s v="Kumite, U21 női 65 kg"/>
        <s v="Kata, felnőtt női"/>
        <s v="Kata, felnőtt csapat"/>
        <s v="Kumite, gyerek 1. fiú 30 kg"/>
        <s v="Kumite, gyerek 1. fiú 35 kg"/>
        <s v="Kumite, gyerek 1. fiú +35 kg"/>
        <s v="Kata, gyerek 1. fiú"/>
        <s v="Kumite, gyerek 1. lány 30 kg"/>
        <s v="Kumite, gyerek 1. lány 35 kg"/>
        <s v="Kumite, gyerek 1. lány +35 kg"/>
        <s v="Kata, gyerek 1. lány"/>
        <s v="Kumite, gyerek 2. fiú 35 kg"/>
        <s v="Kumite, gyerek 2. fiú 40 kg"/>
        <s v="Kumite, gyerek 2. fiú 45 kg"/>
        <s v="Kumite, gyerek 2. fiú 55 kg"/>
        <s v="Kumite, gyerek 2. fiú +55 kg"/>
        <s v="Kata, gyerek 2. fiú"/>
        <s v="Kumite, gyerek 2. lány 35 kg"/>
        <s v="Kumite, gyerek 2. lány +45 kg"/>
        <s v="Kumite, gyerek 2. lány 45 kg"/>
        <s v="Kata, gyerek 2. lány"/>
        <s v="Kumite, serdülő fiú 40 kg"/>
        <s v="Kumite, serdülő fiú 45 kg"/>
        <s v="Kumite, serdülő fiú 50 kg"/>
        <s v="Kumite, serdülő fiú 60 kg"/>
        <s v="Kumite, serdülő fiú +70 kg"/>
        <s v="Kumite, serdülő fiú 70 kg"/>
        <s v="Kata, serdülő fiú"/>
        <s v="Kumite, serdülő lány 40 kg"/>
        <s v="Kumite, serdülő lány 55 kg"/>
        <s v="Kumite, serdülő lány 65 kg"/>
        <s v="Kumite, serdülő lány +65 kg"/>
        <s v="Kumite, serdülő lány 45 kg"/>
        <s v="Kata, serdülő lány"/>
        <s v="Kumite, ifjúsági fiú 50 kg"/>
        <s v="Kumite, ifjúsági fiú 55 kg"/>
        <s v="Kumite, ifjúsági fiú 60 kg"/>
        <s v="Kumite, ifjúsági fiú 65 kg"/>
        <s v="Kumite, ifjúsági fiú 75 kg"/>
        <s v="Kumite, ifjúsági fiú +75 kg"/>
        <s v="Kata, ifjúsági fiú"/>
        <s v="Kumite, ifjúsági lány 50 kg"/>
        <s v="Kumite, ifjúsági lány 55 kg"/>
        <s v="Kumite, ifjúsági lány 60 kg"/>
        <s v="Kumite, ifjúsági lány +65 kg"/>
        <s v="Kata, ifjúsági lány"/>
        <s v="Kumite, junior fiú 65 kg"/>
        <s v="Kumite, junior fiú 70 kg"/>
        <s v="Kumite, junior fiú +80 kg"/>
        <s v="Kata, junior fiú"/>
        <s v="Kumite, junior lány 50 kg"/>
        <s v="Kumite, junior lány 55 kg"/>
        <s v="Kumite, junior lány 60 kg"/>
        <s v="Kumite, junior lány 65 kg"/>
        <s v="Kata, junior lány"/>
        <s v="Kumite, ifjúsági fiú 70 kg"/>
        <s v="Kumite, ifjúsági lány 65 kg"/>
        <s v="Kumite, junior fiú 60 kg"/>
        <s v="Kumite, junior fiú 75 kg"/>
        <s v="Kumite, junior fiú 80 kg"/>
        <s v="Kumite, junior lány +65 kg"/>
        <s v="Kumite, gyerek 2. lány 40 kg"/>
        <s v="Kumite, gyerek 2. fiú 50 kg"/>
        <s v="Kumite, gyerek 2. fiú +50 kg"/>
        <s v="Kumite, serdülő fiú 55 kg"/>
        <s v="Kumite, serdülő fiú 65 kg"/>
        <s v="Kumite, serdülő fiú +65 kg"/>
        <m/>
        <s v="Csapatkata" u="1"/>
        <s v="Kumite, U21 férfi 70 kg" u="1"/>
        <s v="Kumite, masters férfi 90 kg" u="1"/>
        <s v="Kumite, masters férfi +90 kg" u="1"/>
        <s v="Kumite, felnőtt női 54 kg" u="1"/>
        <s v="Kumite, U21 női 60 kg" u="1"/>
        <s v="Ifjúsági Csapatkata" u="1"/>
        <s v="Felnőtt Csapatkata" u="1"/>
        <s v="Kumite, U21 női +65 kg" u="1"/>
        <s v="Kumite, U21 női  55 kg" u="1"/>
        <s v="Kumite, U21 női -50 kg" u="1"/>
        <s v="Kumite, Gyerek I. fiú -30kg" u="1"/>
        <s v="Kumite, Gyerek I. fiú 35-40kg" u="1"/>
        <s v="Kumite, Gyerek I. lány 25-30kg" u="1"/>
        <s v="Kumite, Gyerek II. fiú +30kg" u="1"/>
        <s v="Kumite, Gyerek II. fiú 30-35kg" u="1"/>
        <s v="Kumite, Gyerek II. fiú 35-40kg" u="1"/>
        <s v="Kumite, Gyerek II. fiú 40-45kg" u="1"/>
        <s v="Kumite, Gyerek II. fiú 45-50kg" u="1"/>
        <s v="Kumite, Gyerek II. fiú +50kg" u="1"/>
        <s v="Kumite, Gyerek II. lány 40-45kg" u="1"/>
        <s v="Kumite, Gyerek II. lány 35-40kg" u="1"/>
        <s v="Kumite, Gyermek II. lány +45kg" u="1"/>
        <s v="Kumite, Serdülő fiú -45kg" u="1"/>
        <s v="Kumite, Serdülő fiú 45-55kg" u="1"/>
        <s v="Kumite, Serdülő fiú 55-65kg" u="1"/>
        <s v="Kumite, Serdülő fiú +65kg" u="1"/>
        <s v="Kumite, Serdülő lány -40kg" u="1"/>
        <s v="Kumite, Serdülő lány 40-45kg" u="1"/>
        <s v="Kumite, Serdülő lány +65kg" u="1"/>
        <s v="Kumite, Serdülő lány 45-55kg" u="1"/>
        <s v="Kumite, Serdülő lány 55-65kg" u="1"/>
        <s v="Kumite, Ifjúsági lány -50kg" u="1"/>
        <s v="Kumite, Ifjúsági lány 50-55kg" u="1"/>
        <s v="Kumite, Ifjúsági lány 55-60kg" u="1"/>
        <s v="Kumite, Ifjúsági lány 60-65kg" u="1"/>
        <s v="Kumite, Ifjúsági lány +65kg" u="1"/>
        <s v="Kumite, SENIOR férfi 85 kg" u="1"/>
        <s v="Kumite, SENIOR férfi +90 kg" u="1"/>
        <s v="Kumite, SENIOR férfi 80 kg" u="1"/>
        <s v="Kumite, U21 női 50 kg" u="1"/>
        <s v="Kumite, felnőtt női 59 kg" u="1"/>
        <s v="Kata, junior lány csapat" u="1"/>
      </sharedItems>
    </cacheField>
    <cacheField name="Sportolók száma" numFmtId="0">
      <sharedItems containsBlank="1" containsMixedTypes="1" containsNumber="1" containsInteger="1" minValue="2" maxValue="14"/>
    </cacheField>
    <cacheField name="Verseny típusa" numFmtId="0">
      <sharedItems containsBlank="1"/>
    </cacheField>
    <cacheField name="Helyezés" numFmtId="0">
      <sharedItems containsBlank="1" containsMixedTypes="1" containsNumber="1" containsInteger="1" minValue="1" maxValue="14"/>
    </cacheField>
    <cacheField name="Név - 2025" numFmtId="0">
      <sharedItems containsBlank="1"/>
    </cacheField>
    <cacheField name="Egyesület rövidítése" numFmtId="0">
      <sharedItems containsBlank="1"/>
    </cacheField>
    <cacheField name="Ország" numFmtId="0">
      <sharedItems containsBlank="1"/>
    </cacheField>
    <cacheField name="Minősítési pont" numFmtId="3">
      <sharedItems containsString="0" containsBlank="1" containsNumber="1" minValue="0" maxValue="60"/>
    </cacheField>
    <cacheField name="Megjegyzés" numFmtId="0">
      <sharedItems containsBlank="1"/>
    </cacheField>
    <cacheField name="Helyszín" numFmtId="0">
      <sharedItems containsBlank="1"/>
    </cacheField>
    <cacheField name="Dátum" numFmtId="0">
      <sharedItems containsNonDate="0" containsDate="1" containsString="0" containsBlank="1" minDate="2026-02-14T00:00:00" maxDate="2026-05-11T00:00:00"/>
    </cacheField>
    <cacheField name="Név + Egyesület" numFmtId="0">
      <sharedItems containsBlank="1" count="847">
        <s v="Fekete Gergely - Victory"/>
        <s v="Ujvári Bálint - Ippon KKSE"/>
        <s v="Rétfalvi Tamás - Kisvárda KKDOSC"/>
        <s v="Soltész Szabolcs - Kisvárda KKDOSC"/>
        <s v="Feczkó Zoltán - Shogun"/>
        <s v="Törő Attila - Victory"/>
        <s v="Bede Zsombor - Ippon KKSE"/>
        <s v="Ludszky Tamás - Főnix Dojo"/>
        <s v="Törő Márton - Victory"/>
        <s v="Lajtos Patrik - Victory"/>
        <s v="Badar Máté - TADASHII "/>
        <s v="Baranyai Máté - Shogun"/>
        <s v="Vancsek Kristóf - Ippon KKSE"/>
        <s v="Hoffer András - Castrum"/>
        <s v="Béres Sándor - KHSE"/>
        <s v="Hamar Levente - KHSE"/>
        <s v="Kollányi Miklós - Shogun"/>
        <s v="Tóth Attila - Seiken STKE"/>
        <s v="Lengyel László - Beledi KÉSZ SE"/>
        <s v="Varga Krsiztián - Beledi KÉSZ SE"/>
        <s v="Csillag Viktor  - Beledi KÉSZ SE"/>
        <s v="Szakály Dominik - Shogun"/>
        <s v="Kollát Zétény - Nintai KKSE"/>
        <s v="Szabó István Balázs - KyoDabas SE."/>
        <s v="Csordás Benjamin - Seiken STKE"/>
        <s v="Szabó Imre Richárd - KHSE"/>
        <s v="Jámbor Dániel - KHSE"/>
        <s v="Horváth Levente András - Castrum"/>
        <s v="Gáspár Botond - Főnix Dojo"/>
        <s v="Bendiák Soma - Bendiák Dojo"/>
        <s v="Spéder István - Kamikaze S"/>
        <s v="Pápai Balázs - TADASHII "/>
        <s v="Gagna Patrik - Nozomu Dojo"/>
        <s v="Szabó Bence - Shogun"/>
        <s v="Andrikó Antal - KSE Tarján"/>
        <s v="Kurucz László Botond - Genbu dojo"/>
        <s v="Dávid András - BHMSE"/>
        <s v="Dévényi Lora - Victory"/>
        <s v="Bihari Lili - Bátor KSE"/>
        <s v="Litvák Lili - KHSE"/>
        <s v="Polák Leila - TADASHII "/>
        <s v="Gyenge Judit - KHSE"/>
        <s v="Csordás Norina - Seiken STKE"/>
        <s v="Kántor Viktória - VTSE"/>
        <s v="Sharabi Maya - BHMSE"/>
        <s v="Mező Lili - Victory"/>
        <s v="Szalay Berta - Castrum"/>
        <s v="Bóka Viktória - Griff SE"/>
        <s v="Tóth Csenge - Victory"/>
        <s v="Gergely Henrietta - BHMSE"/>
        <s v="Varga Borbála - Kamikaze S"/>
        <s v="Józsa Erika Réka - KHSE"/>
        <s v="Kis Mónika - Főnix Dojo"/>
        <s v="Rácz Dorottya - KHSE"/>
        <s v="Berényi Lujza Beatrix - Kagami"/>
        <s v="Gerő Hanna Gréta - Kagami"/>
        <s v="Rácz Viktória - Shogun"/>
        <s v="Sólyom Anna - Shogun"/>
        <s v="Arnódi Gréta Bernadette - Kagami"/>
        <s v="Hardi Laura - Siófok KSE"/>
        <s v="Sólyom Gréta - Shogun"/>
        <s v="Jernyei Nikolett - KHSE"/>
        <s v="Nagy Nóra Bíborka - BHMSE"/>
        <s v="Horváth Nóra - Beledi KÉSZ SE"/>
        <s v="Dróth-Tóth Adrienn - Rakurai"/>
        <s v="KHSE csapat - KHSE"/>
        <s v="Kagami csapat - Kagami"/>
        <s v="Vámosi Juhász Ádám - Nagykátai Bushido SE"/>
        <s v="Zajácz Imre - Kamikaze S"/>
        <s v="Aupek Márk - VTSE"/>
        <s v="Gombos-Weidinger Bence - BHMSE"/>
        <s v="Seres Zoltán - Ippon KKSE"/>
        <s v="Menyhárt Levente  - Beledi KÉSZ SE"/>
        <s v="Szabó Marcell Károly - Katana SE"/>
        <s v="Kasza Benett - Nagykátai Bushido SE"/>
        <s v="Bakonyi Erik - BHMSE"/>
        <s v="Kelemen Milán - Beledi KÉSZ SE"/>
        <s v="Vass Zalán - Főnix Dojo"/>
        <s v="Tamási Péter Tamás - Castrum"/>
        <s v="Nagy Hunor - Rakurai"/>
        <s v="Kolipka Máté Gergő - KSE Tarján"/>
        <s v="Csordás Olivér - KSE Tarján"/>
        <s v="Gruber Marcell - Siófok KSE"/>
        <s v="Bogdán Zsombor - Katana SE"/>
        <s v="Németh Dávid - BHMSE"/>
        <s v="Péntek András - Katana SE"/>
        <s v="Gattoni Marcello - BHMSE"/>
        <s v="Karácsony Vadim - BHMSE"/>
        <s v="Jávor Mika - BHMSE"/>
        <s v="Lukács Ajsa - BHMSE"/>
        <s v="Erdei Emília - Rokku KKSE"/>
        <s v="Kámán Luca - Rakurai"/>
        <s v="Falus Dorottya - Rokku KKSE"/>
        <s v="Németh Kitti - Meiyo dojo"/>
        <s v="Buzás Anna - Meiyo dojo"/>
        <s v="Balogh Zora - Meiyo dojo"/>
        <s v="Varga Olivia - KSE Tarján"/>
        <s v="Tóth Csenge - Nagykátai Bushido SE"/>
        <s v="Simor Szofi Anna - BHMSE"/>
        <s v="Boka Norman Eliot - Katana SE"/>
        <s v="Hegedűs Vencel - Nagykátai Bushido SE"/>
        <s v="Zajácz Miklós - Kamikaze S"/>
        <s v="Gordos Zalán - VTSE"/>
        <s v="Vörös Mátyás - Rokku KKSE"/>
        <s v="Nagy Zétény - BHMSE"/>
        <s v="Kovács Milán - Katana SE"/>
        <s v="Csuha Benedek - BHMSE"/>
        <s v="Reinhoffer Erik - Kamikaze S"/>
        <s v="Süller Zsombor - Katana SE"/>
        <s v="Kalmár Ádám István - Castrum"/>
        <s v="Szenner Valentin - Katana SE"/>
        <s v="Szabó Áron Levente - Katana SE"/>
        <s v="Molnár I. Zétény - KKE - Spartacus"/>
        <s v="Hidegh Krisztián - Rakurai"/>
        <s v="Benedek Barnabás - Nagykátai Bushido SE"/>
        <s v="Balázs Dénes - Griff SE"/>
        <s v="Kárász Dániel - BHMSE"/>
        <s v="Árendás Botond - KSE Tarján"/>
        <s v="Horváth Kristóf - Griff SE"/>
        <s v="Bodnár Zoltán - Katana SE"/>
        <s v="Dani Andor - Kamikaze S"/>
        <s v="Mohai Szilárd - Katana SE"/>
        <s v="Sipos-Cserjési Horka - BHMSE"/>
        <s v="Fekete Kristóf - Rokku KKSE"/>
        <s v="Gombos-Weidinger Zsombor - BHMSE"/>
        <s v="Vámosi Juhász Máté - Nagykátai Bushido SE"/>
        <s v="Szabó Máté Péter - WARRIORS TEAM"/>
        <s v="Milutinovic Olivér - Beledi KÉSZ SE"/>
        <s v="Tálas Csongor - Ippon KKSE"/>
        <s v="Baky Kornél - BHMSE"/>
        <s v="Koczor Máté - Rakurai"/>
        <s v="Kőszegfalvi Csanád - Shinkyo SE"/>
        <s v="Eperjesi Dávid - BHMSE"/>
        <s v="Virág Oszkár - Rokku KKSE"/>
        <s v="Hernádi Bere - BHMSE"/>
        <s v="Káplár János Mihály - Pagoda"/>
        <s v="Bocsányi Márton - BHMSE"/>
        <s v="Vass Alexander - Siófok KSE"/>
        <s v="Jakubovics Nikolett - BHMSE"/>
        <s v="Pődör Panka - Griff SE"/>
        <s v="Horváth Boróka - Rakurai"/>
        <s v="Kocsis Nóra - Genbu dojo"/>
        <s v="Kocsis Angéla - Genbu dojo"/>
        <s v="Garamszegi Szófia - WARRIORS TEAM"/>
        <s v="Vig Boglárka - VTSE"/>
        <s v="Tóth Arina Bejke - Nagykátai Bushido SE"/>
        <s v="Spanjevic Frida - BHMSE"/>
        <s v="Szombath Jázmin - Főnix Dojo"/>
        <s v="Falus Zsuzsanna - Rokku KKSE"/>
        <s v="Rabi-Szita Emese - Meiyo dojo"/>
        <s v="Baranya Lilla - KSE Tarján"/>
        <s v="Domján-Herbat Réka - BHMSE"/>
        <s v="Rudi Noémi - Rakurai"/>
        <s v="Barta-Gaál Adóra - BHMSE"/>
        <s v="Gergácz Izabella - Beledi KÉSZ SE"/>
        <s v="Ükös Júlia - Katana SE"/>
        <s v="Sövér Levente - BHMSE"/>
        <s v="Nyíri György - Siófok KSE"/>
        <s v="Bárkovics Áron - KKE - Spartacus"/>
        <s v="Hidegh Flórián - Rakurai"/>
        <s v="Béres Bence - VTSE"/>
        <s v="Jankovics Marcell - Siófok KSE"/>
        <s v="Antal Dániel Kristóf - KSE Tarján"/>
        <s v="Tóth Kornél - KKE - Spartacus"/>
        <s v="Gattyán Máté Barna - BHMSE"/>
        <s v="Kámán Márton - Rakurai"/>
        <s v="Tarjányi Zétény Ferenc - ARSC"/>
        <s v="Tóth Benedek - Ichiro Dojo"/>
        <s v="Halász Zente - Griff SE"/>
        <s v="Ferenczhalmy Félix - BHMSE"/>
        <s v="Viszugyel Bálint - VTSE"/>
        <s v="Vig Bendegúz - VTSE"/>
        <s v="Bánfi Botond - Rokku KKSE"/>
        <s v="Munkácsi Ádám - Főnix Dojo"/>
        <s v="Hadnagy Barnabás - Rokku KKSE"/>
        <s v="Szabó Levente Botond - KSE Tarján"/>
        <s v="Villasenor Babos Viktor Éliás - Rakurai"/>
        <s v="Salga Márton - Rokku KKSE"/>
        <s v="Finta Csanád - Rakurai"/>
        <s v="Gaál-Vajai Tamás - Főnix Dojo"/>
        <s v="Adámi Áron - Ichiro Dojo"/>
        <s v="Urszuly Noel - Rokku KKSE"/>
        <s v="Kárpáti Bence - Cs.S.E."/>
        <s v="Varga Bence - KSE Tarján"/>
        <s v="Reinhofer Patrik - Rokku KKSE"/>
        <s v="Horváth Bence László - Rakurai"/>
        <s v="Gyarmathy Zsolt - Fitt KKSE"/>
        <s v="Nagy Kevin  - KKE - Spartacus"/>
        <s v="Moosbauer Kevin - KSE Tarján"/>
        <s v="Kleé Krisztián - Rakurai"/>
        <s v="Szigeti Boldizsár - Siófok KSE"/>
        <s v="Fulló István Dragoljub - Ippon KKSE"/>
        <s v="KÁDAS DOMINIK - KyoDabas SE."/>
        <s v="Bogdán Szonja Boróka - Rakurai"/>
        <s v="Rékai Bianka - Siófok KSE"/>
        <s v="Reichert Hanna  - VTSE"/>
        <s v="Gaál-Vajai Tamara - Főnix Dojo"/>
        <s v="Papp Gréta - Castrum"/>
        <s v="Radnóti Lilla - POWER SE."/>
        <s v="Villasenor Babos Natália  - Rakurai"/>
        <s v="Ványi Amira - POWER SE."/>
        <s v="Gazdag Csinszka - ASE Bulldog KKSZCS"/>
        <s v="Nagy Anna - Főnix Dojo"/>
        <s v="Volenszki Mira - WARRIORS TEAM"/>
        <s v="Solymári Orsolya Dalma - WARRIORS TEAM"/>
        <s v="Volenszki Adél - WARRIORS TEAM"/>
        <s v="Bennárik Bella - WARRIORS TEAM"/>
        <s v="Szabó Anna Tímea - Katana SE"/>
        <s v="Abou Hussein Maya - Ippon KKSE"/>
        <s v="Szente Beatrix - VTSE"/>
        <s v="Lukácsi Réka - Ippon KKSE"/>
        <s v="Bota Sára - Rakurai"/>
        <s v="Horváth Liliána - Kamikaze S"/>
        <s v="Mihályi Tünde - BHMSE"/>
        <s v="Tóth-Krisó Míra - Katana SE"/>
        <s v="Horváth Dóra Lili - BHMSE"/>
        <s v="Mészáros Lili Dóra - KSE Tarján"/>
        <s v="Szűcs Anna - Ichiro Dojo"/>
        <s v="Kovács Linett - RDKKSE"/>
        <s v="Gál Petra Andrea - Fitt KKSE"/>
        <s v="Orosz Elizabett - KSE Tarján"/>
        <s v="Kovács Maja - Katana SE"/>
        <s v="Szatmári Nóra Hanna - WARRIORS TEAM"/>
        <s v="Gombos-Weidinger Barnabás - BHMSE"/>
        <s v="Bollók Zalán - VTSE"/>
        <s v="Lukács Filip - BHMSE"/>
        <s v="Szőke Zalán - VTSE"/>
        <s v="Sztojka Norbert Kevin - Ippon KKSE"/>
        <s v="Tóth Gergely - Ichiro Dojo"/>
        <s v="Kovács Vajk Zoltán - Katana SE"/>
        <s v="Magasi Attila - Főnix Dojo"/>
        <s v="Farkas Áron Péter - Ichiro Dojo"/>
        <s v="Molnár Bence Noel - WARRIORS TEAM"/>
        <s v="Bagó Balázs - VTSE"/>
        <s v="Alkaddour Ali Áron - BHMSE"/>
        <s v="Fekete Szilárd - POWER SE."/>
        <s v="Baranyi Tibor - POWER SE."/>
        <s v="Csonka Máté - Kamikaze S"/>
        <s v="Szabó Levente - WARRIORS TEAM"/>
        <s v="Németh Adrián - Cs.S.E."/>
        <s v="Garamszegi Zente - WARRIORS TEAM"/>
        <s v="Szabó Lóránt - Kamikaze S"/>
        <s v="Vörös Tibor - RDKKSE"/>
        <s v="Kalamár László Thien - BHMSE"/>
        <s v="Szalontai Levente - KSE Tarján"/>
        <s v="Gyarmati Viktor - BHMSE"/>
        <s v="Baranyai Áron - BHMSE"/>
        <s v="Varga Bálint Norbert - ARSC"/>
        <s v="Böcskey Emese  - Nagy Sándor Dojo"/>
        <s v="Sülyi Luca - Főnix Dojo"/>
        <s v="Aranyosi Nikolett - KSE Tarján"/>
        <s v="Serfőző Lia Zoé - Castrum"/>
        <s v="Bognár Judit - Castrum"/>
        <s v="Ható Amanda - Rakurai"/>
        <s v="Lukács Éva - VTSE"/>
        <s v="Bognár Boglárka - Rakurai"/>
        <s v="Demeter Zsófia - WARRIORS TEAM"/>
        <s v="Csonka Kata - Kamikaze S"/>
        <s v="Szalai Kitti - Griff SE"/>
        <s v="Komondi Veronika Nilla - Keszth.KKK"/>
        <s v="Bartha Zsuzsanna - BHMSE"/>
        <s v="Nagy Hanna Míra - Genbu dojo"/>
        <s v="Czakó Natália - Nagykátai Bushido SE"/>
        <s v="Timár Alíz - BHMSE"/>
        <s v="Varga Réka Orsolya - ARSC"/>
        <s v="Princz Anna - ARSC"/>
        <s v="Horváth Hanna Barbara - BHMSE"/>
        <s v="Danka Hunor - Nagykátai Bushido SE"/>
        <s v="Balogh András Barnabás - Ippon KKSE"/>
        <s v="Kovácsay Gergely - Ippon KKSE"/>
        <s v="Varga Tamás - Goukai KSE"/>
        <s v="Szente Szabolcs - VTSE"/>
        <s v="Nagy Benedek - Tora HSE"/>
        <s v="Tengelics Márk - IKIGAI DOJO BÖRCS"/>
        <s v="Kozó Flórián - Shinkyo SE"/>
        <s v="Bűdy Sándor - BHMSE"/>
        <s v="Magyar Botond - Nagy Sándor Dojo"/>
        <s v="Németh Panka - Cs.S.E."/>
        <s v="Bőzsöny Dorka - BHMSE"/>
        <s v="Egerszegi Rebeka - Főnix Dojo"/>
        <s v="Németh Virág - Castrum"/>
        <s v="Finta Zelma - Rakurai"/>
        <s v="Spanjevic Dániel - BHMSE"/>
        <s v="Reichert Jázmin  - VTSE"/>
        <s v="Bognár Luca - Rakurai"/>
        <s v="Lukács Eszter - VTSE"/>
        <s v="Spanjevic Emma - BHMSE"/>
        <s v="Fadgyas Eszter - Goukai KSE"/>
        <s v="Imre Zoé Julianna - KSE Tarján"/>
        <s v="Viza Dorottya Anna - ARSC"/>
        <s v="Farkas Regina - Shinkyo SE"/>
        <s v="Kisdeák Emma - Siófok KSE"/>
        <s v="Nádi Viktória - ARSC"/>
        <s v="Soós Panka - Tora HSE"/>
        <s v="Molnár Emese - Kihaku SE"/>
        <s v="Szlivka Botond Csaba - Shogun"/>
        <s v="Aldubai Mohamed Hamzah - Victory"/>
        <s v="Huszti Dániel - Shogun"/>
        <s v="Marjai Sándor - Kelemen-Team"/>
        <s v="Mohácsi DOminik - Victory"/>
        <s v="Rózsa Benett - Kemecse SE"/>
        <s v="Blokhin Alexei - Victory"/>
        <s v="Papp László - Kelemen-Team"/>
        <s v="Oszlánczi Zente - KYO Fighter SE"/>
        <s v="Dániel Bence - Shogun"/>
        <s v="Petrohai Dávid - Shogun"/>
        <s v="Dudás Benedek - Bendiák Dojo"/>
        <s v="Dócs Nándor - Nozomu Dojo"/>
        <s v="Máté Lénárd - Kelemen-Team"/>
        <s v="Sárközi Bence - Shogun"/>
        <s v="Tóth Máté - Bendiák Dojo"/>
        <s v="Kiss Attila - Kelemen-Team"/>
        <s v="Zeke Kata - Kelemen-Team"/>
        <s v="Bácsmegi Luca - Kelemen-Team"/>
        <s v="Fekete Alíz - Shogun"/>
        <s v="Banyák Léna - KYO Fighter SE"/>
        <s v="Nándori Leona - Kemecse SE"/>
        <s v="Geiger Uzonyi Lilla - Kelemen-Team"/>
        <s v="Szabó Alex Dominik - Shogun"/>
        <s v="Tarr Bence - Shogun"/>
        <s v="Szűcs Norbert - Shogun"/>
        <s v="Makai Mór - Victory"/>
        <s v="Kis Olivér - KYO Fighter SE"/>
        <s v="Berényi Milán - Shogun"/>
        <s v="Pajkos Dominik - Shogun"/>
        <s v="Ungai Csaba - Hajdúszoboszló"/>
        <s v="Török Márton Ignác - Kelemen-Team"/>
        <s v="Gulya Mátyás János - Kelemen-Team"/>
        <s v="Jaksa György - Victory"/>
        <s v="Sádt Zénó - Buke Reikon HRSE"/>
        <s v="Eszenyi Barnabás - Shogun"/>
        <s v="Héder Patrik - Bátor KSE"/>
        <s v="Kiss Adrián - Keizoku SE"/>
        <s v="Hegedűs Botond - Keizoku SE"/>
        <s v="Zeke Dávid - Kelemen-Team"/>
        <s v="Némethy Balázs - Shogun"/>
        <s v="Farkas Kristóf - Buke Reikon HRSE"/>
        <s v="Szabó Zsombor - Buke Reikon HRSE"/>
        <s v="Zádori Zénó  - Buke Reikon HRSE"/>
        <s v="Sztarek Benett - Buke Reikon HRSE"/>
        <s v="Kiss István - Derecske BUDO"/>
        <s v="Kiss Levente - Derecske BUDO"/>
        <s v="Gaál Botond Kolos - Bátor KSE"/>
        <s v="Simon Titusz - Buke Reikon HRSE"/>
        <s v="Eszenyi Tamás Zsolt - Bátor KSE"/>
        <s v="Rajmon Tamás - Victory"/>
        <s v="Petróczki Farkas - Bátor KSE"/>
        <s v="Bervanger Bálint - Shogun"/>
        <s v="Gyuricska Benedek - Shogun"/>
        <s v="Berki Tamás - Victory"/>
        <s v="Tóth Marcell Kevin - Nozomu Dojo"/>
        <s v="Jagyugy Zalán - Kelemen-Team"/>
        <s v="Kurucz Árpád Soma - Victory"/>
        <s v="Remenyik Péter - Shogun"/>
        <s v="Ádám Mátyás Richárd - Bendiák Dojo"/>
        <s v="Tóth Gergő - SONGOKU SE"/>
        <s v="Ungai Eszter - Hajdúszoboszló"/>
        <s v="Kigó Boróka - Victory"/>
        <s v="Fürjesi Eszter - Shogun"/>
        <s v="Fagbola Esther - Victory"/>
        <s v="Téglási Kamilla - Kisvárda KKDOSC"/>
        <s v="Marjai Boglárka - Kelemen-Team"/>
        <s v="Szabó Lilla - ShinzóDojo"/>
        <s v="Dászkál Dorottya - Shogun"/>
        <s v="Damu Zsanett - Kagami"/>
        <s v="MOLNÁR MINKA - Victory"/>
        <s v="Huszár Hanna - Kemecse SE"/>
        <s v="Kis Emma - Shogun"/>
        <s v="Cserép Nóra - Kelemen-Team"/>
        <s v="Pista Nóra - Bendiák Dojo"/>
        <s v="Varga Zoé - Kemecse SE"/>
        <s v="Sárközi Nóra - Shogun"/>
        <s v="Veress Dávid - KHSE"/>
        <s v="Melczner Márk - Victory"/>
        <s v="Kis Ádám Zsolt - KYO Fighter SE"/>
        <s v="Andrési Balázs - KHSE"/>
        <s v="Békési Nándor István - Shogun"/>
        <s v="Takács Sárkány Balázs - KHSE"/>
        <s v="Kurucz Tamás Timuzsin - Shogun"/>
        <s v="Pista Áron - Bendiák Dojo"/>
        <s v="Remenyik Dániel - Shogun"/>
        <s v="Turcsán Barnabás - Borza Dojo"/>
        <s v="Szymon Fraczek - Bátor KSE"/>
        <s v="Sádt Zétény - Buke Reikon HRSE"/>
        <s v="Tángyes Ricardo - Kisvárda KKDOSC"/>
        <s v="Szutor Levente - Shogun"/>
        <s v="Elek János - KHSE"/>
        <s v="Riczu Bendegúz - Nozomu Dojo"/>
        <s v="Virág Marcell Máté - KHSE"/>
        <s v="Száraz Zsombor - Derecske BUDO"/>
        <s v="Kovács Máté Noel - Bátor KSE"/>
        <s v="Tokaji Bocsárd Norbert - KHSE"/>
        <s v="Farkas Álmos - KYO Fighter SE"/>
        <s v="Avramov Dávid - TADASHII "/>
        <s v="Székely Lázár - KYO Fighter SE"/>
        <s v="Berényi Bence - Shogun"/>
        <s v="Maklaga Norbert - Kagami"/>
        <s v="Patai Dávid - ShinzóDojo"/>
        <s v="Botlik Tibor - Nintai KKSE"/>
        <s v="Kovács Mihály Ágoston - Borza Dojo"/>
        <s v="Sóskuti Lili - Keizoku SE"/>
        <s v="Galyas Edit - Nyíradonyi KKE"/>
        <s v="Gonda Lea - Kelemen-Team"/>
        <s v="Nándori Emma - Kemecse SE"/>
        <s v="Szabó Zsófi - ShinzóDojo"/>
        <s v="Csató Réka - Keizoku SE"/>
        <s v="Koszorus Brigitta - SONGOKU SE"/>
        <s v="Almási Petra - KHSE"/>
        <s v="Kiss Jázmin - TADASHII "/>
        <s v="Novák Noémi - Bendiák Dojo"/>
        <s v="Bakó Panna - Kemecse SE"/>
        <s v="Nagy Blanka - Shogun"/>
        <s v="Dorka Zalán - KHSE"/>
        <s v="Stoffán Ádám Vilmos - Victory"/>
        <s v="Zhang Dávid - KHSE"/>
        <s v="Berényi Imre Márk - Shogun"/>
        <s v="Balázs Máté - KHSE"/>
        <s v="Dániel László - Kelemen-Team"/>
        <s v="Dürgő Máté - Victory"/>
        <s v="Ménes Milán - KHSE"/>
        <s v="Banka Boldizsár - KYO Fighter SE"/>
        <s v="Bartus Marcell - KYO Fighter SE"/>
        <s v="Balogh Levente - Wheelmaker dojo SE"/>
        <s v="Tarsoly Norbert - Nintai KKSE"/>
        <s v="Tutor Barnabás  - Derecske BUDO"/>
        <s v="Kurucz Gergő - Victory"/>
        <s v="Dezső Norbert - Magna Dojo"/>
        <s v="Novák Balázs - Bendiák Dojo"/>
        <s v="Ágoston Bence - KHSE"/>
        <s v="Vancsó Kornél - Bendiák Dojo"/>
        <s v="Vass Noel - KHSE"/>
        <s v="Szalai Brendon - Nintai KKSE"/>
        <s v="Novák Máté - Bendiák Dojo"/>
        <s v="Vida Péter - Buke Reikon HRSE"/>
        <s v="Ungvári Levente - Shogun"/>
        <s v="Lóránt Varga Milán - Shogun"/>
        <s v="MOLNÁR MARCELL - Victory"/>
        <s v="Szabó Hanna - Hajdúszoboszló"/>
        <s v="Forgács Lili - Borza Dojo"/>
        <s v="Furó Liliána - KHSE"/>
        <s v="Kiss Boglárka - Derecske BUDO"/>
        <s v="Karap Anna - Shogun"/>
        <s v="Pénzes Zsófia - KHSE"/>
        <s v="Albert Szilvia Cintia - Derecske BUDO"/>
        <s v="Barna Emese Nikolett - Bendiák Dojo"/>
        <s v="Harsányi Tímea - Kelemen-Team"/>
        <s v="Kovács Anna - Kisvárda KKDOSC"/>
        <s v="Uszkai Flóra - Shogun"/>
        <s v="Berényi Lina Boróka - Kagami"/>
        <s v="Nagy Péter - KHSE"/>
        <s v="Rimóczi Alex Benedek - Nozomu Dojo"/>
        <s v="Bacskai Bence - KHSE"/>
        <s v="Szabó Ákos Roland - KHSE"/>
        <s v="Vincze Balázs - TADASHII "/>
        <s v="Böszörményi Gergő - Victory"/>
        <s v="Földi Bence  - Victory"/>
        <s v="Takács-Sárkány Csanád - KHSE"/>
        <s v="Földi Balázs - Victory"/>
        <s v="Kiss Gábor - Victory"/>
        <s v="Vancsó Ákos - Bendiák Dojo"/>
        <s v="Bessenyei Csongor - Shogun"/>
        <s v="Breznyiczki Barnabás - Nozomu Dojo"/>
        <s v="Flaisz Róbert - TADASHII "/>
        <s v="Csorba Kristóf - Shogun"/>
        <s v="Sipos Árpád - KHSE"/>
        <s v="Maklári Balázs - Kisvárda KKDOSC"/>
        <s v="Terbócs Roland - Shogun"/>
        <s v="Vágó Márton - Shogun"/>
        <s v="Kolonics Márk - TADASHII "/>
        <s v="Kis Kevin Gyula - Borza Dojo"/>
        <s v="Fekete Csenge - Nozomu Dojo"/>
        <s v="Szanics Boglárka - Shogun"/>
        <s v="Lukács Kamilla - Victory"/>
        <s v="Ágoston Sára - KHSE"/>
        <s v="Orosz Dorina - Kemecse SE"/>
        <s v="Gál Regina - Derecske BUDO"/>
        <s v="Éles Léna Hanna - Victory"/>
        <s v="Szutor Anna - Shogun"/>
        <s v="Józsa Erika - KHSE"/>
        <s v="Vórincsák Vivien - KHSE"/>
        <s v="Ecsedi Réka - KHSE"/>
        <s v="Szabó Petra - Shogun"/>
        <s v="Takács-Sárkány Zalán - KHSE"/>
        <s v="Hadnagy Botond - Rokku KKSE"/>
        <s v="Kovács Kornél - KYO Fighter SE"/>
        <s v="Lajkó Vince - Buke Reikon HRSE"/>
        <s v="Lévai Benedek - BHMSE"/>
        <s v="Bányai Kende - VTSE"/>
        <s v="Kádár Boldizsár - Rakurai"/>
        <s v="Petróczki Bendegúz - Bátor KSE"/>
        <s v="Vágenhoffer Maja - Meiyo dojo"/>
        <s v="Odorics Zétény - Rakurai"/>
        <s v="Szőllősi Hanna - Kemecse SE"/>
        <s v="Czekmeiszter Maja Lili - Bátor KSE"/>
        <s v="Janás Mia - Főnix Dojo"/>
        <s v="Papp Dorottya - Rokku KKSE"/>
        <s v="Sajtos Luca - Kisvárda KKDOSC"/>
        <s v="Ungai Ferenc - Hajdúszoboszló"/>
        <s v="Rudi Gergő - Rakurai"/>
        <s v="Kovács Marcell András - Victory"/>
        <s v="Szabó Dominik - Buke Reikon HRSE"/>
        <s v="Simon Timon - Buke Reikon HRSE"/>
        <s v="Nagy Nimród - Rakurai"/>
        <s v="Szabó Lili - Kisvárda KKDOSC"/>
        <s v="Farkas Luca - KYO Fighter SE"/>
        <s v="Vida Zora - Buke Reikon HRSE"/>
        <s v="Horváth Réka - Castrum"/>
        <s v="Hegyesi Mia - Derecske BUDO"/>
        <s v="Nagy Hunor - Derecske BUDO"/>
        <s v="Papp Dávid - Nyíradonyi KKE"/>
        <s v="Gáncs Arnold - Griff SE"/>
        <s v="Flaisz Attila - TADASHII "/>
        <s v="Gál Milán György  - Derecske BUDO"/>
        <s v="Nagy Gábor András - POWER SE."/>
        <s v="Zsin Zsófia - BHMSE"/>
        <s v="Magyar Viktória - KYO Fighter SE"/>
        <s v="Hanics Luca - Főnix Dojo"/>
        <s v="Soós Flóra - Nagykátai Bushido SE"/>
        <s v="Bíró Krisztián - Főnix Dojo"/>
        <s v="Sebők Zsombor - Shogun"/>
        <s v="Kovács Levente - Nozomu Dojo"/>
        <s v="Rád Balázs - Nintai KKSE"/>
        <s v="Ferenczi Attila - VTSE"/>
        <s v="Miskolczi Zalán - Kemecse SE"/>
        <s v="Szabó Roland - WARRIORS TEAM"/>
        <s v="Csáti Bence Máté - Keizoku SE"/>
        <s v="Soós Viktor - Kisvárda KKDOSC"/>
        <s v="Bíró Nóra - Főnix Dojo"/>
        <s v="Horsik Zente József - POWER SE."/>
        <s v="Adamecz Milán - Nagykátai Bushido SE"/>
        <s v="Szabó Zoltán Szüa - POWER SE."/>
        <s v="Orosz Márkó - KKE - Spartacus"/>
        <s v="Ujj Szabolcs - Marcali SKK"/>
        <s v="Lőrincz Bence - ASE Bulldog KKSZCS"/>
        <s v="Nagy Richárd - POWER SE."/>
        <s v="Tóth Dominik István - Griff SE"/>
        <s v="Kiss-Juhász Hanga - Tora HSE"/>
        <s v="Virág Boglárka Csenge - Keszth.KKK"/>
        <s v="Balogh Dóra Panna - POWER SE."/>
        <s v="Apjok Réka - Tora HSE"/>
        <s v="Balogh Levente - Magna Dojo"/>
        <s v="Ratkai János - KHSE"/>
        <s v="Kerékgyártó Tamás - Wheelmaker dojo SE"/>
        <s v="Borsi Krisztián - KHSE"/>
        <s v="Borsi Balázs - KHSE"/>
        <s v="Vágó Ákos - KHSE"/>
        <s v="Matkó Gréta - KHSE"/>
        <s v="Palmer Ádám - Wheelmaker dojo SE"/>
        <s v="Bara András - Wheelmaker dojo SE"/>
        <s v="Vékony Márk - Wheelmaker dojo SE"/>
        <s v="Simao Roberto - Délegyházi Karate SE"/>
        <s v="Kollár Gergő - TADASHII "/>
        <s v="Fránki Réka - TADASHII "/>
        <s v="Kovács Viktória - Nintai KKSE"/>
        <s v="Szabó Lídia Lillada - POWER SE."/>
        <s v="Böszörményi Bendegúz  - Nagykátai Bushido SE"/>
        <s v="Hegedűs Zsombor - Nagykátai Bushido SE"/>
        <s v="Fránki Dorina - TADASHII "/>
        <s v="Éles Léna - Victory"/>
        <s v="Mészáros Mercédesz - Shogun"/>
        <m/>
        <s v="Geiszt Márton - Főnix Dojo" u="1"/>
        <s v="Kállai László - Victory" u="1"/>
        <s v="Serfőző Zalán Milos - Castrum" u="1"/>
        <s v="Szabó Roland - HARCOSOK KLUBJA" u="1"/>
        <s v="Bede Szabolcs - Ippon KKSE" u="1"/>
        <s v="Kovács Patrik - TADASHII " u="1"/>
        <s v="Garamszegi Zente - HARCOSOK KLUBJA" u="1"/>
        <s v="Szabó Tamás - Veszprémi Fitt KKSE" u="1"/>
        <s v="Fehér Jázmin - HASUNO SE" u="1"/>
        <s v="Karap Virág - Shogun" u="1"/>
        <s v="Demeter Zsófia - HARCOSOK KLUBJA" u="1"/>
        <s v="Albert Szintia Szilvia  - Samurai SE" u="1"/>
        <s v="Pipicz Tibor - TADASHII " u="1"/>
        <s v="Hardi Balázs - Siófok KSE" u="1"/>
        <s v="Makay Zétény - Shogun" u="1"/>
        <s v="Gazi Domonkos - Ippon KKSE" u="1"/>
        <s v="Karczub Zalán - Bátor KSE" u="1"/>
        <s v="Gondos Gergely - Yamato SE" u="1"/>
        <s v="Ludszky Zsolt - Főnix Dojo" u="1"/>
        <s v="Molnár Gergely - Renmei SE" u="1"/>
        <s v="Gulyás Gyula Dávid - Yamato SE" u="1"/>
        <s v="Sebestyén Miklós - TADASHII " u="1"/>
        <s v="Tevin Magaiza - Seishin Dójó" u="1"/>
        <s v="Szalai Sámuel - KKE - Spartacus" u="1"/>
        <s v="Magyar Levente - Karcagi SE" u="1"/>
        <s v="Hingi Viktor - SZBSE" u="1"/>
        <s v="Mezei Gábor - Ippon KKSE" u="1"/>
        <s v="Vórincsák Zsolt - KHSE" u="1"/>
        <s v="Rózsa Endre - Kemecse SE" u="1"/>
        <s v="Csillag Viktor - Beledi KÉSZ SE" u="1"/>
        <s v="Varga Krisztián - Beledi KÉSZ SE" u="1"/>
        <s v="Kiss-Leizer Luca - KKE - Spartacus" u="1"/>
        <s v="Kovács-Leiter Anett - Ippon KKSE" u="1"/>
        <s v="Kerekes Réka - VTSE" u="1"/>
        <s v="Fejes Hanna - KHSE" u="1"/>
        <s v="Bognár Léna - Rakurai" u="1"/>
        <s v="Nagy Richárd - Kagami" u="1"/>
        <s v="Pallagi László - Karcagi SE" u="1"/>
        <s v="Kovács Balázs - Ippon KKSE" u="1"/>
        <s v="Vastag Adrián - Renmei SE" u="1"/>
        <s v="dr. Hollósi Zoltán - Beledi KÉSZ SE" u="1"/>
        <s v="Magda Molli - SZBSE" u="1"/>
        <s v="Kollár Dalma - Kagami" u="1"/>
        <s v="Balázs Panni - Shogun" u="1"/>
        <s v="Bendiák Barbara - Bendiák Dojo" u="1"/>
        <s v="Kollár Nóra - Kagami" u="1"/>
        <s v="Törő Vanda - Kagami" u="1"/>
        <s v="Bánszki Eszter - KYO Fighter SE" u="1"/>
        <s v="Hegedűs Bence - Shogun" u="1"/>
        <s v="Belicza Levente - Bátor KSE" u="1"/>
        <s v="Horváth Leila - Victory" u="1"/>
        <s v="Szabó Lilla - Shinzó Dojo" u="1"/>
        <s v="Vass János - Nyíradonyi KKE" u="1"/>
        <s v="Ladik Csanád - Fight-team" u="1"/>
        <s v="Fehér Zsombor Béla - Derecske BUDO" u="1"/>
        <s v="Székely Fruzsina - Hajdúszoboszló" u="1"/>
        <s v="Bodor Noémi - Kisvárda KKDOSC" u="1"/>
        <s v="Pósán Nóra - Nyíradonyi KKE" u="1"/>
        <s v="Bodor Máté - Kisvárda KKDOSC" u="1"/>
        <s v="Nagy Péter - Shogun" u="1"/>
        <s v="Kiss Zoltán János - Derecske BUDO" u="1"/>
        <s v="Szabó Péter Nimród - Shogun" u="1"/>
        <s v="Papp Zalán - Shogun" u="1"/>
        <s v="Kibinda Matsui - Victory" u="1"/>
        <s v="Gál Milán György  - Samurai SE" u="1"/>
        <s v="Tóth Dominik István - Victory" u="1"/>
        <s v="Pribojszki Zsombor - Samuray KKSE" u="1"/>
        <s v="Litauszki Keve - Kisvárda KKDOSC" u="1"/>
        <s v="Sipos Ákos - Derecske BUDO" u="1"/>
        <s v="Ráki Levente János - Samuray KKSE" u="1"/>
        <s v="Tarr Emma - Shogun" u="1"/>
        <s v="Fúró Liliána - KHSE" u="1"/>
        <s v="Mészáros Dorka - TADASHII " u="1"/>
        <s v="Kecskés Kitti - Kelemen-Team" u="1"/>
        <s v="Rácz-Fodor Nóra - TADASHII " u="1"/>
        <s v="Bukodi Dóra Anna - Samuray KKSE" u="1"/>
        <s v="Vágó Gergő - KHSE" u="1"/>
        <s v="Székely Zsigmond - KYO Fighter SE" u="1"/>
        <s v="Kovács Nimród - Magna Dojo" u="1"/>
        <s v="Gyurcsán Tibor Balázs - Fight-team" u="1"/>
        <s v="Tutor Barnabás  - Samurai SE" u="1"/>
        <s v="Borbély Attila  - Samurai SE" u="1"/>
        <s v="Tóth Kornél Zoárd - Shogun" u="1"/>
        <s v="Hiezl Barnabás - TADASHII " u="1"/>
        <s v="Apáthy Aliz - Victory" u="1"/>
        <s v="Szolnoki Gabriella - Kelemen-Team" u="1"/>
        <s v="Harcsa-Halász Luca - TADASHII " u="1"/>
        <s v="Pankotai Zsolt - DTKK SE" u="1"/>
        <s v="Pósán Zétény - Shogun" u="1"/>
        <s v="Tóth Kálmán - Shogun" u="1"/>
        <s v="Masalmeh Emír - TADASHII " u="1"/>
        <s v="Czirók Attila - Shintai SE" u="1"/>
        <s v="Oláh Barnabás - Victory" u="1"/>
        <s v="Esvég Dominik - Kisvárda KKDOSC" u="1"/>
        <s v="Haverla Levente Bálint - Bendiák Dojo" u="1"/>
        <s v="Szigeti Zsófia - Kemecse SE" u="1"/>
        <s v="Gál Regina - Samurai SE" u="1"/>
        <s v="Zvara Zsófia - Nozomu Dojo" u="1"/>
        <s v="Schilling Patrik - Damashi" u="1"/>
        <s v="Urban Tamás - Rakurai" u="1"/>
        <s v="Hidasi Dániel - Spirit SE." u="1"/>
        <s v="Karakó Máté - BHMSE" u="1"/>
        <s v="Dobrovits Márk - Délegyházi Karate SE" u="1"/>
        <s v="Tóth Mira - Rakurai" u="1"/>
        <s v="Hajas Nóra - VTSE" u="1"/>
        <s v="Bóka Boróka - Főnix Dojo" u="1"/>
        <s v="Hári Zsófia - Főnix Dojo" u="1"/>
        <s v="Fajka Flóra - Spirit SE." u="1"/>
        <s v="Menyhárt Csenge - Rakurai" u="1"/>
        <s v="Fercsák Dániel - Veszprémi Fitt KKSE" u="1"/>
        <s v="Horváth Medárd - Rokku KKSE" u="1"/>
        <s v="Jónás Alex - Rakurai" u="1"/>
        <s v="Gáll Levente - Genbu dojo" u="1"/>
        <s v="Horváth Zoltán - Genbu dojo" u="1"/>
        <s v="Jáni-Budea Noa - BHMSE" u="1"/>
        <s v="Szelőczei Noémi - Cs.S.E." u="1"/>
        <s v="Garamszegi Szófia - HARCOSOK KLUBJA" u="1"/>
        <s v="Kocsis Nóra  - Genbu dojo" u="1"/>
        <s v="Villasenor Babos Natália - Rakurai" u="1"/>
        <s v="Unger Alex - Veszprémi Fitt KKSE" u="1"/>
        <s v="Hegyi Bálint - BHMSE" u="1"/>
        <s v="Domján-Herbat Levente - BHMSE" u="1"/>
        <s v="Dezső Norbert - Spirit SE." u="1"/>
        <s v="Kiss Bence - Renmei SE" u="1"/>
        <s v="Szabó Levente - HARCOSOK KLUBJA" u="1"/>
        <s v="Tóth Attila - Renmei SE" u="1"/>
        <s v="Berki Balázs - Cs.S.E." u="1"/>
        <s v="Bogdán Szonja - Rakurai" u="1"/>
        <s v="Bennárik Bella - HARCOSOK KLUBJA" u="1"/>
        <s v="Ledniczki Panna - Marcali SKK" u="1"/>
        <s v="Szeg Fanni - KKE - Spartacus" u="1"/>
        <s v="Bábel Jázmin - Spirit SE." u="1"/>
        <s v="Alács Emese - Genbu dojo" u="1"/>
        <s v="Mógor Dorka - Griff SE" u="1"/>
        <s v="Horváth Nándor - Castrum" u="1"/>
        <s v="Molnár Bence Noel - HARCOSOK KLUBJA" u="1"/>
        <s v="Bábel József - Spirit SE." u="1"/>
        <s v="Benedek Tamás - Ippon KKSE" u="1"/>
        <s v="Gallyas Ákos László - Keszth.KKK" u="1"/>
        <s v="Radics Jázmin Norina - Nagykátai Bushido SE" u="1"/>
        <s v="Molnár Mária - HARCOSOK KLUBJA" u="1"/>
        <s v="Viza Dorottya - ARSC" u="1"/>
        <s v="Mocsi Petra - ARSC" u="1"/>
        <s v="Szikszai Réka - Genbu dojo" u="1"/>
        <s v="Kovács Boglárka - Genbu dojo" u="1"/>
        <s v="Balogh Bertalan - Griff SE" u="1"/>
        <s v="Palásti Krisztián - VTSE" u="1"/>
        <s v="ifj. Horváth Tamás - HARCOSOK KLUBJA" u="1"/>
        <s v="Nagy Benedek - Nagy Sándor Dojo" u="1"/>
        <s v="Pető Zsombor Tamás - Spirit SE." u="1"/>
        <s v="Fazakas Árpád - HARCOSOK KLUBJA" u="1"/>
        <s v="Sági Mátyás - Spirit SE." u="1"/>
        <s v="Varjas Máté Bence - Seibukai Kyokushin D" u="1"/>
        <s v="Mesterházy Mihály - Keszth.KKK" u="1"/>
        <s v="Baricza Péter - Spirit SE." u="1"/>
        <s v="Galambos Bence - Renmei SE" u="1"/>
        <s v="Bíró Balázs - Főnix Dojo" u="1"/>
        <s v="Tengelics Márk - IKIGAI SE." u="1"/>
        <s v="Szanik Dániel - Genbu dojo" u="1"/>
        <s v="Földes Máté - Genbu dojo" u="1"/>
        <s v="Bánky Liliána - BHMSE" u="1"/>
        <s v="Szücs Hanna - Castrum" u="1"/>
        <s v="Notheisz Janka - VTSE" u="1"/>
        <s v="Keszte Júlia - Beledi KÉSZ SE" u="1"/>
        <s v="Kiss Aliz - Renmei SE" u="1"/>
        <s v="Varga Luca Zsófia  - Rokku KKSE" u="1"/>
        <s v="Rácz Izmael - Nintai KKSE" u="1"/>
        <s v="Fogarasi Dominik - Seiren Hse" u="1"/>
        <s v="Erdei Attila - SONGOKU SE" u="1"/>
        <s v="Bene Barnabás - Genbu dojo" u="1"/>
        <s v="Orosz Márkó - POWER SE." u="1"/>
        <s v="Szondi Szabolcs Bátor - Genbu dojo" u="1"/>
        <s v="Pelikán Ákos Tamás - Kiskunhalasi KSzE" u="1"/>
        <s v="Kancsár Martin - Kiskunhalasi KSzE" u="1"/>
        <s v="Nagy Péter Kevin - Veszprémi Fitt KKSE" u="1"/>
        <s v="Földeáki Miklós - Genbu dojo" u="1"/>
        <s v="Kákonyi Ildikó - TADASHII " u="1"/>
        <s v="Losonczki Csenge Panka - Seiren Hse" u="1"/>
        <s v="Fránki Dorina  - TADASHII " u="1"/>
        <s v="Fiumei Lujza Róza - Seiren Hse" u="1"/>
        <s v="Dócs Nándor  - Nozomu Dojo" u="1"/>
        <s v="Szabó Marcell Károly  - Katana SE" u="1"/>
        <s v="Kovács Botond  - Damashi" u="1"/>
        <s v="Fischer Elena - Főnix Dojo" u="1"/>
        <s v="Belicza András - Bátor KSE" u="1"/>
        <s v="Ujj Szabolcs  - Marcali SKK" u="1"/>
        <s v="Német Zalán  - Bendiák Dojo" u="1"/>
        <s v="Bocsi Ádám - Wheelmaker dojo SE" u="1"/>
        <s v="Eperjesy Dávid - BHMSE" u="1"/>
        <s v="Wölfinger Liza - Griff SE" u="1"/>
        <s v="Gyurcsán Levente - Fight-team" u="1"/>
        <s v="Villasenor Babos Viktor Éliás - BHMSE" u="1"/>
        <s v="Bíró Dániel - Victory" u="1"/>
        <s v="Baranyai Áron  - BHMSE" u="1"/>
        <s v="Pósán Léna - Shogun" u="1"/>
        <s v="Gál Petra Andrea - Veszprémi Fitt KKSE" u="1"/>
        <s v="Bors Jázmin Hanna  - Castrum" u="1"/>
        <s v="Szabó Rita - Shogun" u="1"/>
        <s v="Nádori Emma - Kemecse SE" u="1"/>
        <s v="Juhász Alíz Anna - KYO Fighter SE" u="1"/>
        <s v="Flaisz Attila  - TADASHII " u="1"/>
        <s v="Rácz Béla Márk - Nintai KKSE" u="1"/>
        <s v="Bákány László Dominik - Fight-team" u="1"/>
        <s v="Tutor Barnabás - Samurai SE" u="1"/>
        <s v="Vida Péter  - Buke Reikon HRSE" u="1"/>
        <s v="Nagy Benedek - Genbu dojo" u="1"/>
        <s v="Orbán Balázs - KKE - Spartacus" u="1"/>
        <s v="Szanik Dániel  - Genbu dojo" u="1"/>
        <s v="Molnár Benő - Griff SE" u="1"/>
        <s v="Uszkai Janka - Shogun" u="1"/>
        <s v="Barta Panka Sára - MSKKE Tokaj" u="1"/>
        <s v="Szabó Máté Péter - HARCOSOK KLUBJA" u="1"/>
        <s v="Győrfi Regina - MSKKE Tokaj" u="1"/>
        <s v="Pitic Iris - FRKK " u="1"/>
        <s v="Szabó Zsófi - Shinzó Dojo" u="1"/>
        <s v="Stirbu Tudor - FRKK" u="1"/>
        <s v="Pitic Iris - FRKK" u="1"/>
        <s v="Suciu Alina - FRKK" u="1"/>
        <s v="Puskás Violetta - Nyíradonyi KKE" u="1"/>
        <s v="Gheorghe Ianis Andreas - C.S BUDOKAI ARAD" u="1"/>
        <s v="Zelenák Zétény - Seiren Hse" u="1"/>
        <s v="Ivascu Rares - C.S BUDOKAI ARAD" u="1"/>
        <s v="Mercea Victor Sebastian - C.S BUDOKAI ARAD" u="1"/>
        <s v="Iacobut Flavius - C.S BUDOKAI ARAD" u="1"/>
        <s v="Cretu Alma Marissa Sonia - C.S BUDOKAI ARAD" u="1"/>
        <s v="Bogdan Diana - FRKK" u="1"/>
        <s v="Barbosu David - C.S BUDOKAI ARAD" u="1"/>
        <s v="Boruzs Richárd - KHSE" u="1"/>
        <s v="Siclovan Darius Andrei - C.S BUDOKAI ARAD" u="1"/>
        <s v="Galambos Viktor - Genbu dojo" u="1"/>
        <s v="Gaciu Ana - C.S BUDOKAI ARAD" u="1"/>
        <s v="Suciu Alexandra - FRKK" u="1"/>
        <s v="Boca Stefania - FRKK" u="1"/>
        <s v="Preda Olga Ana - C.S BUDOKAI ARAD" u="1"/>
        <s v="Margithazi Zsolt - C.S BUDOKAI ARAD" u="1"/>
        <s v="Potlog Dinu - C.S BUDOKAI ARAD" u="1"/>
        <s v="Benedek László - Nagykátai Bushido SE" u="1"/>
        <s v="Kiss András - Nyirtassi SE" u="1"/>
        <s v="Erdős Szabolcs - MSKKE Tokaj" u="1"/>
        <s v="Dániel Péter - Shogun" u="1"/>
        <s v="Szabó Balázs - KHSE" u="1"/>
        <s v="Józsa Andrea Enikő - KHSE" u="1"/>
        <s v="Kabai Kiara - MSKKE Tokaj" u="1"/>
        <s v="Stilman Anna - Seiren Hse" u="1"/>
        <s v="Nagy Mária Valéria - Samuray KKSE" u="1"/>
        <s v="Takács Sárkány Zalán - KHSE" u="1"/>
        <s v="Scaramozzino Bianca Maria - C.S BUDOKAI ARAD" u="1"/>
        <s v="Pető Tamás Zsombor - Spirit SE." u="1"/>
        <s v="Mészáros Mercedesz - Shogun" u="1"/>
        <s v="Haverla Bálint Levente - Bendiák Dojo" u="1"/>
        <s v="ENDI TONKOVIĆ - KK MOSLAVINA" u="1"/>
        <s v="Mihael Krpan - kkk Dugo Selo" u="1"/>
        <s v="Mihael Stanisak - KKZ" u="1"/>
        <s v="JAN DAVID TODOROVIĆ - KK MOSLAVINA" u="1"/>
        <s v="Eva Antonic - KKZ" u="1"/>
        <s v="Vita Plazanin - KKZ" u="1"/>
        <s v="Tristan Cizmesija - KKZ" u="1"/>
        <s v="KARMEN PASTUOVIĆ - KK MOSLAVINA" u="1"/>
        <s v="Szanyi Bora - Meiyo dojo" u="1"/>
        <s v="Vito Capek - KKZ" u="1"/>
        <s v="Unger Alex - Fitt KKSE" u="1"/>
        <s v="Luka Vrbancic - KKZ" u="1"/>
        <s v="Nógrádi Attila - Meiyo dojo" u="1"/>
        <s v="Eva Vrančić - KK Mladost" u="1"/>
        <s v="Ana Duković - kkk Dugo Selo" u="1"/>
        <s v="Roko Tanković - KK Mladost" u="1"/>
        <s v="Radis Aristotelis - KSE Tarján" u="1"/>
        <s v="Paola Budek - kkk Dugo Selo" u="1"/>
        <s v="Kiss Olivér - Castrum" u="1"/>
        <s v="Búzás Bíborka  - Victory" u="1"/>
        <s v="Hidvégi Gabriella  - Spirit SE." u="1"/>
        <s v="Rácz Kristóf - Seishin Karate Klub" u="1"/>
        <s v="Vincze Barnabás - Damashi" u="1"/>
        <s v="Tercs Máté Márk - Seishin Karate Klub" u="1"/>
        <s v="Danku Csillag - Victory" u="1"/>
        <s v="Sara Denac - KK AIK" u="1"/>
        <s v="Hrvoje Duąak - KK AIK" u="1"/>
        <s v="Josipa Horvat - KK AIK" u="1"/>
        <s v="Albert Szilvia Cintia - Samurai SE" u="1"/>
        <s v="Sütő Enikő Alexa - BKKKSZ" u="1"/>
        <s v="Sárai Csongor - Seishin Karate Klub" u="1"/>
        <s v="Joób-Fancsaly András - Victory" u="1"/>
        <s v="Broz Sabina - KK AIK" u="1"/>
        <s v="©ebrek Blaľotić Lana - KK AIK" u="1"/>
        <s v="Balogh Szimonetta - Shogun" u="1"/>
        <s v="Leona Dokuą - kkk Dugo Selo" u="1"/>
      </sharedItems>
    </cacheField>
    <cacheField name="Szervezet" numFmtId="0">
      <sharedItems containsBlank="1" count="3">
        <s v="1_MKKSZ"/>
        <s v="9_más szervezet"/>
        <m/>
      </sharedItems>
    </cacheField>
    <cacheField name="Egyesület" numFmtId="0">
      <sharedItems containsBlank="1"/>
    </cacheField>
    <cacheField name="korcsoport" numFmtId="0">
      <sharedItems containsBlank="1"/>
    </cacheField>
    <cacheField name="korcsoport2" numFmtId="0">
      <sharedItems containsBlank="1"/>
    </cacheField>
    <cacheField name="születési év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Mátó Katalin" refreshedDate="46176.575287962965" createdVersion="8" refreshedVersion="8" minRefreshableVersion="3" recordCount="1573">
  <cacheSource type="worksheet">
    <worksheetSource ref="M1:T1048576" sheet="database_versenyek2026"/>
  </cacheSource>
  <cacheFields count="8">
    <cacheField name="Minősítési pont" numFmtId="3">
      <sharedItems containsString="0" containsBlank="1" containsNumber="1" minValue="0" maxValue="60"/>
    </cacheField>
    <cacheField name="Megjegyzés" numFmtId="0">
      <sharedItems containsBlank="1"/>
    </cacheField>
    <cacheField name="Helyszín" numFmtId="0">
      <sharedItems containsBlank="1"/>
    </cacheField>
    <cacheField name="Dátum" numFmtId="0">
      <sharedItems containsNonDate="0" containsDate="1" containsString="0" containsBlank="1" minDate="2026-02-14T00:00:00" maxDate="2026-05-11T00:00:00"/>
    </cacheField>
    <cacheField name="Név + Egyesület" numFmtId="0">
      <sharedItems containsBlank="1" count="1042">
        <s v="Fekete Gergely - Victory"/>
        <s v="Ujvári Bálint - Ippon KKSE"/>
        <s v="Rétfalvi Tamás - Kisvárda KKDOSC"/>
        <s v="Soltész Szabolcs - Kisvárda KKDOSC"/>
        <s v="Feczkó Zoltán - Shogun"/>
        <s v="Törő Attila - Victory"/>
        <s v="Bede Zsombor - Ippon KKSE"/>
        <s v="Ludszky Tamás - Főnix Dojo"/>
        <s v="Törő Márton - Victory"/>
        <s v="Lajtos Patrik - Victory"/>
        <s v="Badar Máté - TADASHII "/>
        <s v="Baranyai Máté - Shogun"/>
        <s v="Vancsek Kristóf - Ippon KKSE"/>
        <s v="Hoffer András - Castrum"/>
        <s v="Béres Sándor - KHSE"/>
        <s v="Hamar Levente - KHSE"/>
        <s v="Kollányi Miklós - Shogun"/>
        <s v="Tóth Attila - Seiken STKE"/>
        <s v="Lengyel László - Beledi KÉSZ SE"/>
        <s v="Varga Krsiztián - Beledi KÉSZ SE"/>
        <s v="Csillag Viktor  - Beledi KÉSZ SE"/>
        <s v="Szakály Dominik - Shogun"/>
        <s v="Kollát Zétény - Nintai KKSE"/>
        <s v="Szabó István Balázs - KyoDabas SE."/>
        <s v="Csordás Benjamin - Seiken STKE"/>
        <s v="Szabó Imre Richárd - KHSE"/>
        <s v="Jámbor Dániel - KHSE"/>
        <s v="Horváth Levente András - Castrum"/>
        <s v="Gáspár Botond - Főnix Dojo"/>
        <s v="Bendiák Soma - Bendiák Dojo"/>
        <s v="Spéder István - Kamikaze S"/>
        <s v="Pápai Balázs - TADASHII "/>
        <s v="Gagna Patrik - Nozomu Dojo"/>
        <s v="Szabó Bence - Shogun"/>
        <s v="Andrikó Antal - KSE Tarján"/>
        <s v="Kurucz László Botond - Genbu dojo"/>
        <s v="Dávid András - BHMSE"/>
        <s v="Dévényi Lora - Victory"/>
        <s v="Bihari Lili - Bátor KSE"/>
        <s v="Litvák Lili - KHSE"/>
        <s v="Polák Leila - TADASHII "/>
        <s v="Gyenge Judit - KHSE"/>
        <s v="Csordás Norina - Seiken STKE"/>
        <s v="Kántor Viktória - VTSE"/>
        <s v="Sharabi Maya - BHMSE"/>
        <s v="Mező Lili - Victory"/>
        <s v="Szalay Berta - Castrum"/>
        <s v="Bóka Viktória - Griff SE"/>
        <s v="Tóth Csenge - Victory"/>
        <s v="Gergely Henrietta - BHMSE"/>
        <s v="Varga Borbála - Kamikaze S"/>
        <s v="Józsa Erika Réka - KHSE"/>
        <s v="Kis Mónika - Főnix Dojo"/>
        <s v="Rácz Dorottya - KHSE"/>
        <s v="Berényi Lujza Beatrix - Kagami"/>
        <s v="Gerő Hanna Gréta - Kagami"/>
        <s v="Rácz Viktória - Shogun"/>
        <s v="Sólyom Anna - Shogun"/>
        <s v="Arnódi Gréta Bernadette - Kagami"/>
        <s v="Hardi Laura - Siófok KSE"/>
        <s v="Sólyom Gréta - Shogun"/>
        <s v="Jernyei Nikolett - KHSE"/>
        <s v="Nagy Nóra Bíborka - BHMSE"/>
        <s v="Horváth Nóra - Beledi KÉSZ SE"/>
        <s v="Dróth-Tóth Adrienn - Rakurai"/>
        <s v="KHSE csapat - KHSE"/>
        <s v="Kagami csapat - Kagami"/>
        <s v="Vámosi Juhász Ádám - Nagykátai Bushido SE"/>
        <s v="Zajácz Imre - Kamikaze S"/>
        <s v="Aupek Márk - VTSE"/>
        <s v="Gombos-Weidinger Bence - BHMSE"/>
        <s v="Seres Zoltán - Ippon KKSE"/>
        <s v="Menyhárt Levente  - Beledi KÉSZ SE"/>
        <s v="Szabó Marcell Károly - Katana SE"/>
        <s v="Kasza Benett - Nagykátai Bushido SE"/>
        <s v="Bakonyi Erik - BHMSE"/>
        <s v="Kelemen Milán - Beledi KÉSZ SE"/>
        <s v="Vass Zalán - Főnix Dojo"/>
        <s v="Tamási Péter Tamás - Castrum"/>
        <s v="Nagy Hunor - Rakurai"/>
        <s v="Kolipka Máté Gergő - KSE Tarján"/>
        <s v="Csordás Olivér - KSE Tarján"/>
        <s v="Gruber Marcell - Siófok KSE"/>
        <s v="Bogdán Zsombor - Katana SE"/>
        <s v="Németh Dávid - BHMSE"/>
        <s v="Péntek András - Katana SE"/>
        <s v="Gattoni Marcello - BHMSE"/>
        <s v="Karácsony Vadim - BHMSE"/>
        <s v="Jávor Mika - BHMSE"/>
        <s v="Lukács Ajsa - BHMSE"/>
        <s v="Erdei Emília - Rokku KKSE"/>
        <s v="Kámán Luca - Rakurai"/>
        <s v="Falus Dorottya - Rokku KKSE"/>
        <s v="Németh Kitti - Meiyo dojo"/>
        <s v="Buzás Anna - Meiyo dojo"/>
        <s v="Balogh Zora - Meiyo dojo"/>
        <s v="Varga Olivia - KSE Tarján"/>
        <s v="Tóth Csenge - Nagykátai Bushido SE"/>
        <s v="Simor Szofi Anna - BHMSE"/>
        <s v="Boka Norman Eliot - Katana SE"/>
        <s v="Hegedűs Vencel - Nagykátai Bushido SE"/>
        <s v="Zajácz Miklós - Kamikaze S"/>
        <s v="Gordos Zalán - VTSE"/>
        <s v="Vörös Mátyás - Rokku KKSE"/>
        <s v="Nagy Zétény - BHMSE"/>
        <s v="Kovács Milán - Katana SE"/>
        <s v="Csuha Benedek - BHMSE"/>
        <s v="Reinhoffer Erik - Kamikaze S"/>
        <s v="Süller Zsombor - Katana SE"/>
        <s v="Kalmár Ádám István - Castrum"/>
        <s v="Szenner Valentin - Katana SE"/>
        <s v="Szabó Áron Levente - Katana SE"/>
        <s v="Molnár I. Zétény - KKE - Spartacus"/>
        <s v="Hidegh Krisztián - Rakurai"/>
        <s v="Benedek Barnabás - Nagykátai Bushido SE"/>
        <s v="Balázs Dénes - Griff SE"/>
        <s v="Kárász Dániel - BHMSE"/>
        <s v="Árendás Botond - KSE Tarján"/>
        <s v="Horváth Kristóf - Griff SE"/>
        <s v="Bodnár Zoltán - Katana SE"/>
        <s v="Dani Andor - Kamikaze S"/>
        <s v="Mohai Szilárd - Katana SE"/>
        <s v="Sipos-Cserjési Horka - BHMSE"/>
        <s v="Fekete Kristóf - Rokku KKSE"/>
        <s v="Gombos-Weidinger Zsombor - BHMSE"/>
        <s v="Vámosi Juhász Máté - Nagykátai Bushido SE"/>
        <s v="Szabó Máté Péter - WARRIORS TEAM"/>
        <s v="Milutinovic Olivér - Beledi KÉSZ SE"/>
        <s v="Tálas Csongor - Ippon KKSE"/>
        <s v="Baky Kornél - BHMSE"/>
        <s v="Koczor Máté - Rakurai"/>
        <s v="Kőszegfalvi Csanád - Shinkyo SE"/>
        <s v="Eperjesi Dávid - BHMSE"/>
        <s v="Virág Oszkár - Rokku KKSE"/>
        <s v="Hernádi Bere - BHMSE"/>
        <s v="Káplár János Mihály - Pagoda"/>
        <s v="Bocsányi Márton - BHMSE"/>
        <s v="Vass Alexander - Siófok KSE"/>
        <s v="Jakubovics Nikolett - BHMSE"/>
        <s v="Pődör Panka - Griff SE"/>
        <s v="Horváth Boróka - Rakurai"/>
        <s v="Kocsis Nóra - Genbu dojo"/>
        <s v="Kocsis Angéla - Genbu dojo"/>
        <s v="Garamszegi Szófia - WARRIORS TEAM"/>
        <s v="Vig Boglárka - VTSE"/>
        <s v="Tóth Arina Bejke - Nagykátai Bushido SE"/>
        <s v="Spanjevic Frida - BHMSE"/>
        <s v="Szombath Jázmin - Főnix Dojo"/>
        <s v="Falus Zsuzsanna - Rokku KKSE"/>
        <s v="Rabi-Szita Emese - Meiyo dojo"/>
        <s v="Baranya Lilla - KSE Tarján"/>
        <s v="Domján-Herbat Réka - BHMSE"/>
        <s v="Rudi Noémi - Rakurai"/>
        <s v="Barta-Gaál Adóra - BHMSE"/>
        <s v="Gergácz Izabella - Beledi KÉSZ SE"/>
        <s v="Ükös Júlia - Katana SE"/>
        <s v="Sövér Levente - BHMSE"/>
        <s v="Nyíri György - Siófok KSE"/>
        <s v="Bárkovics Áron - KKE - Spartacus"/>
        <s v="Hidegh Flórián - Rakurai"/>
        <s v="Béres Bence - VTSE"/>
        <s v="Jankovics Marcell - Siófok KSE"/>
        <s v="Antal Dániel Kristóf - KSE Tarján"/>
        <s v="Tóth Kornél - KKE - Spartacus"/>
        <s v="Gattyán Máté Barna - BHMSE"/>
        <s v="Kámán Márton - Rakurai"/>
        <s v="Tarjányi Zétény Ferenc - ARSC"/>
        <s v="Tóth Benedek - Ichiro Dojo"/>
        <s v="Halász Zente - Griff SE"/>
        <s v="Ferenczhalmy Félix - BHMSE"/>
        <s v="Viszugyel Bálint - VTSE"/>
        <s v="Vig Bendegúz - VTSE"/>
        <s v="Bánfi Botond - Rokku KKSE"/>
        <s v="Munkácsi Ádám - Főnix Dojo"/>
        <s v="Hadnagy Barnabás - Rokku KKSE"/>
        <s v="Szabó Levente Botond - KSE Tarján"/>
        <s v="Villasenor Babos Viktor Éliás - Rakurai"/>
        <s v="Salga Márton - Rokku KKSE"/>
        <s v="Finta Csanád - Rakurai"/>
        <s v="Gaál-Vajai Tamás - Főnix Dojo"/>
        <s v="Adámi Áron - Ichiro Dojo"/>
        <s v="Urszuly Noel - Rokku KKSE"/>
        <s v="Kárpáti Bence - Cs.S.E."/>
        <s v="Varga Bence - KSE Tarján"/>
        <s v="Reinhofer Patrik - Rokku KKSE"/>
        <s v="Horváth Bence László - Rakurai"/>
        <s v="Gyarmathy Zsolt - Fitt KKSE"/>
        <s v="Nagy Kevin  - KKE - Spartacus"/>
        <s v="Moosbauer Kevin - KSE Tarján"/>
        <s v="Kleé Krisztián - Rakurai"/>
        <s v="Szigeti Boldizsár - Siófok KSE"/>
        <s v="Fulló István Dragoljub - Ippon KKSE"/>
        <s v="KÁDAS DOMINIK - KyoDabas SE."/>
        <s v="Bogdán Szonja Boróka - Rakurai"/>
        <s v="Rékai Bianka - Siófok KSE"/>
        <s v="Reichert Hanna  - VTSE"/>
        <s v="Gaál-Vajai Tamara - Főnix Dojo"/>
        <s v="Papp Gréta - Castrum"/>
        <s v="Radnóti Lilla - POWER SE."/>
        <s v="Villasenor Babos Natália  - Rakurai"/>
        <s v="Ványi Amira - POWER SE."/>
        <s v="Gazdag Csinszka - ASE Bulldog KKSZCS"/>
        <s v="Nagy Anna - Főnix Dojo"/>
        <s v="Volenszki Mira - WARRIORS TEAM"/>
        <s v="Solymári Orsolya Dalma - WARRIORS TEAM"/>
        <s v="Volenszki Adél - WARRIORS TEAM"/>
        <s v="Bennárik Bella - WARRIORS TEAM"/>
        <s v="Szabó Anna Tímea - Katana SE"/>
        <s v="Abou Hussein Maya - Ippon KKSE"/>
        <s v="Szente Beatrix - VTSE"/>
        <s v="Lukácsi Réka - Ippon KKSE"/>
        <s v="Bota Sára - Rakurai"/>
        <s v="Horváth Liliána - Kamikaze S"/>
        <s v="Mihályi Tünde - BHMSE"/>
        <s v="Tóth-Krisó Míra - Katana SE"/>
        <s v="Horváth Dóra Lili - BHMSE"/>
        <s v="Mészáros Lili Dóra - KSE Tarján"/>
        <s v="Szűcs Anna - Ichiro Dojo"/>
        <s v="Kovács Linett - RDKKSE"/>
        <s v="Gál Petra Andrea - Fitt KKSE"/>
        <s v="Orosz Elizabett - KSE Tarján"/>
        <s v="Kovács Maja - Katana SE"/>
        <s v="Szatmári Nóra Hanna - WARRIORS TEAM"/>
        <s v="Gombos-Weidinger Barnabás - BHMSE"/>
        <s v="Bollók Zalán - VTSE"/>
        <s v="Lukács Filip - BHMSE"/>
        <s v="Szőke Zalán - VTSE"/>
        <s v="Sztojka Norbert Kevin - Ippon KKSE"/>
        <s v="Tóth Gergely - Ichiro Dojo"/>
        <s v="Kovács Vajk Zoltán - Katana SE"/>
        <s v="Magasi Attila - Főnix Dojo"/>
        <s v="Farkas Áron Péter - Ichiro Dojo"/>
        <s v="Molnár Bence Noel - WARRIORS TEAM"/>
        <s v="Bagó Balázs - VTSE"/>
        <s v="Alkaddour Ali Áron - BHMSE"/>
        <s v="Fekete Szilárd - POWER SE."/>
        <s v="Baranyi Tibor - POWER SE."/>
        <s v="Csonka Máté - Kamikaze S"/>
        <s v="Szabó Levente - WARRIORS TEAM"/>
        <s v="Németh Adrián - Cs.S.E."/>
        <s v="Garamszegi Zente - WARRIORS TEAM"/>
        <s v="Szabó Lóránt - Kamikaze S"/>
        <s v="Vörös Tibor - RDKKSE"/>
        <s v="Kalamár László Thien - BHMSE"/>
        <s v="Szalontai Levente - KSE Tarján"/>
        <s v="Gyarmati Viktor - BHMSE"/>
        <s v="Baranyai Áron - BHMSE"/>
        <s v="Varga Bálint Norbert - ARSC"/>
        <s v="Böcskey Emese  - Nagy Sándor Dojo"/>
        <s v="Sülyi Luca - Főnix Dojo"/>
        <s v="Aranyosi Nikolett - KSE Tarján"/>
        <s v="Serfőző Lia Zoé - Castrum"/>
        <s v="Bognár Judit - Castrum"/>
        <s v="Ható Amanda - Rakurai"/>
        <s v="Lukács Éva - VTSE"/>
        <s v="Bognár Boglárka - Rakurai"/>
        <s v="Demeter Zsófia - WARRIORS TEAM"/>
        <s v="Csonka Kata - Kamikaze S"/>
        <s v="Szalai Kitti - Griff SE"/>
        <s v="Komondi Veronika Nilla - Keszth.KKK"/>
        <s v="Bartha Zsuzsanna - BHMSE"/>
        <s v="Nagy Hanna Míra - Genbu dojo"/>
        <s v="Czakó Natália - Nagykátai Bushido SE"/>
        <s v="Timár Alíz - BHMSE"/>
        <s v="Varga Réka Orsolya - ARSC"/>
        <s v="Princz Anna - ARSC"/>
        <s v="Horváth Hanna Barbara - BHMSE"/>
        <s v="Danka Hunor - Nagykátai Bushido SE"/>
        <s v="Balogh András Barnabás - Ippon KKSE"/>
        <s v="Kovácsay Gergely - Ippon KKSE"/>
        <s v="Varga Tamás - Goukai KSE"/>
        <s v="Szente Szabolcs - VTSE"/>
        <s v="Nagy Benedek - Tora HSE"/>
        <s v="Tengelics Márk - IKIGAI DOJO BÖRCS"/>
        <s v="Kozó Flórián - Shinkyo SE"/>
        <s v="Bűdy Sándor - BHMSE"/>
        <s v="Magyar Botond - Nagy Sándor Dojo"/>
        <s v="Németh Panka - Cs.S.E."/>
        <s v="Bőzsöny Dorka - BHMSE"/>
        <s v="Egerszegi Rebeka - Főnix Dojo"/>
        <s v="Németh Virág - Castrum"/>
        <s v="Finta Zelma - Rakurai"/>
        <s v="Spanjevic Dániel - BHMSE"/>
        <s v="Reichert Jázmin  - VTSE"/>
        <s v="Bognár Luca - Rakurai"/>
        <s v="Lukács Eszter - VTSE"/>
        <s v="Spanjevic Emma - BHMSE"/>
        <s v="Fadgyas Eszter - Goukai KSE"/>
        <s v="Imre Zoé Julianna - KSE Tarján"/>
        <s v="Viza Dorottya Anna - ARSC"/>
        <s v="Farkas Regina - Shinkyo SE"/>
        <s v="Kisdeák Emma - Siófok KSE"/>
        <s v="Nádi Viktória - ARSC"/>
        <s v="Soós Panka - Tora HSE"/>
        <s v="Molnár Emese - Kihaku SE"/>
        <s v="Szlivka Botond Csaba - Shogun"/>
        <s v="Aldubai Mohamed Hamzah - Victory"/>
        <s v="Huszti Dániel - Shogun"/>
        <s v="Marjai Sándor - Kelemen-Team"/>
        <s v="Mohácsi DOminik - Victory"/>
        <s v="Rózsa Benett - Kemecse SE"/>
        <s v="Blokhin Alexei - Victory"/>
        <s v="Papp László - Kelemen-Team"/>
        <s v="Oszlánczi Zente - KYO Fighter SE"/>
        <s v="Dániel Bence - Shogun"/>
        <s v="Petrohai Dávid - Shogun"/>
        <s v="Dudás Benedek - Bendiák Dojo"/>
        <s v="Dócs Nándor - Nozomu Dojo"/>
        <s v="Máté Lénárd - Kelemen-Team"/>
        <s v="Sárközi Bence - Shogun"/>
        <s v="Tóth Máté - Bendiák Dojo"/>
        <s v="Kiss Attila - Kelemen-Team"/>
        <s v="Zeke Kata - Kelemen-Team"/>
        <s v="Bácsmegi Luca - Kelemen-Team"/>
        <s v="Fekete Alíz - Shogun"/>
        <s v="Banyák Léna - KYO Fighter SE"/>
        <s v="Nándori Leona - Kemecse SE"/>
        <s v="Geiger Uzonyi Lilla - Kelemen-Team"/>
        <s v="Szabó Alex Dominik - Shogun"/>
        <s v="Tarr Bence - Shogun"/>
        <s v="Szűcs Norbert - Shogun"/>
        <s v="Makai Mór - Victory"/>
        <s v="Kis Olivér - KYO Fighter SE"/>
        <s v="Berényi Milán - Shogun"/>
        <s v="Pajkos Dominik - Shogun"/>
        <s v="Ungai Csaba - Hajdúszoboszló"/>
        <s v="Török Márton Ignác - Kelemen-Team"/>
        <s v="Gulya Mátyás János - Kelemen-Team"/>
        <s v="Jaksa György - Victory"/>
        <s v="Sádt Zénó - Buke Reikon HRSE"/>
        <s v="Eszenyi Barnabás - Shogun"/>
        <s v="Héder Patrik - Bátor KSE"/>
        <s v="Kiss Adrián - Keizoku SE"/>
        <s v="Hegedűs Botond - Keizoku SE"/>
        <s v="Zeke Dávid - Kelemen-Team"/>
        <s v="Némethy Balázs - Shogun"/>
        <s v="Farkas Kristóf - Buke Reikon HRSE"/>
        <s v="Szabó Zsombor - Buke Reikon HRSE"/>
        <s v="Zádori Zénó  - Buke Reikon HRSE"/>
        <s v="Sztarek Benett - Buke Reikon HRSE"/>
        <s v="Kiss István - Derecske BUDO"/>
        <s v="Kiss Levente - Derecske BUDO"/>
        <s v="Gaál Botond Kolos - Bátor KSE"/>
        <s v="Simon Titusz - Buke Reikon HRSE"/>
        <s v="Eszenyi Tamás Zsolt - Bátor KSE"/>
        <s v="Rajmon Tamás - Victory"/>
        <s v="Petróczki Farkas - Bátor KSE"/>
        <s v="Bervanger Bálint - Shogun"/>
        <s v="Gyuricska Benedek - Shogun"/>
        <s v="Berki Tamás - Victory"/>
        <s v="Tóth Marcell Kevin - Nozomu Dojo"/>
        <s v="Jagyugy Zalán - Kelemen-Team"/>
        <s v="Kurucz Árpád Soma - Victory"/>
        <s v="Remenyik Péter - Shogun"/>
        <s v="Ádám Mátyás Richárd - Bendiák Dojo"/>
        <s v="Tóth Gergő - SONGOKU SE"/>
        <s v="Ungai Eszter - Hajdúszoboszló"/>
        <s v="Kigó Boróka - Victory"/>
        <s v="Fürjesi Eszter - Shogun"/>
        <s v="Fagbola Esther - Victory"/>
        <s v="Téglási Kamilla - Kisvárda KKDOSC"/>
        <s v="Marjai Boglárka - Kelemen-Team"/>
        <s v="Szabó Lilla - ShinzóDojo"/>
        <s v="Dászkál Dorottya - Shogun"/>
        <s v="Damu Zsanett - Kagami"/>
        <s v="MOLNÁR MINKA - Victory"/>
        <s v="Huszár Hanna - Kemecse SE"/>
        <s v="Kis Emma - Shogun"/>
        <s v="Cserép Nóra - Kelemen-Team"/>
        <s v="Pista Nóra - Bendiák Dojo"/>
        <s v="Varga Zoé - Kemecse SE"/>
        <s v="Sárközi Nóra - Shogun"/>
        <s v="Veress Dávid - KHSE"/>
        <s v="Melczner Márk - Victory"/>
        <s v="Kis Ádám Zsolt - KYO Fighter SE"/>
        <s v="Andrési Balázs - KHSE"/>
        <s v="Békési Nándor István - Shogun"/>
        <s v="Takács Sárkány Balázs - KHSE"/>
        <s v="Kurucz Tamás Timuzsin - Shogun"/>
        <s v="Pista Áron - Bendiák Dojo"/>
        <s v="Remenyik Dániel - Shogun"/>
        <s v="Turcsán Barnabás - Borza Dojo"/>
        <s v="Szymon Fraczek - Bátor KSE"/>
        <s v="Sádt Zétény - Buke Reikon HRSE"/>
        <s v="Tángyes Ricardo - Kisvárda KKDOSC"/>
        <s v="Szutor Levente - Shogun"/>
        <s v="Elek János - KHSE"/>
        <s v="Riczu Bendegúz - Nozomu Dojo"/>
        <s v="Virág Marcell Máté - KHSE"/>
        <s v="Száraz Zsombor - Derecske BUDO"/>
        <s v="Kovács Máté Noel - Bátor KSE"/>
        <s v="Tokaji Bocsárd Norbert - KHSE"/>
        <s v="Farkas Álmos - KYO Fighter SE"/>
        <s v="Avramov Dávid - TADASHII "/>
        <s v="Székely Lázár - KYO Fighter SE"/>
        <s v="Berényi Bence - Shogun"/>
        <s v="Maklaga Norbert - Kagami"/>
        <s v="Patai Dávid - ShinzóDojo"/>
        <s v="Botlik Tibor - Nintai KKSE"/>
        <s v="Kovács Mihály Ágoston - Borza Dojo"/>
        <s v="Sóskuti Lili - Keizoku SE"/>
        <s v="Galyas Edit - Nyíradonyi KKE"/>
        <s v="Gonda Lea - Kelemen-Team"/>
        <s v="Nándori Emma - Kemecse SE"/>
        <s v="Szabó Zsófi - ShinzóDojo"/>
        <s v="Csató Réka - Keizoku SE"/>
        <s v="Koszorus Brigitta - SONGOKU SE"/>
        <s v="Almási Petra - KHSE"/>
        <s v="Kiss Jázmin - TADASHII "/>
        <s v="Novák Noémi - Bendiák Dojo"/>
        <s v="Bakó Panna - Kemecse SE"/>
        <s v="Nagy Blanka - Shogun"/>
        <s v="Dorka Zalán - KHSE"/>
        <s v="Stoffán Ádám Vilmos - Victory"/>
        <s v="Zhang Dávid - KHSE"/>
        <s v="Berényi Imre Márk - Shogun"/>
        <s v="Balázs Máté - KHSE"/>
        <s v="Dániel László - Kelemen-Team"/>
        <s v="Dürgő Máté - Victory"/>
        <s v="Ménes Milán - KHSE"/>
        <s v="Banka Boldizsár - KYO Fighter SE"/>
        <s v="Bartus Marcell - KYO Fighter SE"/>
        <s v="Balogh Levente - Wheelmaker dojo SE"/>
        <s v="Tarsoly Norbert - Nintai KKSE"/>
        <s v="Tutor Barnabás  - Derecske BUDO"/>
        <s v="Kurucz Gergő - Victory"/>
        <s v="Dezső Norbert - Magna Dojo"/>
        <s v="Novák Balázs - Bendiák Dojo"/>
        <s v="Ágoston Bence - KHSE"/>
        <s v="Vancsó Kornél - Bendiák Dojo"/>
        <s v="Vass Noel - KHSE"/>
        <s v="Szalai Brendon - Nintai KKSE"/>
        <s v="Novák Máté - Bendiák Dojo"/>
        <s v="Vida Péter - Buke Reikon HRSE"/>
        <s v="Ungvári Levente - Shogun"/>
        <s v="Lóránt Varga Milán - Shogun"/>
        <s v="MOLNÁR MARCELL - Victory"/>
        <s v="Szabó Hanna - Hajdúszoboszló"/>
        <s v="Forgács Lili - Borza Dojo"/>
        <s v="Furó Liliána - KHSE"/>
        <s v="Kiss Boglárka - Derecske BUDO"/>
        <s v="Karap Anna - Shogun"/>
        <s v="Pénzes Zsófia - KHSE"/>
        <s v="Albert Szilvia Cintia - Derecske BUDO"/>
        <s v="Barna Emese Nikolett - Bendiák Dojo"/>
        <s v="Harsányi Tímea - Kelemen-Team"/>
        <s v="Kovács Anna - Kisvárda KKDOSC"/>
        <s v="Uszkai Flóra - Shogun"/>
        <s v="Berényi Lina Boróka - Kagami"/>
        <s v="Nagy Péter - KHSE"/>
        <s v="Rimóczi Alex Benedek - Nozomu Dojo"/>
        <s v="Bacskai Bence - KHSE"/>
        <s v="Szabó Ákos Roland - KHSE"/>
        <s v="Vincze Balázs - TADASHII "/>
        <s v="Böszörményi Gergő - Victory"/>
        <s v="Földi Bence  - Victory"/>
        <s v="Takács-Sárkány Csanád - KHSE"/>
        <s v="Földi Balázs - Victory"/>
        <s v="Kiss Gábor - Victory"/>
        <s v="Vancsó Ákos - Bendiák Dojo"/>
        <s v="Bessenyei Csongor - Shogun"/>
        <s v="Breznyiczki Barnabás - Nozomu Dojo"/>
        <s v="Flaisz Róbert - TADASHII "/>
        <s v="Csorba Kristóf - Shogun"/>
        <s v="Sipos Árpád - KHSE"/>
        <s v="Maklári Balázs - Kisvárda KKDOSC"/>
        <s v="Terbócs Roland - Shogun"/>
        <s v="Vágó Márton - Shogun"/>
        <s v="Kolonics Márk - TADASHII "/>
        <s v="Kis Kevin Gyula - Borza Dojo"/>
        <s v="Fekete Csenge - Nozomu Dojo"/>
        <s v="Szanics Boglárka - Shogun"/>
        <s v="Lukács Kamilla - Victory"/>
        <s v="Ágoston Sára - KHSE"/>
        <s v="Orosz Dorina - Kemecse SE"/>
        <s v="Gál Regina - Derecske BUDO"/>
        <s v="Éles Léna Hanna - Victory"/>
        <s v="Szutor Anna - Shogun"/>
        <s v="Józsa Erika - KHSE"/>
        <s v="Vórincsák Vivien - KHSE"/>
        <s v="Ecsedi Réka - KHSE"/>
        <s v="Szabó Petra - Shogun"/>
        <s v="Takács-Sárkány Zalán - KHSE"/>
        <s v="Hadnagy Botond - Rokku KKSE"/>
        <s v="Kovács Kornél - KYO Fighter SE"/>
        <s v="Lajkó Vince - Buke Reikon HRSE"/>
        <s v="Lévai Benedek - BHMSE"/>
        <s v="Bányai Kende - VTSE"/>
        <s v="Kádár Boldizsár - Rakurai"/>
        <s v="Petróczki Bendegúz - Bátor KSE"/>
        <s v="Vágenhoffer Maja - Meiyo dojo"/>
        <s v="Odorics Zétény - Rakurai"/>
        <s v="Szőllősi Hanna - Kemecse SE"/>
        <s v="Czekmeiszter Maja Lili - Bátor KSE"/>
        <s v="Janás Mia - Főnix Dojo"/>
        <s v="Papp Dorottya - Rokku KKSE"/>
        <s v="Sajtos Luca - Kisvárda KKDOSC"/>
        <s v="Ungai Ferenc - Hajdúszoboszló"/>
        <s v="Rudi Gergő - Rakurai"/>
        <s v="Kovács Marcell András - Victory"/>
        <s v="Szabó Dominik - Buke Reikon HRSE"/>
        <s v="Simon Timon - Buke Reikon HRSE"/>
        <s v="Nagy Nimród - Rakurai"/>
        <s v="Szabó Lili - Kisvárda KKDOSC"/>
        <s v="Farkas Luca - KYO Fighter SE"/>
        <s v="Vida Zora - Buke Reikon HRSE"/>
        <s v="Horváth Réka - Castrum"/>
        <s v="Hegyesi Mia - Derecske BUDO"/>
        <s v="Nagy Hunor - Derecske BUDO"/>
        <s v="Papp Dávid - Nyíradonyi KKE"/>
        <s v="Gáncs Arnold - Griff SE"/>
        <s v="Flaisz Attila - TADASHII "/>
        <s v="Gál Milán György  - Derecske BUDO"/>
        <s v="Nagy Gábor András - POWER SE."/>
        <s v="Zsin Zsófia - BHMSE"/>
        <s v="Magyar Viktória - KYO Fighter SE"/>
        <s v="Hanics Luca - Főnix Dojo"/>
        <s v="Soós Flóra - Nagykátai Bushido SE"/>
        <s v="Bíró Krisztián - Főnix Dojo"/>
        <s v="Sebők Zsombor - Shogun"/>
        <s v="Kovács Levente - Nozomu Dojo"/>
        <s v="Rád Balázs - Nintai KKSE"/>
        <s v="Ferenczi Attila - VTSE"/>
        <s v="Miskolczi Zalán - Kemecse SE"/>
        <s v="Szabó Roland - WARRIORS TEAM"/>
        <s v="Csáti Bence Máté - Keizoku SE"/>
        <s v="Soós Viktor - Kisvárda KKDOSC"/>
        <s v="Bíró Nóra - Főnix Dojo"/>
        <s v="Horsik Zente József - POWER SE."/>
        <s v="Adamecz Milán - Nagykátai Bushido SE"/>
        <s v="Szabó Zoltán Szüa - POWER SE."/>
        <s v="Orosz Márkó - KKE - Spartacus"/>
        <s v="Ujj Szabolcs - Marcali SKK"/>
        <s v="Lőrincz Bence - ASE Bulldog KKSZCS"/>
        <s v="Nagy Richárd - POWER SE."/>
        <s v="Tóth Dominik István - Griff SE"/>
        <s v="Kiss-Juhász Hanga - Tora HSE"/>
        <s v="Virág Boglárka Csenge - Keszth.KKK"/>
        <s v="Balogh Dóra Panna - POWER SE."/>
        <s v="Apjok Réka - Tora HSE"/>
        <s v="Balogh Levente - Magna Dojo"/>
        <s v="Ratkai János - KHSE"/>
        <s v="Kerékgyártó Tamás - Wheelmaker dojo SE"/>
        <s v="Borsi Krisztián - KHSE"/>
        <s v="Borsi Balázs - KHSE"/>
        <s v="Vágó Ákos - KHSE"/>
        <s v="Matkó Gréta - KHSE"/>
        <s v="Palmer Ádám - Wheelmaker dojo SE"/>
        <s v="Bara András - Wheelmaker dojo SE"/>
        <s v="Vékony Márk - Wheelmaker dojo SE"/>
        <s v="Simao Roberto - Délegyházi Karate SE"/>
        <s v="Kollár Gergő - TADASHII "/>
        <s v="Fránki Réka - TADASHII "/>
        <s v="Kovács Viktória - Nintai KKSE"/>
        <s v="Szabó Lídia Lillada - POWER SE."/>
        <s v="Böszörményi Bendegúz  - Nagykátai Bushido SE"/>
        <s v="Hegedűs Zsombor - Nagykátai Bushido SE"/>
        <s v="Fránki Dorina - TADASHII "/>
        <s v="Éles Léna - Victory"/>
        <s v="Mészáros Mercédesz - Shogun"/>
        <m/>
        <s v="Geiszt Márton - Főnix Dojo" u="1"/>
        <s v="Kállai László - Victory" u="1"/>
        <s v="Serfőző Zalán Milos - Castrum" u="1"/>
        <s v="Szabó Roland - HARCOSOK KLUBJA" u="1"/>
        <s v="Bede Szabolcs - Ippon KKSE" u="1"/>
        <s v="Kovács Patrik - TADASHII " u="1"/>
        <s v="Garamszegi Zente - HARCOSOK KLUBJA" u="1"/>
        <s v="Szabó Tamás - Veszprémi Fitt KKSE" u="1"/>
        <s v="Fehér Jázmin - HASUNO SE" u="1"/>
        <s v="Karap Virág - Shogun" u="1"/>
        <s v="Demeter Zsófia - HARCOSOK KLUBJA" u="1"/>
        <s v="Albert Szintia Szilvia  - Samurai SE" u="1"/>
        <s v="Pipicz Tibor - TADASHII " u="1"/>
        <s v="Hardi Balázs - Siófok KSE" u="1"/>
        <s v="Makay Zétény - Shogun" u="1"/>
        <s v="Gazi Domonkos - Ippon KKSE" u="1"/>
        <s v="Karczub Zalán - Bátor KSE" u="1"/>
        <s v="Gondos Gergely - Yamato SE" u="1"/>
        <s v="Ludszky Zsolt - Főnix Dojo" u="1"/>
        <s v="Molnár Gergely - Renmei SE" u="1"/>
        <s v="Gulyás Gyula Dávid - Yamato SE" u="1"/>
        <s v="Sebestyén Miklós - TADASHII " u="1"/>
        <s v="Tevin Magaiza - Seishin Dójó" u="1"/>
        <s v="Szalai Sámuel - KKE - Spartacus" u="1"/>
        <s v="Magyar Levente - Karcagi SE" u="1"/>
        <s v="Hingi Viktor - SZBSE" u="1"/>
        <s v="Mezei Gábor - Ippon KKSE" u="1"/>
        <s v="Vórincsák Zsolt - KHSE" u="1"/>
        <s v="Rózsa Endre - Kemecse SE" u="1"/>
        <s v="Csillag Viktor - Beledi KÉSZ SE" u="1"/>
        <s v="Varga Krisztián - Beledi KÉSZ SE" u="1"/>
        <s v="Kiss-Leizer Luca - KKE - Spartacus" u="1"/>
        <s v="Kovács-Leiter Anett - Ippon KKSE" u="1"/>
        <s v="Kerekes Réka - VTSE" u="1"/>
        <s v="Fejes Hanna - KHSE" u="1"/>
        <s v="Bognár Léna - Rakurai" u="1"/>
        <s v="Nagy Richárd - Kagami" u="1"/>
        <s v="Pallagi László - Karcagi SE" u="1"/>
        <s v="Kovács Balázs - Ippon KKSE" u="1"/>
        <s v="Vastag Adrián - Renmei SE" u="1"/>
        <s v="dr. Hollósi Zoltán - Beledi KÉSZ SE" u="1"/>
        <s v="Magda Molli - SZBSE" u="1"/>
        <s v="Kollár Dalma - Kagami" u="1"/>
        <s v="Balázs Panni - Shogun" u="1"/>
        <s v="Bendiák Barbara - Bendiák Dojo" u="1"/>
        <s v="Kollár Nóra - Kagami" u="1"/>
        <s v="Törő Vanda - Kagami" u="1"/>
        <s v="Bánszki Eszter - KYO Fighter SE" u="1"/>
        <s v="Hegedűs Bence - Shogun" u="1"/>
        <s v="Belicza Levente - Bátor KSE" u="1"/>
        <s v="Horváth Leila - Victory" u="1"/>
        <s v="Szabó Lilla - Shinzó Dojo" u="1"/>
        <s v="Vass János - Nyíradonyi KKE" u="1"/>
        <s v="Ladik Csanád - Fight-team" u="1"/>
        <s v="Fehér Zsombor Béla - Derecske BUDO" u="1"/>
        <s v="Székely Fruzsina - Hajdúszoboszló" u="1"/>
        <s v="Bodor Noémi - Kisvárda KKDOSC" u="1"/>
        <s v="Pósán Nóra - Nyíradonyi KKE" u="1"/>
        <s v="Bodor Máté - Kisvárda KKDOSC" u="1"/>
        <s v="Nagy Péter - Shogun" u="1"/>
        <s v="Kiss Zoltán János - Derecske BUDO" u="1"/>
        <s v="Szabó Péter Nimród - Shogun" u="1"/>
        <s v="Papp Zalán - Shogun" u="1"/>
        <s v="Kibinda Matsui - Victory" u="1"/>
        <s v="Gál Milán György  - Samurai SE" u="1"/>
        <s v="Tóth Dominik István - Victory" u="1"/>
        <s v="Pribojszki Zsombor - Samuray KKSE" u="1"/>
        <s v="Litauszki Keve - Kisvárda KKDOSC" u="1"/>
        <s v="Sipos Ákos - Derecske BUDO" u="1"/>
        <s v="Ráki Levente János - Samuray KKSE" u="1"/>
        <s v="Tarr Emma - Shogun" u="1"/>
        <s v="Fúró Liliána - KHSE" u="1"/>
        <s v="Mészáros Dorka - TADASHII " u="1"/>
        <s v="Kecskés Kitti - Kelemen-Team" u="1"/>
        <s v="Rácz-Fodor Nóra - TADASHII " u="1"/>
        <s v="Bukodi Dóra Anna - Samuray KKSE" u="1"/>
        <s v="Vágó Gergő - KHSE" u="1"/>
        <s v="Székely Zsigmond - KYO Fighter SE" u="1"/>
        <s v="Kovács Nimród - Magna Dojo" u="1"/>
        <s v="Gyurcsán Tibor Balázs - Fight-team" u="1"/>
        <s v="Tutor Barnabás  - Samurai SE" u="1"/>
        <s v="Borbély Attila  - Samurai SE" u="1"/>
        <s v="Tóth Kornél Zoárd - Shogun" u="1"/>
        <s v="Hiezl Barnabás - TADASHII " u="1"/>
        <s v="Apáthy Aliz - Victory" u="1"/>
        <s v="Szolnoki Gabriella - Kelemen-Team" u="1"/>
        <s v="Harcsa-Halász Luca - TADASHII " u="1"/>
        <s v="Pankotai Zsolt - DTKK SE" u="1"/>
        <s v="Pósán Zétény - Shogun" u="1"/>
        <s v="Tóth Kálmán - Shogun" u="1"/>
        <s v="Masalmeh Emír - TADASHII " u="1"/>
        <s v="Czirók Attila - Shintai SE" u="1"/>
        <s v="Oláh Barnabás - Victory" u="1"/>
        <s v="Esvég Dominik - Kisvárda KKDOSC" u="1"/>
        <s v="Haverla Levente Bálint - Bendiák Dojo" u="1"/>
        <s v="Szigeti Zsófia - Kemecse SE" u="1"/>
        <s v="Gál Regina - Samurai SE" u="1"/>
        <s v="Zvara Zsófia - Nozomu Dojo" u="1"/>
        <s v="Schilling Patrik - Damashi" u="1"/>
        <s v="Urban Tamás - Rakurai" u="1"/>
        <s v="Hidasi Dániel - Spirit SE." u="1"/>
        <s v="Karakó Máté - BHMSE" u="1"/>
        <s v="Dobrovits Márk - Délegyházi Karate SE" u="1"/>
        <s v="Tóth Mira - Rakurai" u="1"/>
        <s v="Hajas Nóra - VTSE" u="1"/>
        <s v="Bóka Boróka - Főnix Dojo" u="1"/>
        <s v="Hári Zsófia - Főnix Dojo" u="1"/>
        <s v="Fajka Flóra - Spirit SE." u="1"/>
        <s v="Menyhárt Csenge - Rakurai" u="1"/>
        <s v="Fercsák Dániel - Veszprémi Fitt KKSE" u="1"/>
        <s v="Horváth Medárd - Rokku KKSE" u="1"/>
        <s v="Jónás Alex - Rakurai" u="1"/>
        <s v="Gáll Levente - Genbu dojo" u="1"/>
        <s v="Horváth Zoltán - Genbu dojo" u="1"/>
        <s v="Jáni-Budea Noa - BHMSE" u="1"/>
        <s v="Szelőczei Noémi - Cs.S.E." u="1"/>
        <s v="Garamszegi Szófia - HARCOSOK KLUBJA" u="1"/>
        <s v="Kocsis Nóra  - Genbu dojo" u="1"/>
        <s v="Villasenor Babos Natália - Rakurai" u="1"/>
        <s v="Unger Alex - Veszprémi Fitt KKSE" u="1"/>
        <s v="Hegyi Bálint - BHMSE" u="1"/>
        <s v="Domján-Herbat Levente - BHMSE" u="1"/>
        <s v="Dezső Norbert - Spirit SE." u="1"/>
        <s v="Kiss Bence - Renmei SE" u="1"/>
        <s v="Szabó Levente - HARCOSOK KLUBJA" u="1"/>
        <s v="Tóth Attila - Renmei SE" u="1"/>
        <s v="Berki Balázs - Cs.S.E." u="1"/>
        <s v="Bogdán Szonja - Rakurai" u="1"/>
        <s v="Bennárik Bella - HARCOSOK KLUBJA" u="1"/>
        <s v="Ledniczki Panna - Marcali SKK" u="1"/>
        <s v="Szeg Fanni - KKE - Spartacus" u="1"/>
        <s v="Bábel Jázmin - Spirit SE." u="1"/>
        <s v="Alács Emese - Genbu dojo" u="1"/>
        <s v="Mógor Dorka - Griff SE" u="1"/>
        <s v="Horváth Nándor - Castrum" u="1"/>
        <s v="Molnár Bence Noel - HARCOSOK KLUBJA" u="1"/>
        <s v="Bábel József - Spirit SE." u="1"/>
        <s v="Benedek Tamás - Ippon KKSE" u="1"/>
        <s v="Gallyas Ákos László - Keszth.KKK" u="1"/>
        <s v="Radics Jázmin Norina - Nagykátai Bushido SE" u="1"/>
        <s v="Molnár Mária - HARCOSOK KLUBJA" u="1"/>
        <s v="Viza Dorottya - ARSC" u="1"/>
        <s v="Mocsi Petra - ARSC" u="1"/>
        <s v="Szikszai Réka - Genbu dojo" u="1"/>
        <s v="Kovács Boglárka - Genbu dojo" u="1"/>
        <s v="Balogh Bertalan - Griff SE" u="1"/>
        <s v="Palásti Krisztián - VTSE" u="1"/>
        <s v="ifj. Horváth Tamás - HARCOSOK KLUBJA" u="1"/>
        <s v="Nagy Benedek - Nagy Sándor Dojo" u="1"/>
        <s v="Pető Zsombor Tamás - Spirit SE." u="1"/>
        <s v="Fazakas Árpád - HARCOSOK KLUBJA" u="1"/>
        <s v="Sági Mátyás - Spirit SE." u="1"/>
        <s v="Varjas Máté Bence - Seibukai Kyokushin D" u="1"/>
        <s v="Mesterházy Mihály - Keszth.KKK" u="1"/>
        <s v="Baricza Péter - Spirit SE." u="1"/>
        <s v="Galambos Bence - Renmei SE" u="1"/>
        <s v="Bíró Balázs - Főnix Dojo" u="1"/>
        <s v="Tengelics Márk - IKIGAI SE." u="1"/>
        <s v="Szanik Dániel - Genbu dojo" u="1"/>
        <s v="Földes Máté - Genbu dojo" u="1"/>
        <s v="Bánky Liliána - BHMSE" u="1"/>
        <s v="Szücs Hanna - Castrum" u="1"/>
        <s v="Notheisz Janka - VTSE" u="1"/>
        <s v="Keszte Júlia - Beledi KÉSZ SE" u="1"/>
        <s v="Kiss Aliz - Renmei SE" u="1"/>
        <s v="Varga Luca Zsófia  - Rokku KKSE" u="1"/>
        <s v="Rácz Izmael - Nintai KKSE" u="1"/>
        <s v="Fogarasi Dominik - Seiren Hse" u="1"/>
        <s v="Erdei Attila - SONGOKU SE" u="1"/>
        <s v="Bene Barnabás - Genbu dojo" u="1"/>
        <s v="Orosz Márkó - POWER SE." u="1"/>
        <s v="Szondi Szabolcs Bátor - Genbu dojo" u="1"/>
        <s v="Pelikán Ákos Tamás - Kiskunhalasi KSzE" u="1"/>
        <s v="Kancsár Martin - Kiskunhalasi KSzE" u="1"/>
        <s v="Nagy Péter Kevin - Veszprémi Fitt KKSE" u="1"/>
        <s v="Földeáki Miklós - Genbu dojo" u="1"/>
        <s v="Kákonyi Ildikó - TADASHII " u="1"/>
        <s v="Losonczki Csenge Panka - Seiren Hse" u="1"/>
        <s v="Fránki Dorina  - TADASHII " u="1"/>
        <s v="Fiumei Lujza Róza - Seiren Hse" u="1"/>
        <s v="Dócs Nándor  - Nozomu Dojo" u="1"/>
        <s v="Szabó Marcell Károly  - Katana SE" u="1"/>
        <s v="Kovács Botond  - Damashi" u="1"/>
        <s v="Fischer Elena - Főnix Dojo" u="1"/>
        <s v="Belicza András - Bátor KSE" u="1"/>
        <s v="Ujj Szabolcs  - Marcali SKK" u="1"/>
        <s v="Német Zalán  - Bendiák Dojo" u="1"/>
        <s v="Bocsi Ádám - Wheelmaker dojo SE" u="1"/>
        <s v="Eperjesy Dávid - BHMSE" u="1"/>
        <s v="Wölfinger Liza - Griff SE" u="1"/>
        <s v="Gyurcsán Levente - Fight-team" u="1"/>
        <s v="Villasenor Babos Viktor Éliás - BHMSE" u="1"/>
        <s v="Bíró Dániel - Victory" u="1"/>
        <s v="Baranyai Áron  - BHMSE" u="1"/>
        <s v="Pósán Léna - Shogun" u="1"/>
        <s v="Gál Petra Andrea - Veszprémi Fitt KKSE" u="1"/>
        <s v="Bors Jázmin Hanna  - Castrum" u="1"/>
        <s v="Szabó Rita - Shogun" u="1"/>
        <s v="Nádori Emma - Kemecse SE" u="1"/>
        <s v="Juhász Alíz Anna - KYO Fighter SE" u="1"/>
        <s v="Flaisz Attila  - TADASHII " u="1"/>
        <s v="Rácz Béla Márk - Nintai KKSE" u="1"/>
        <s v="Bákány László Dominik - Fight-team" u="1"/>
        <s v="Tutor Barnabás - Samurai SE" u="1"/>
        <s v="Vida Péter  - Buke Reikon HRSE" u="1"/>
        <s v="Nagy Benedek - Genbu dojo" u="1"/>
        <s v="Orbán Balázs - KKE - Spartacus" u="1"/>
        <s v="Szanik Dániel  - Genbu dojo" u="1"/>
        <s v="Molnár Benő - Griff SE" u="1"/>
        <s v="Uszkai Janka - Shogun" u="1"/>
        <s v="Barta Panka Sára - MSKKE Tokaj" u="1"/>
        <s v="Szabó Máté Péter - HARCOSOK KLUBJA" u="1"/>
        <s v="Győrfi Regina - MSKKE Tokaj" u="1"/>
        <s v="Pitic Iris - FRKK " u="1"/>
        <s v="Szabó Zsófi - Shinzó Dojo" u="1"/>
        <s v="Stirbu Tudor - FRKK" u="1"/>
        <s v="Pitic Iris - FRKK" u="1"/>
        <s v="Suciu Alina - FRKK" u="1"/>
        <s v="Puskás Violetta - Nyíradonyi KKE" u="1"/>
        <s v="Gheorghe Ianis Andreas - C.S BUDOKAI ARAD" u="1"/>
        <s v="Zelenák Zétény - Seiren Hse" u="1"/>
        <s v="Ivascu Rares - C.S BUDOKAI ARAD" u="1"/>
        <s v="Mercea Victor Sebastian - C.S BUDOKAI ARAD" u="1"/>
        <s v="Iacobut Flavius - C.S BUDOKAI ARAD" u="1"/>
        <s v="Cretu Alma Marissa Sonia - C.S BUDOKAI ARAD" u="1"/>
        <s v="Bogdan Diana - FRKK" u="1"/>
        <s v="Barbosu David - C.S BUDOKAI ARAD" u="1"/>
        <s v="Boruzs Richárd - KHSE" u="1"/>
        <s v="Siclovan Darius Andrei - C.S BUDOKAI ARAD" u="1"/>
        <s v="Galambos Viktor - Genbu dojo" u="1"/>
        <s v="Gaciu Ana - C.S BUDOKAI ARAD" u="1"/>
        <s v="Suciu Alexandra - FRKK" u="1"/>
        <s v="Boca Stefania - FRKK" u="1"/>
        <s v="Preda Olga Ana - C.S BUDOKAI ARAD" u="1"/>
        <s v="Margithazi Zsolt - C.S BUDOKAI ARAD" u="1"/>
        <s v="Potlog Dinu - C.S BUDOKAI ARAD" u="1"/>
        <s v="Benedek László - Nagykátai Bushido SE" u="1"/>
        <s v="Kiss András - Nyirtassi SE" u="1"/>
        <s v="Erdős Szabolcs - MSKKE Tokaj" u="1"/>
        <s v="Dániel Péter - Shogun" u="1"/>
        <s v="Szabó Balázs - KHSE" u="1"/>
        <s v="Józsa Andrea Enikő - KHSE" u="1"/>
        <s v="Kabai Kiara - MSKKE Tokaj" u="1"/>
        <s v="Stilman Anna - Seiren Hse" u="1"/>
        <s v="Nagy Mária Valéria - Samuray KKSE" u="1"/>
        <s v="Takács Sárkány Zalán - KHSE" u="1"/>
        <s v="Scaramozzino Bianca Maria - C.S BUDOKAI ARAD" u="1"/>
        <s v="Pető Tamás Zsombor - Spirit SE." u="1"/>
        <s v="Mészáros Mercedesz - Shogun" u="1"/>
        <s v="Haverla Bálint Levente - Bendiák Dojo" u="1"/>
        <s v="ENDI TONKOVIĆ - KK MOSLAVINA" u="1"/>
        <s v="Mihael Krpan - kkk Dugo Selo" u="1"/>
        <s v="Mihael Stanisak - KKZ" u="1"/>
        <s v="JAN DAVID TODOROVIĆ - KK MOSLAVINA" u="1"/>
        <s v="Eva Antonic - KKZ" u="1"/>
        <s v="Vita Plazanin - KKZ" u="1"/>
        <s v="Tristan Cizmesija - KKZ" u="1"/>
        <s v="KARMEN PASTUOVIĆ - KK MOSLAVINA" u="1"/>
        <s v="Szanyi Bora - Meiyo dojo" u="1"/>
        <s v="Vito Capek - KKZ" u="1"/>
        <s v="Unger Alex - Fitt KKSE" u="1"/>
        <s v="Luka Vrbancic - KKZ" u="1"/>
        <s v="Nógrádi Attila - Meiyo dojo" u="1"/>
        <s v="Eva Vrančić - KK Mladost" u="1"/>
        <s v="Ana Duković - kkk Dugo Selo" u="1"/>
        <s v="Roko Tanković - KK Mladost" u="1"/>
        <s v="Radis Aristotelis - KSE Tarján" u="1"/>
        <s v="Paola Budek - kkk Dugo Selo" u="1"/>
        <s v="Kiss Olivér - Castrum" u="1"/>
        <s v="Búzás Bíborka  - Victory" u="1"/>
        <s v="Hidvégi Gabriella  - Spirit SE." u="1"/>
        <s v="Rácz Kristóf - Seishin Karate Klub" u="1"/>
        <s v="Vincze Barnabás - Damashi" u="1"/>
        <s v="Tercs Máté Márk - Seishin Karate Klub" u="1"/>
        <s v="Danku Csillag - Victory" u="1"/>
        <s v="Sara Denac - KK AIK" u="1"/>
        <s v="Hrvoje Duąak - KK AIK" u="1"/>
        <s v="Josipa Horvat - KK AIK" u="1"/>
        <s v="Albert Szilvia Cintia - Samurai SE" u="1"/>
        <s v="Sütő Enikő Alexa - BKKKSZ" u="1"/>
        <s v="Sárai Csongor - Seishin Karate Klub" u="1"/>
        <s v="Joób-Fancsaly András - Victory" u="1"/>
        <s v="Broz Sabina - KK AIK" u="1"/>
        <s v="©ebrek Blaľotić Lana - KK AIK" u="1"/>
        <s v="Balogh Szimonetta - Shogun" u="1"/>
        <s v="Leona Dokuą - kkk Dugo Selo" u="1"/>
        <s v="Szabó zsófi - Shinz" u="1"/>
        <s v=" - " u="1"/>
        <s v="Szabó Tamás - Fitt SE" u="1"/>
        <s v="Fercsák Dániel - Fitt SE" u="1"/>
        <s v="Unger Alex - Fitt SE" u="1"/>
        <s v="Nagy Péter Kevin - Fitt SE" u="1"/>
        <s v="Rintaro Watanabe - Ippon KKSE" u="1"/>
        <s v="Gazi Dávid - Ippon KKSE" u="1"/>
        <s v="Lendvai László - Nagykátai Bushido SE" u="1"/>
        <s v="Újvári Bálint - Ippon KKSE" u="1"/>
        <s v="Oláh Gergő - KHSE" u="1"/>
        <s v="Kukuly Attila - KHSE" u="1"/>
        <s v="Horváth Zoltán - TADASHII " u="1"/>
        <s v="Fránki Károly - TADASHII " u="1"/>
        <s v="Csivincsik Adél - Tekeres SK" u="1"/>
        <s v="Fehér Eszter - Spirit SE." u="1"/>
        <s v="Kerezsi Csenge - Bátor KSE" u="1"/>
        <s v="Puskás Fruzsina - KHSE" u="1"/>
        <s v="Mészáros Mercédesz  - Shogun" u="1"/>
        <s v="Berencsi Tímea - Shogun" u="1"/>
        <s v="Vastag Adrián - Renmei se " u="1"/>
        <s v="Tóth Péter - TADASHII " u="1"/>
        <s v="Breznyiczki Benedek - Nozomu Dojo" u="1"/>
        <s v="Horváth László - Magna Dojo" u="1"/>
        <s v="Rozgics Dominik - Kemecse SE" u="1"/>
        <s v="Kurucz László Botond - OKKHE" u="1"/>
        <s v="Gémes Gergő - ESZME" u="1"/>
        <s v="Horváth Levente András - SMAFC" u="1"/>
        <s v="Ádám Gergő - Kamikaze S" u="1"/>
        <s v="Schmetz Kornél - Bendiák Dojo" u="1"/>
        <s v="Simon Boldizsár - Kiai Dojo " u="1"/>
        <s v="Nagy Dávid - Kemecse SE" u="1"/>
        <s v="Bagdi Alexa Zita - BHMSE" u="1"/>
        <s v="Ponyokai Petra - Magna Dojo" u="1"/>
        <s v="Kozma Rebeka - KKE - Spartacus" u="1"/>
        <s v="Kis Benedek Ernő - Kagami" u="1"/>
        <s v="Kollár Nóra  - Kagami" u="1"/>
        <s v="Kantó Máté - Spirit SE." u="1"/>
        <s v="Bálint Gábor - POWER SE." u="1"/>
        <s v="Horváth Kornél - HARCOSOK KLUBJA" u="1"/>
        <s v="Gecsei Zalán - KSE Tarján" u="1"/>
        <s v="Alkaddour Hareth Ákos - BHMSE" u="1"/>
        <s v="Hideg Krisztián - Rakurai" u="1"/>
        <s v="Thornton Ruby - BHMSE" u="1"/>
        <s v="Endresz  Sára - KSE Tarján" u="1"/>
        <s v="Zsenyuk Zalán - POWER SE." u="1"/>
        <s v="Molnár Marcell - Damashi" u="1"/>
        <s v="Horváth Mátyás Nándor - Ippon KKSE" u="1"/>
        <s v="Svraka Bence - Damashi" u="1"/>
        <s v="Nádasdi Dávid - BHMSE" u="1"/>
        <s v="Orosz Márkó - Kamikaze S" u="1"/>
        <s v="Izsák-Rudolf Csanád - Kamikaze S" u="1"/>
        <s v="Antal Bálint - Spirit SE." u="1"/>
        <s v="Kiss Bence - Renmei se " u="1"/>
        <s v="Tóth Attila - Renmei se " u="1"/>
        <s v="Gál Petra Andrea - Fitt SE" u="1"/>
        <s v="Horváth Eszter - HARCOSOK KLUBJA" u="1"/>
        <s v="Schaibli  Lilla - Nagykátai Bushido SE" u="1"/>
        <s v="Bors Jázmin Hanna - Castrum" u="1"/>
        <s v="Gecsei Emma Borbála - KSE Tarján" u="1"/>
        <s v="Gergácz Róza - Kapuvári SE" u="1"/>
        <s v="Valkovszki Máté - BHMSE" u="1"/>
        <s v="Csonták Huba - Fitt SE" u="1"/>
        <s v="Kiss Dominik István - Balatoni Multi S.E. " u="1"/>
        <s v="Németh Kristóf - Kapuvári SE" u="1"/>
        <s v="Izsák-Rudolf Gergő - Kamikaze S" u="1"/>
        <s v="Kóri Iván - Nagykátai Bushido SE" u="1"/>
        <s v="Kiss Bence Balázs - Ippon KKSE" u="1"/>
        <s v="Tóth Károly - Rakurai" u="1"/>
        <s v="Sánta Dániel - BHMSE" u="1"/>
        <s v="Aranyosi Nikolett - Renmei se " u="1"/>
        <s v="Pintér Vivien - Katana SE" u="1"/>
        <s v="Bot Izabella - POWER SE." u="1"/>
        <s v="Riegler Rebeka Gréta - Főnix Dojo" u="1"/>
        <s v="Botár Zalán - Fitt SE" u="1"/>
        <s v="Sörös Dániel - KSE Tarján" u="1"/>
        <s v="Bene László - Spirit SE." u="1"/>
        <s v="Keller Dániel - Bushido Kaposvár" u="1"/>
        <s v="Tóth Gábor - Fitt SE" u="1"/>
        <s v="Fazakas Áprád - HARCOSOK KLUBJA" u="1"/>
        <s v="Antal Ákos - Spirit SE." u="1"/>
        <s v="Semsey Marcell - BHMSE" u="1"/>
        <s v="Gál Márk - BHMSE" u="1"/>
        <s v="Raisz Attila - BHMSE" u="1"/>
        <s v="Horváth Milán Noel - BHMSE" u="1"/>
        <s v="Benkő Sára - Ippon KKSE" u="1"/>
        <s v="Lukács Kamilla - BHMSE" u="1"/>
        <s v="Nyisztor Lea - TADASHII " u="1"/>
        <s v="Éles Léna - BHMSE" u="1"/>
        <s v="Szél Dominika - KyoDabas SE." u="1"/>
        <s v="Kiss Aliz - Renmei se " u="1"/>
        <s v="Németh-Lakos Zolna - Kamikaze S" u="1"/>
        <s v="Sümegh Anna - Renmei se " u="1"/>
        <s v="Bükkösdi Martin - Bushido Kaposvár" u="1"/>
        <s v="Keller Krisztián - Bushido Kaposvár" u="1"/>
        <s v="Szürös Dominik István - UDSE" u="1"/>
        <s v="Novák Péter - VKKKK SE" u="1"/>
        <s v="Hámori Csongor  - Kapuvári SE" u="1"/>
        <s v="Vati András - Bushido Kaposvár" u="1"/>
        <s v="Keszte Julia - Kapuvári SE" u="1"/>
        <s v="Csurgai Anna - POWER SE." u="1"/>
        <s v="Kiss Benigna - ARSC" u="1"/>
        <s v="Balla Adrián - Délegyházi Karate SE" u="1"/>
        <s v="Sörös Dániel - KHSE" u="1"/>
        <s v="Kozma Ákos - Shogun" u="1"/>
        <s v="Tóth Ákos Krisztián - Shogun" u="1"/>
        <s v="Jaczina Zsombor - Bátor KSE" u="1"/>
        <s v="Kis Zoltán János  - Derecske BUDO" u="1"/>
        <s v="Suller Zsófia - MSKKE Tokaj" u="1"/>
        <s v="Fábián Anna - Buke Reikon HRSE" u="1"/>
        <s v="Almási Petra - Shogun" u="1"/>
        <s v="Tóth Máté - Shogun" u="1"/>
        <s v="Nagy Tamás - Shogun" u="1"/>
        <s v="Lakatos Ádám  - KHSE" u="1"/>
        <s v="Nagy Ádám Szabolcs - Samurai SE" u="1"/>
        <s v="El Ali Ádám - Shogun" u="1"/>
        <s v="Kurucz Gergő - Hajdúszoboszló" u="1"/>
        <s v="Reszkető Márk - Shogun" u="1"/>
        <s v="Szathmári Márton - Shogun" u="1"/>
        <s v="Kolonics Anett - Kisvárda KKDOSC" u="1"/>
        <s v="Farkas Eszter - Bendiák Dojo" u="1"/>
        <s v="Lakos Ádám - Victory" u="1"/>
        <s v="Vágó Csongor - Shogun" u="1"/>
        <s v="Jónás Bence - Victory" u="1"/>
        <s v="Kolláth-Pataki Gergely - BHMSE" u="1"/>
        <s v="Vass Balázs Benedek - Shogun" u="1"/>
        <s v="Jónás Bálint - Victory" u="1"/>
        <s v="Hegedűs Anna  - Fight-team" u="1"/>
        <s v="Szabó Lara - Victory" u="1"/>
        <s v="Eiler László Ádám - Victory" u="1"/>
        <s v="Krizsán Miklós - DTKK SE" u="1"/>
        <s v="Szabó Hajnal Csillag - SONGOKU SE" u="1"/>
        <s v="Molnár Ilona - Mátészalkai MTK" u="1"/>
        <s v="Molnár Henrietta - Mátészalkai MTK" u="1"/>
        <s v="Gaál Kolos Botond - Bátor KSE" u="1"/>
        <s v="Görgics Jázmin - Castrum" u="1"/>
        <s v="Csorba Romiró - Bátor KSE" u="1"/>
        <s v="Horváth Richárd - KKE - Spartacus" u="1"/>
        <s v="Csernák Ákos - HARCOSOK KLUBJA" u="1"/>
        <s v="Gémes Dániel  - UDSE" u="1"/>
        <s v="Gál Gergely - BHMSE" u="1"/>
        <s v="Gábor Hunor - Shogun" u="1"/>
        <s v="Görgics Máté - Castrum" u="1"/>
        <s v="Hajdu Levente - Victory" u="1"/>
        <s v="Somoskői Botond Ders - BHMSE" u="1"/>
        <s v="Tóth Zoltán - Derecske BUDO" u="1"/>
        <s v="Lukács Botond - KyoDabas SE." u="1"/>
        <s v="Kun Dániel - Magna Dojo" u="1"/>
        <s v="Balázs Ákos - Shogun" u="1"/>
        <s v="Bukta Erik - Magna Dojo" u="1"/>
        <s v="Kátay Bulcsú - BHMSE" u="1"/>
        <s v="Zsin Zsombor - BHMSE" u="1"/>
        <s v="Soltész Ádám - DTKK SE" u="1"/>
        <s v="Nagy Olivér - KYO Fighter SE" u="1"/>
        <s v="Németh Kristóf - Beledi KÉSZ SE" u="1"/>
        <s v="Karó Zoltán Dániel - Kamikaze S" u="1"/>
        <s v="Ilias Machmutovic - K.O.DOJO" u="1"/>
        <s v="Bessenyei Csongor - Főnix Dojo" u="1"/>
        <s v="Horváth Máté Gergő - Seibukai Kyokushin D" u="1"/>
        <s v="Serfőző Zalán - Castrum" u="1"/>
        <s v="Bíró Bendegúz - Seishin Karate Klub" u="1"/>
        <s v="Sewed Hussein-Hajimirza - K.O.DOJO" u="1"/>
        <s v="Tengelics Márk - Nagy Sándor Dojo" u="1"/>
        <s v="Schmitzberger Akos - ASE Bulldog KKSZCS" u="1"/>
        <s v="Horváth Jana - Rokku KKSE" u="1"/>
        <s v="Lara ®unić - KK Mladost" u="1"/>
        <s v="Ana Greganić - KK Mladost" u="1"/>
        <s v="Arnódi Gréta Bernadette (csapatban) - Kagami" u="1"/>
        <s v="Kollár Nóra (csapatban) - Kagami" u="1"/>
        <s v="Berényi Lujza Beatrix (csapatban) - Kagami" u="1"/>
        <s v="Pósán Fanni - KHSE" u="1"/>
        <s v="Patrik Husta  - KK Mladost" u="1"/>
        <s v="Martin Boąnjak - KK Mladost" u="1"/>
        <s v="Lisztes Barnabás - Shogun" u="1"/>
        <s v="Yaroslav Pankov - KK Mladost" u="1"/>
        <s v="Kajtár Bendegúz - Tora HSE" u="1"/>
        <s v="TRIPON ELENA  - FRKK" u="1"/>
        <s v="Monori Levente Szilárd - POWER SE." u="1"/>
        <s v="Dedis Mario - FRKK" u="1"/>
        <s v="Bársony Botond - KSE Tarján" u="1"/>
        <s v="Ciobanu Rianna - FRKK" u="1"/>
        <s v="Balogh Szimonetta Amanda - Szanyi Dojo" u="1"/>
        <s v="Budur Maia  - FRKK" u="1"/>
        <s v="Szoboszlai Barnabás - Fighter SE - Miskolc" u="1"/>
        <s v="Farkas Róbert - Hajdúszoboszló" u="1"/>
        <s v="Ferenczi Alex - Borza Dojo" u="1"/>
        <s v="Nemes Nikolett - Fighter SE - Miskolc" u="1"/>
        <s v="Arnódi Gréta Bernadette, Kollár Nóra, Berényi Lujza Beatrix - Kagami" u="1"/>
        <s v="nem ismert - Kagami" u="1"/>
        <s v="Béres Ádám - Magna Dojo" u="1"/>
        <s v="Joó Dávid - ASE Bulldog KKSZCS" u="1"/>
        <s v="Gere Boglárka - Castrum" u="1"/>
        <s v="Szücs Marcell - Hajdúszoboszló" u="1"/>
        <s v="Mosbauer Kevin  - KSE Tarján" u="1"/>
        <s v="Roko Tankovic - KK Mladost" u="1"/>
      </sharedItems>
    </cacheField>
    <cacheField name="Szervezet" numFmtId="0">
      <sharedItems containsBlank="1" count="3">
        <s v="1_MKKSZ"/>
        <s v="9_más szervezet"/>
        <m/>
      </sharedItems>
    </cacheField>
    <cacheField name="Egyesület" numFmtId="0">
      <sharedItems containsBlank="1"/>
    </cacheField>
    <cacheField name="korcsoport" numFmtId="0">
      <sharedItems containsBlank="1" count="4">
        <s v="felnőtt"/>
        <s v="utánpótlás"/>
        <m/>
        <s v="felnőtt 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Mátó Katalin" refreshedDate="46176.577712962964" createdVersion="8" refreshedVersion="8" minRefreshableVersion="3" recordCount="1573">
  <cacheSource type="worksheet">
    <worksheetSource ref="K1:R1048576" sheet="database_versenyek2026"/>
  </cacheSource>
  <cacheFields count="8">
    <cacheField name="Egyesület rövidítése" numFmtId="0">
      <sharedItems containsBlank="1" count="114">
        <s v="Victory"/>
        <s v="Ippon KKSE"/>
        <s v="Kisvárda KKDOSC"/>
        <s v="Shogun"/>
        <s v="Főnix Dojo"/>
        <s v="TADASHII "/>
        <s v="Castrum"/>
        <s v="KHSE"/>
        <s v="Seiken STKE"/>
        <s v="Beledi KÉSZ SE"/>
        <s v="Nintai KKSE"/>
        <s v="KyoDabas SE."/>
        <s v="Bendiák Dojo"/>
        <s v="Kamikaze S"/>
        <s v="Nozomu Dojo"/>
        <s v="KSE Tarján"/>
        <s v="Genbu dojo"/>
        <s v="BHMSE"/>
        <s v="Bátor KSE"/>
        <s v="VTSE"/>
        <s v="Griff SE"/>
        <s v="Kagami"/>
        <s v="Siófok KSE"/>
        <s v="Rakurai"/>
        <s v="Nagykátai Bushido SE"/>
        <s v="Katana SE"/>
        <s v="Rokku KKSE"/>
        <s v="Meiyo dojo"/>
        <s v="KKE - Spartacus"/>
        <s v="WARRIORS TEAM"/>
        <s v="Shinkyo SE"/>
        <s v="Pagoda"/>
        <s v="ARSC"/>
        <s v="Ichiro Dojo"/>
        <s v="Cs.S.E."/>
        <s v="Fitt KKSE"/>
        <s v="POWER SE."/>
        <s v="ASE Bulldog KKSZCS"/>
        <s v="RDKKSE"/>
        <s v="Nagy Sándor Dojo"/>
        <s v="Keszth.KKK"/>
        <s v="Goukai KSE"/>
        <s v="Tora HSE"/>
        <s v="IKIGAI DOJO BÖRCS"/>
        <s v="Kihaku SE"/>
        <s v="Kelemen-Team"/>
        <s v="Kemecse SE"/>
        <s v="KYO Fighter SE"/>
        <s v="Hajdúszoboszló"/>
        <s v="Buke Reikon HRSE"/>
        <s v="Keizoku SE"/>
        <s v="Derecske BUDO"/>
        <s v="SONGOKU SE"/>
        <s v="ShinzóDojo"/>
        <s v="Borza Dojo"/>
        <s v="Nyíradonyi KKE"/>
        <s v="Wheelmaker dojo SE"/>
        <s v="Magna Dojo"/>
        <s v="Marcali SKK"/>
        <s v="Délegyházi Karate SE"/>
        <m/>
        <s v="HARCOSOK KLUBJA" u="1"/>
        <s v="Veszprémi Fitt KKSE" u="1"/>
        <s v="HASUNO SE" u="1"/>
        <s v="Samurai SE" u="1"/>
        <s v="Yamato SE" u="1"/>
        <s v="Renmei SE" u="1"/>
        <s v="Seishin Dójó" u="1"/>
        <s v="Karcagi SE" u="1"/>
        <s v="SZBSE" u="1"/>
        <s v="Shinzó Dojo" u="1"/>
        <s v="Fight-team" u="1"/>
        <s v="Samuray KKSE" u="1"/>
        <s v="DTKK SE" u="1"/>
        <s v="Shintai SE" u="1"/>
        <s v="Damashi" u="1"/>
        <s v="Spirit SE." u="1"/>
        <s v="Seibukai Kyokushin D" u="1"/>
        <s v="IKIGAI SE." u="1"/>
        <s v="Seiren Hse" u="1"/>
        <s v="Kiskunhalasi KSzE" u="1"/>
        <s v="MSKKE Tokaj" u="1"/>
        <s v="FRKK " u="1"/>
        <s v="FRKK" u="1"/>
        <s v="C.S BUDOKAI ARAD" u="1"/>
        <s v="Nyirtassi SE" u="1"/>
        <s v="KK MOSLAVINA" u="1"/>
        <s v="kkk Dugo Selo" u="1"/>
        <s v="KKZ" u="1"/>
        <s v="KK Mladost" u="1"/>
        <s v="Seishin Karate Klub" u="1"/>
        <s v="KK AIK" u="1"/>
        <s v="BKKKSZ" u="1"/>
        <s v="Tadashi" u="1"/>
        <s v="Shinz" u="1"/>
        <s v="Fitt SE" u="1"/>
        <s v="Renmei se " u="1"/>
        <s v="Arad" u="1"/>
        <s v="excelt várom még" u="1"/>
        <s v="excelt váro még" u="1"/>
        <s v="Tekeres SK" u="1"/>
        <s v="OKKHE" u="1"/>
        <s v="ESZME" u="1"/>
        <s v="SMAFC" u="1"/>
        <s v="Kiai Dojo " u="1"/>
        <s v="Kapuvári SE" u="1"/>
        <s v="Balatoni Multi S.E. " u="1"/>
        <s v="Bushido Kaposvár" u="1"/>
        <s v="UDSE" u="1"/>
        <s v="VKKKK SE" u="1"/>
        <s v="Mátészalkai MTK" u="1"/>
        <s v="K.O.DOJO" u="1"/>
        <s v="Szanyi Dojo" u="1"/>
        <s v="Fighter SE - Miskolc" u="1"/>
      </sharedItems>
    </cacheField>
    <cacheField name="Ország" numFmtId="0">
      <sharedItems containsBlank="1"/>
    </cacheField>
    <cacheField name="Minősítési pont" numFmtId="3">
      <sharedItems containsString="0" containsBlank="1" containsNumber="1" minValue="0" maxValue="60"/>
    </cacheField>
    <cacheField name="Megjegyzés" numFmtId="0">
      <sharedItems containsBlank="1"/>
    </cacheField>
    <cacheField name="Helyszín" numFmtId="0">
      <sharedItems containsBlank="1"/>
    </cacheField>
    <cacheField name="Dátum" numFmtId="0">
      <sharedItems containsNonDate="0" containsDate="1" containsString="0" containsBlank="1" minDate="2026-02-14T00:00:00" maxDate="2026-05-11T00:00:00"/>
    </cacheField>
    <cacheField name="Név + Egyesület" numFmtId="0">
      <sharedItems containsBlank="1"/>
    </cacheField>
    <cacheField name="Szervezet" numFmtId="0">
      <sharedItems containsBlank="1" count="3">
        <s v="1_MKKSZ"/>
        <s v="9_más szervezet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35">
  <r>
    <x v="0"/>
    <n v="1"/>
  </r>
  <r>
    <x v="0"/>
    <n v="1"/>
  </r>
  <r>
    <x v="1"/>
    <n v="1"/>
  </r>
  <r>
    <x v="1"/>
    <n v="1"/>
  </r>
  <r>
    <x v="1"/>
    <n v="1"/>
  </r>
  <r>
    <x v="2"/>
    <n v="1"/>
  </r>
  <r>
    <x v="2"/>
    <n v="1"/>
  </r>
  <r>
    <x v="2"/>
    <n v="1"/>
  </r>
  <r>
    <x v="2"/>
    <n v="1"/>
  </r>
  <r>
    <x v="3"/>
    <n v="1"/>
  </r>
  <r>
    <x v="3"/>
    <n v="1"/>
  </r>
  <r>
    <x v="3"/>
    <n v="1"/>
  </r>
  <r>
    <x v="4"/>
    <n v="1"/>
  </r>
  <r>
    <x v="4"/>
    <n v="1"/>
  </r>
  <r>
    <x v="4"/>
    <n v="1"/>
  </r>
  <r>
    <x v="5"/>
    <n v="1"/>
  </r>
  <r>
    <x v="5"/>
    <n v="1"/>
  </r>
  <r>
    <x v="5"/>
    <n v="1"/>
  </r>
  <r>
    <x v="5"/>
    <n v="1"/>
  </r>
  <r>
    <x v="6"/>
    <n v="1"/>
  </r>
  <r>
    <x v="6"/>
    <n v="1"/>
  </r>
  <r>
    <x v="7"/>
    <n v="1"/>
  </r>
  <r>
    <x v="7"/>
    <n v="1"/>
  </r>
  <r>
    <x v="7"/>
    <n v="1"/>
  </r>
  <r>
    <x v="8"/>
    <n v="1"/>
  </r>
  <r>
    <x v="8"/>
    <n v="1"/>
  </r>
  <r>
    <x v="8"/>
    <n v="1"/>
  </r>
  <r>
    <x v="9"/>
    <n v="1"/>
  </r>
  <r>
    <x v="9"/>
    <n v="1"/>
  </r>
  <r>
    <x v="9"/>
    <n v="1"/>
  </r>
  <r>
    <x v="10"/>
    <n v="1"/>
  </r>
  <r>
    <x v="10"/>
    <n v="1"/>
  </r>
  <r>
    <x v="10"/>
    <n v="1"/>
  </r>
  <r>
    <x v="10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3"/>
    <n v="1"/>
  </r>
  <r>
    <x v="13"/>
    <n v="1"/>
  </r>
  <r>
    <x v="13"/>
    <n v="1"/>
  </r>
  <r>
    <x v="13"/>
    <n v="1"/>
  </r>
  <r>
    <x v="14"/>
    <n v="1"/>
  </r>
  <r>
    <x v="14"/>
    <n v="1"/>
  </r>
  <r>
    <x v="14"/>
    <n v="1"/>
  </r>
  <r>
    <x v="14"/>
    <n v="1"/>
  </r>
  <r>
    <x v="15"/>
    <n v="1"/>
  </r>
  <r>
    <x v="15"/>
    <n v="1"/>
  </r>
  <r>
    <x v="15"/>
    <n v="1"/>
  </r>
  <r>
    <x v="15"/>
    <n v="1"/>
  </r>
  <r>
    <x v="16"/>
    <n v="1"/>
  </r>
  <r>
    <x v="16"/>
    <n v="1"/>
  </r>
  <r>
    <x v="16"/>
    <n v="1"/>
  </r>
  <r>
    <x v="16"/>
    <n v="1"/>
  </r>
  <r>
    <x v="17"/>
    <n v="1"/>
  </r>
  <r>
    <x v="17"/>
    <n v="1"/>
  </r>
  <r>
    <x v="18"/>
    <n v="1"/>
  </r>
  <r>
    <x v="18"/>
    <n v="1"/>
  </r>
  <r>
    <x v="18"/>
    <n v="1"/>
  </r>
  <r>
    <x v="19"/>
    <n v="1"/>
  </r>
  <r>
    <x v="19"/>
    <n v="1"/>
  </r>
  <r>
    <x v="20"/>
    <n v="1"/>
  </r>
  <r>
    <x v="20"/>
    <n v="1"/>
  </r>
  <r>
    <x v="20"/>
    <n v="1"/>
  </r>
  <r>
    <x v="21"/>
    <n v="1"/>
  </r>
  <r>
    <x v="21"/>
    <n v="1"/>
  </r>
  <r>
    <x v="22"/>
    <n v="1"/>
  </r>
  <r>
    <x v="22"/>
    <n v="1"/>
  </r>
  <r>
    <x v="22"/>
    <n v="1"/>
  </r>
  <r>
    <x v="23"/>
    <n v="1"/>
  </r>
  <r>
    <x v="23"/>
    <n v="1"/>
  </r>
  <r>
    <x v="23"/>
    <n v="1"/>
  </r>
  <r>
    <x v="24"/>
    <n v="1"/>
  </r>
  <r>
    <x v="24"/>
    <n v="1"/>
  </r>
  <r>
    <x v="24"/>
    <n v="1"/>
  </r>
  <r>
    <x v="24"/>
    <n v="1"/>
  </r>
  <r>
    <x v="24"/>
    <n v="1"/>
  </r>
  <r>
    <x v="24"/>
    <n v="1"/>
  </r>
  <r>
    <x v="25"/>
    <n v="1"/>
  </r>
  <r>
    <x v="25"/>
    <n v="1"/>
  </r>
  <r>
    <x v="25"/>
    <n v="1"/>
  </r>
  <r>
    <x v="25"/>
    <n v="1"/>
  </r>
  <r>
    <x v="25"/>
    <n v="1"/>
  </r>
  <r>
    <x v="25"/>
    <n v="1"/>
  </r>
  <r>
    <x v="25"/>
    <n v="1"/>
  </r>
  <r>
    <x v="25"/>
    <n v="1"/>
  </r>
  <r>
    <x v="26"/>
    <n v="1"/>
  </r>
  <r>
    <x v="26"/>
    <n v="1"/>
  </r>
  <r>
    <x v="26"/>
    <n v="1"/>
  </r>
  <r>
    <x v="26"/>
    <n v="1"/>
  </r>
  <r>
    <x v="26"/>
    <n v="1"/>
  </r>
  <r>
    <x v="26"/>
    <n v="1"/>
  </r>
  <r>
    <x v="26"/>
    <n v="1"/>
  </r>
  <r>
    <x v="26"/>
    <n v="1"/>
  </r>
  <r>
    <x v="27"/>
    <n v="1"/>
  </r>
  <r>
    <x v="27"/>
    <n v="1"/>
  </r>
  <r>
    <x v="27"/>
    <n v="1"/>
  </r>
  <r>
    <x v="27"/>
    <n v="1"/>
  </r>
  <r>
    <x v="28"/>
    <n v="1"/>
  </r>
  <r>
    <x v="28"/>
    <n v="1"/>
  </r>
  <r>
    <x v="28"/>
    <n v="1"/>
  </r>
  <r>
    <x v="28"/>
    <n v="1"/>
  </r>
  <r>
    <x v="29"/>
    <n v="1"/>
  </r>
  <r>
    <x v="29"/>
    <n v="1"/>
  </r>
  <r>
    <x v="29"/>
    <n v="1"/>
  </r>
  <r>
    <x v="29"/>
    <n v="1"/>
  </r>
  <r>
    <x v="29"/>
    <n v="1"/>
  </r>
  <r>
    <x v="29"/>
    <n v="1"/>
  </r>
  <r>
    <x v="30"/>
    <n v="1"/>
  </r>
  <r>
    <x v="30"/>
    <n v="1"/>
  </r>
  <r>
    <x v="30"/>
    <n v="1"/>
  </r>
  <r>
    <x v="30"/>
    <n v="1"/>
  </r>
  <r>
    <x v="30"/>
    <n v="1"/>
  </r>
  <r>
    <x v="31"/>
    <n v="1"/>
  </r>
  <r>
    <x v="31"/>
    <n v="1"/>
  </r>
  <r>
    <x v="32"/>
    <n v="1"/>
  </r>
  <r>
    <x v="32"/>
    <n v="1"/>
  </r>
  <r>
    <x v="33"/>
    <n v="1"/>
  </r>
  <r>
    <x v="33"/>
    <n v="1"/>
  </r>
  <r>
    <x v="33"/>
    <n v="1"/>
  </r>
  <r>
    <x v="34"/>
    <n v="1"/>
  </r>
  <r>
    <x v="34"/>
    <n v="1"/>
  </r>
  <r>
    <x v="34"/>
    <n v="1"/>
  </r>
  <r>
    <x v="34"/>
    <n v="1"/>
  </r>
  <r>
    <x v="34"/>
    <n v="1"/>
  </r>
  <r>
    <x v="34"/>
    <n v="1"/>
  </r>
  <r>
    <x v="35"/>
    <n v="1"/>
  </r>
  <r>
    <x v="35"/>
    <n v="1"/>
  </r>
  <r>
    <x v="35"/>
    <n v="1"/>
  </r>
  <r>
    <x v="35"/>
    <n v="1"/>
  </r>
  <r>
    <x v="35"/>
    <n v="1"/>
  </r>
  <r>
    <x v="36"/>
    <n v="1"/>
  </r>
  <r>
    <x v="36"/>
    <n v="1"/>
  </r>
  <r>
    <x v="36"/>
    <n v="1"/>
  </r>
  <r>
    <x v="36"/>
    <n v="1"/>
  </r>
  <r>
    <x v="37"/>
    <n v="1"/>
  </r>
  <r>
    <x v="37"/>
    <n v="1"/>
  </r>
  <r>
    <x v="37"/>
    <n v="1"/>
  </r>
  <r>
    <x v="38"/>
    <n v="1"/>
  </r>
  <r>
    <x v="38"/>
    <n v="1"/>
  </r>
  <r>
    <x v="38"/>
    <n v="1"/>
  </r>
  <r>
    <x v="38"/>
    <n v="1"/>
  </r>
  <r>
    <x v="39"/>
    <n v="1"/>
  </r>
  <r>
    <x v="39"/>
    <n v="1"/>
  </r>
  <r>
    <x v="39"/>
    <n v="1"/>
  </r>
  <r>
    <x v="39"/>
    <n v="1"/>
  </r>
  <r>
    <x v="39"/>
    <n v="1"/>
  </r>
  <r>
    <x v="40"/>
    <n v="1"/>
  </r>
  <r>
    <x v="40"/>
    <n v="1"/>
  </r>
  <r>
    <x v="40"/>
    <n v="1"/>
  </r>
  <r>
    <x v="40"/>
    <n v="1"/>
  </r>
  <r>
    <x v="41"/>
    <n v="1"/>
  </r>
  <r>
    <x v="41"/>
    <n v="1"/>
  </r>
  <r>
    <x v="42"/>
    <n v="1"/>
  </r>
  <r>
    <x v="42"/>
    <n v="1"/>
  </r>
  <r>
    <x v="42"/>
    <n v="1"/>
  </r>
  <r>
    <x v="42"/>
    <n v="1"/>
  </r>
  <r>
    <x v="43"/>
    <n v="1"/>
  </r>
  <r>
    <x v="43"/>
    <n v="1"/>
  </r>
  <r>
    <x v="43"/>
    <n v="1"/>
  </r>
  <r>
    <x v="43"/>
    <n v="1"/>
  </r>
  <r>
    <x v="43"/>
    <n v="1"/>
  </r>
  <r>
    <x v="44"/>
    <n v="1"/>
  </r>
  <r>
    <x v="44"/>
    <n v="1"/>
  </r>
  <r>
    <x v="44"/>
    <n v="1"/>
  </r>
  <r>
    <x v="44"/>
    <n v="1"/>
  </r>
  <r>
    <x v="44"/>
    <n v="1"/>
  </r>
  <r>
    <x v="44"/>
    <n v="1"/>
  </r>
  <r>
    <x v="45"/>
    <n v="1"/>
  </r>
  <r>
    <x v="45"/>
    <n v="1"/>
  </r>
  <r>
    <x v="45"/>
    <n v="1"/>
  </r>
  <r>
    <x v="46"/>
    <n v="1"/>
  </r>
  <r>
    <x v="46"/>
    <n v="1"/>
  </r>
  <r>
    <x v="46"/>
    <n v="1"/>
  </r>
  <r>
    <x v="47"/>
    <n v="1"/>
  </r>
  <r>
    <x v="47"/>
    <n v="1"/>
  </r>
  <r>
    <x v="48"/>
    <n v="1"/>
  </r>
  <r>
    <x v="48"/>
    <n v="1"/>
  </r>
  <r>
    <x v="48"/>
    <n v="1"/>
  </r>
  <r>
    <x v="48"/>
    <n v="1"/>
  </r>
  <r>
    <x v="48"/>
    <n v="1"/>
  </r>
  <r>
    <x v="48"/>
    <n v="1"/>
  </r>
  <r>
    <x v="49"/>
    <n v="1"/>
  </r>
  <r>
    <x v="49"/>
    <n v="1"/>
  </r>
  <r>
    <x v="49"/>
    <n v="1"/>
  </r>
  <r>
    <x v="50"/>
    <n v="1"/>
  </r>
  <r>
    <x v="50"/>
    <n v="1"/>
  </r>
  <r>
    <x v="50"/>
    <n v="1"/>
  </r>
  <r>
    <x v="51"/>
    <n v="1"/>
  </r>
  <r>
    <x v="51"/>
    <n v="1"/>
  </r>
  <r>
    <x v="51"/>
    <n v="1"/>
  </r>
  <r>
    <x v="51"/>
    <n v="1"/>
  </r>
  <r>
    <x v="51"/>
    <n v="1"/>
  </r>
  <r>
    <x v="52"/>
    <n v="1"/>
  </r>
  <r>
    <x v="52"/>
    <n v="1"/>
  </r>
  <r>
    <x v="52"/>
    <n v="1"/>
  </r>
  <r>
    <x v="53"/>
    <n v="1"/>
  </r>
  <r>
    <x v="53"/>
    <n v="1"/>
  </r>
  <r>
    <x v="53"/>
    <n v="1"/>
  </r>
  <r>
    <x v="53"/>
    <n v="1"/>
  </r>
  <r>
    <x v="54"/>
    <n v="1"/>
  </r>
  <r>
    <x v="54"/>
    <n v="1"/>
  </r>
  <r>
    <x v="54"/>
    <n v="1"/>
  </r>
  <r>
    <x v="55"/>
    <n v="1"/>
  </r>
  <r>
    <x v="55"/>
    <n v="1"/>
  </r>
  <r>
    <x v="55"/>
    <n v="1"/>
  </r>
  <r>
    <x v="56"/>
    <n v="1"/>
  </r>
  <r>
    <x v="56"/>
    <n v="1"/>
  </r>
  <r>
    <x v="56"/>
    <n v="1"/>
  </r>
  <r>
    <x v="57"/>
    <n v="1"/>
  </r>
  <r>
    <x v="57"/>
    <n v="1"/>
  </r>
  <r>
    <x v="57"/>
    <n v="1"/>
  </r>
  <r>
    <x v="58"/>
    <n v="1"/>
  </r>
  <r>
    <x v="58"/>
    <n v="1"/>
  </r>
  <r>
    <x v="58"/>
    <n v="1"/>
  </r>
  <r>
    <x v="59"/>
    <n v="1"/>
  </r>
  <r>
    <x v="59"/>
    <n v="1"/>
  </r>
  <r>
    <x v="59"/>
    <n v="1"/>
  </r>
  <r>
    <x v="60"/>
    <n v="1"/>
  </r>
  <r>
    <x v="60"/>
    <n v="1"/>
  </r>
  <r>
    <x v="60"/>
    <n v="1"/>
  </r>
  <r>
    <x v="61"/>
    <n v="1"/>
  </r>
  <r>
    <x v="61"/>
    <n v="1"/>
  </r>
  <r>
    <x v="61"/>
    <n v="1"/>
  </r>
  <r>
    <x v="61"/>
    <n v="1"/>
  </r>
  <r>
    <x v="62"/>
    <n v="1"/>
  </r>
  <r>
    <x v="62"/>
    <n v="1"/>
  </r>
  <r>
    <x v="62"/>
    <n v="1"/>
  </r>
  <r>
    <x v="63"/>
    <n v="1"/>
  </r>
  <r>
    <x v="63"/>
    <n v="1"/>
  </r>
  <r>
    <x v="63"/>
    <n v="1"/>
  </r>
  <r>
    <x v="64"/>
    <n v="1"/>
  </r>
  <r>
    <x v="64"/>
    <n v="1"/>
  </r>
  <r>
    <x v="64"/>
    <n v="1"/>
  </r>
  <r>
    <x v="65"/>
    <n v="1"/>
  </r>
  <r>
    <x v="65"/>
    <n v="1"/>
  </r>
  <r>
    <x v="65"/>
    <n v="1"/>
  </r>
  <r>
    <x v="66"/>
    <n v="1"/>
  </r>
  <r>
    <x v="66"/>
    <n v="1"/>
  </r>
  <r>
    <x v="67"/>
    <n v="1"/>
  </r>
  <r>
    <x v="67"/>
    <n v="1"/>
  </r>
  <r>
    <x v="68"/>
    <n v="1"/>
  </r>
  <r>
    <x v="68"/>
    <n v="1"/>
  </r>
  <r>
    <x v="68"/>
    <n v="1"/>
  </r>
  <r>
    <x v="68"/>
    <n v="1"/>
  </r>
  <r>
    <x v="13"/>
    <n v="1"/>
  </r>
  <r>
    <x v="13"/>
    <n v="1"/>
  </r>
  <r>
    <x v="13"/>
    <n v="1"/>
  </r>
  <r>
    <x v="15"/>
    <n v="1"/>
  </r>
  <r>
    <x v="15"/>
    <n v="1"/>
  </r>
  <r>
    <x v="15"/>
    <n v="1"/>
  </r>
  <r>
    <x v="16"/>
    <n v="1"/>
  </r>
  <r>
    <x v="16"/>
    <n v="1"/>
  </r>
  <r>
    <x v="17"/>
    <n v="1"/>
  </r>
  <r>
    <x v="17"/>
    <n v="1"/>
  </r>
  <r>
    <x v="17"/>
    <n v="1"/>
  </r>
  <r>
    <x v="24"/>
    <n v="1"/>
  </r>
  <r>
    <x v="24"/>
    <n v="1"/>
  </r>
  <r>
    <x v="20"/>
    <n v="1"/>
  </r>
  <r>
    <x v="20"/>
    <n v="1"/>
  </r>
  <r>
    <x v="20"/>
    <n v="1"/>
  </r>
  <r>
    <x v="23"/>
    <n v="1"/>
  </r>
  <r>
    <x v="23"/>
    <n v="1"/>
  </r>
  <r>
    <x v="23"/>
    <n v="1"/>
  </r>
  <r>
    <x v="25"/>
    <n v="1"/>
  </r>
  <r>
    <x v="25"/>
    <n v="1"/>
  </r>
  <r>
    <x v="25"/>
    <n v="1"/>
  </r>
  <r>
    <x v="16"/>
    <n v="1"/>
  </r>
  <r>
    <x v="25"/>
    <n v="1"/>
  </r>
  <r>
    <x v="26"/>
    <n v="1"/>
  </r>
  <r>
    <x v="26"/>
    <n v="1"/>
  </r>
  <r>
    <x v="26"/>
    <n v="1"/>
  </r>
  <r>
    <x v="26"/>
    <n v="1"/>
  </r>
  <r>
    <x v="27"/>
    <n v="1"/>
  </r>
  <r>
    <x v="27"/>
    <n v="1"/>
  </r>
  <r>
    <x v="27"/>
    <n v="1"/>
  </r>
  <r>
    <x v="28"/>
    <n v="1"/>
  </r>
  <r>
    <x v="28"/>
    <n v="1"/>
  </r>
  <r>
    <x v="28"/>
    <n v="1"/>
  </r>
  <r>
    <x v="28"/>
    <n v="1"/>
  </r>
  <r>
    <x v="28"/>
    <n v="1"/>
  </r>
  <r>
    <x v="29"/>
    <n v="1"/>
  </r>
  <r>
    <x v="29"/>
    <n v="1"/>
  </r>
  <r>
    <x v="29"/>
    <n v="1"/>
  </r>
  <r>
    <x v="29"/>
    <n v="1"/>
  </r>
  <r>
    <x v="29"/>
    <n v="1"/>
  </r>
  <r>
    <x v="29"/>
    <n v="1"/>
  </r>
  <r>
    <x v="30"/>
    <n v="1"/>
  </r>
  <r>
    <x v="30"/>
    <n v="1"/>
  </r>
  <r>
    <x v="30"/>
    <n v="1"/>
  </r>
  <r>
    <x v="31"/>
    <n v="1"/>
  </r>
  <r>
    <x v="31"/>
    <n v="1"/>
  </r>
  <r>
    <x v="31"/>
    <n v="1"/>
  </r>
  <r>
    <x v="32"/>
    <n v="1"/>
  </r>
  <r>
    <x v="32"/>
    <n v="1"/>
  </r>
  <r>
    <x v="32"/>
    <n v="1"/>
  </r>
  <r>
    <x v="33"/>
    <n v="1"/>
  </r>
  <r>
    <x v="33"/>
    <n v="1"/>
  </r>
  <r>
    <x v="33"/>
    <n v="1"/>
  </r>
  <r>
    <x v="33"/>
    <n v="1"/>
  </r>
  <r>
    <x v="34"/>
    <n v="1"/>
  </r>
  <r>
    <x v="34"/>
    <n v="1"/>
  </r>
  <r>
    <x v="34"/>
    <n v="1"/>
  </r>
  <r>
    <x v="34"/>
    <n v="1"/>
  </r>
  <r>
    <x v="34"/>
    <n v="1"/>
  </r>
  <r>
    <x v="35"/>
    <n v="1"/>
  </r>
  <r>
    <x v="35"/>
    <n v="1"/>
  </r>
  <r>
    <x v="35"/>
    <n v="1"/>
  </r>
  <r>
    <x v="35"/>
    <n v="1"/>
  </r>
  <r>
    <x v="36"/>
    <n v="1"/>
  </r>
  <r>
    <x v="36"/>
    <n v="1"/>
  </r>
  <r>
    <x v="36"/>
    <n v="1"/>
  </r>
  <r>
    <x v="36"/>
    <n v="1"/>
  </r>
  <r>
    <x v="37"/>
    <n v="1"/>
  </r>
  <r>
    <x v="37"/>
    <n v="1"/>
  </r>
  <r>
    <x v="37"/>
    <n v="1"/>
  </r>
  <r>
    <x v="38"/>
    <n v="1"/>
  </r>
  <r>
    <x v="38"/>
    <n v="1"/>
  </r>
  <r>
    <x v="38"/>
    <n v="1"/>
  </r>
  <r>
    <x v="38"/>
    <n v="1"/>
  </r>
  <r>
    <x v="38"/>
    <n v="1"/>
  </r>
  <r>
    <x v="39"/>
    <n v="1"/>
  </r>
  <r>
    <x v="39"/>
    <n v="1"/>
  </r>
  <r>
    <x v="39"/>
    <n v="1"/>
  </r>
  <r>
    <x v="39"/>
    <n v="1"/>
  </r>
  <r>
    <x v="39"/>
    <n v="1"/>
  </r>
  <r>
    <x v="39"/>
    <n v="1"/>
  </r>
  <r>
    <x v="40"/>
    <n v="1"/>
  </r>
  <r>
    <x v="40"/>
    <n v="1"/>
  </r>
  <r>
    <x v="41"/>
    <n v="1"/>
  </r>
  <r>
    <x v="41"/>
    <n v="1"/>
  </r>
  <r>
    <x v="41"/>
    <n v="1"/>
  </r>
  <r>
    <x v="41"/>
    <n v="1"/>
  </r>
  <r>
    <x v="43"/>
    <n v="1"/>
  </r>
  <r>
    <x v="43"/>
    <n v="1"/>
  </r>
  <r>
    <x v="43"/>
    <n v="1"/>
  </r>
  <r>
    <x v="43"/>
    <n v="1"/>
  </r>
  <r>
    <x v="43"/>
    <n v="1"/>
  </r>
  <r>
    <x v="44"/>
    <n v="1"/>
  </r>
  <r>
    <x v="44"/>
    <n v="1"/>
  </r>
  <r>
    <x v="44"/>
    <n v="1"/>
  </r>
  <r>
    <x v="44"/>
    <n v="1"/>
  </r>
  <r>
    <x v="45"/>
    <n v="1"/>
  </r>
  <r>
    <x v="45"/>
    <n v="1"/>
  </r>
  <r>
    <x v="45"/>
    <n v="1"/>
  </r>
  <r>
    <x v="45"/>
    <n v="1"/>
  </r>
  <r>
    <x v="46"/>
    <n v="1"/>
  </r>
  <r>
    <x v="46"/>
    <n v="1"/>
  </r>
  <r>
    <x v="46"/>
    <n v="1"/>
  </r>
  <r>
    <x v="47"/>
    <n v="1"/>
  </r>
  <r>
    <x v="47"/>
    <n v="1"/>
  </r>
  <r>
    <x v="47"/>
    <n v="1"/>
  </r>
  <r>
    <x v="47"/>
    <n v="1"/>
  </r>
  <r>
    <x v="48"/>
    <n v="1"/>
  </r>
  <r>
    <x v="48"/>
    <n v="1"/>
  </r>
  <r>
    <x v="48"/>
    <n v="1"/>
  </r>
  <r>
    <x v="48"/>
    <n v="1"/>
  </r>
  <r>
    <x v="49"/>
    <n v="1"/>
  </r>
  <r>
    <x v="49"/>
    <n v="1"/>
  </r>
  <r>
    <x v="49"/>
    <n v="1"/>
  </r>
  <r>
    <x v="50"/>
    <n v="1"/>
  </r>
  <r>
    <x v="50"/>
    <n v="1"/>
  </r>
  <r>
    <x v="50"/>
    <n v="1"/>
  </r>
  <r>
    <x v="51"/>
    <n v="1"/>
  </r>
  <r>
    <x v="51"/>
    <n v="1"/>
  </r>
  <r>
    <x v="51"/>
    <n v="1"/>
  </r>
  <r>
    <x v="51"/>
    <n v="1"/>
  </r>
  <r>
    <x v="51"/>
    <n v="1"/>
  </r>
  <r>
    <x v="51"/>
    <n v="1"/>
  </r>
  <r>
    <x v="53"/>
    <n v="1"/>
  </r>
  <r>
    <x v="53"/>
    <n v="1"/>
  </r>
  <r>
    <x v="53"/>
    <n v="1"/>
  </r>
  <r>
    <x v="54"/>
    <n v="1"/>
  </r>
  <r>
    <x v="54"/>
    <n v="1"/>
  </r>
  <r>
    <x v="54"/>
    <n v="1"/>
  </r>
  <r>
    <x v="67"/>
    <n v="1"/>
  </r>
  <r>
    <x v="67"/>
    <n v="1"/>
  </r>
  <r>
    <x v="67"/>
    <n v="1"/>
  </r>
  <r>
    <x v="56"/>
    <n v="1"/>
  </r>
  <r>
    <x v="56"/>
    <n v="1"/>
  </r>
  <r>
    <x v="56"/>
    <n v="1"/>
  </r>
  <r>
    <x v="56"/>
    <n v="1"/>
  </r>
  <r>
    <x v="57"/>
    <n v="1"/>
  </r>
  <r>
    <x v="57"/>
    <n v="1"/>
  </r>
  <r>
    <x v="57"/>
    <n v="1"/>
  </r>
  <r>
    <x v="59"/>
    <n v="1"/>
  </r>
  <r>
    <x v="59"/>
    <n v="1"/>
  </r>
  <r>
    <x v="59"/>
    <n v="1"/>
  </r>
  <r>
    <x v="69"/>
    <n v="1"/>
  </r>
  <r>
    <x v="69"/>
    <n v="1"/>
  </r>
  <r>
    <x v="69"/>
    <n v="1"/>
  </r>
  <r>
    <x v="60"/>
    <n v="1"/>
  </r>
  <r>
    <x v="60"/>
    <n v="1"/>
  </r>
  <r>
    <x v="60"/>
    <n v="1"/>
  </r>
  <r>
    <x v="70"/>
    <n v="1"/>
  </r>
  <r>
    <x v="70"/>
    <n v="1"/>
  </r>
  <r>
    <x v="70"/>
    <n v="1"/>
  </r>
  <r>
    <x v="70"/>
    <n v="1"/>
  </r>
  <r>
    <x v="61"/>
    <n v="1"/>
  </r>
  <r>
    <x v="61"/>
    <n v="1"/>
  </r>
  <r>
    <x v="61"/>
    <n v="1"/>
  </r>
  <r>
    <x v="62"/>
    <n v="1"/>
  </r>
  <r>
    <x v="62"/>
    <n v="1"/>
  </r>
  <r>
    <x v="62"/>
    <n v="1"/>
  </r>
  <r>
    <x v="62"/>
    <n v="1"/>
  </r>
  <r>
    <x v="63"/>
    <n v="1"/>
  </r>
  <r>
    <x v="63"/>
    <n v="1"/>
  </r>
  <r>
    <x v="65"/>
    <n v="1"/>
  </r>
  <r>
    <x v="65"/>
    <n v="1"/>
  </r>
  <r>
    <x v="65"/>
    <n v="1"/>
  </r>
  <r>
    <x v="65"/>
    <n v="1"/>
  </r>
  <r>
    <x v="66"/>
    <n v="1"/>
  </r>
  <r>
    <x v="66"/>
    <n v="1"/>
  </r>
  <r>
    <x v="66"/>
    <n v="1"/>
  </r>
  <r>
    <x v="67"/>
    <n v="1"/>
  </r>
  <r>
    <x v="67"/>
    <n v="1"/>
  </r>
  <r>
    <x v="67"/>
    <n v="1"/>
  </r>
  <r>
    <x v="68"/>
    <n v="1"/>
  </r>
  <r>
    <x v="68"/>
    <n v="1"/>
  </r>
  <r>
    <x v="68"/>
    <n v="1"/>
  </r>
  <r>
    <x v="68"/>
    <n v="1"/>
  </r>
  <r>
    <x v="13"/>
    <n v="1"/>
  </r>
  <r>
    <x v="13"/>
    <n v="1"/>
  </r>
  <r>
    <x v="15"/>
    <n v="1"/>
  </r>
  <r>
    <x v="15"/>
    <n v="1"/>
  </r>
  <r>
    <x v="15"/>
    <n v="1"/>
  </r>
  <r>
    <x v="24"/>
    <n v="1"/>
  </r>
  <r>
    <x v="24"/>
    <n v="1"/>
  </r>
  <r>
    <x v="24"/>
    <n v="1"/>
  </r>
  <r>
    <x v="20"/>
    <n v="1"/>
  </r>
  <r>
    <x v="20"/>
    <n v="1"/>
  </r>
  <r>
    <x v="20"/>
    <n v="1"/>
  </r>
  <r>
    <x v="23"/>
    <n v="1"/>
  </r>
  <r>
    <x v="23"/>
    <n v="1"/>
  </r>
  <r>
    <x v="25"/>
    <n v="1"/>
  </r>
  <r>
    <x v="25"/>
    <n v="1"/>
  </r>
  <r>
    <x v="25"/>
    <n v="1"/>
  </r>
  <r>
    <x v="25"/>
    <n v="1"/>
  </r>
  <r>
    <x v="13"/>
    <n v="1"/>
  </r>
  <r>
    <x v="24"/>
    <n v="1"/>
  </r>
  <r>
    <x v="23"/>
    <n v="1"/>
  </r>
  <r>
    <x v="71"/>
    <n v="1"/>
  </r>
  <r>
    <x v="71"/>
    <n v="1"/>
  </r>
  <r>
    <x v="71"/>
    <n v="1"/>
  </r>
  <r>
    <x v="71"/>
    <n v="1"/>
  </r>
  <r>
    <x v="71"/>
    <n v="1"/>
  </r>
  <r>
    <x v="26"/>
    <n v="1"/>
  </r>
  <r>
    <x v="26"/>
    <n v="1"/>
  </r>
  <r>
    <x v="26"/>
    <n v="1"/>
  </r>
  <r>
    <x v="26"/>
    <n v="1"/>
  </r>
  <r>
    <x v="28"/>
    <n v="1"/>
  </r>
  <r>
    <x v="28"/>
    <n v="1"/>
  </r>
  <r>
    <x v="28"/>
    <n v="1"/>
  </r>
  <r>
    <x v="28"/>
    <n v="1"/>
  </r>
  <r>
    <x v="28"/>
    <n v="1"/>
  </r>
  <r>
    <x v="28"/>
    <n v="1"/>
  </r>
  <r>
    <x v="28"/>
    <n v="1"/>
  </r>
  <r>
    <x v="27"/>
    <n v="1"/>
  </r>
  <r>
    <x v="27"/>
    <n v="1"/>
  </r>
  <r>
    <x v="27"/>
    <n v="1"/>
  </r>
  <r>
    <x v="27"/>
    <n v="1"/>
  </r>
  <r>
    <x v="27"/>
    <n v="1"/>
  </r>
  <r>
    <x v="27"/>
    <n v="1"/>
  </r>
  <r>
    <x v="27"/>
    <n v="1"/>
  </r>
  <r>
    <x v="27"/>
    <n v="1"/>
  </r>
  <r>
    <x v="29"/>
    <n v="1"/>
  </r>
  <r>
    <x v="29"/>
    <n v="1"/>
  </r>
  <r>
    <x v="29"/>
    <n v="1"/>
  </r>
  <r>
    <x v="29"/>
    <n v="1"/>
  </r>
  <r>
    <x v="29"/>
    <n v="1"/>
  </r>
  <r>
    <x v="29"/>
    <n v="1"/>
  </r>
  <r>
    <x v="29"/>
    <n v="1"/>
  </r>
  <r>
    <x v="29"/>
    <n v="1"/>
  </r>
  <r>
    <x v="30"/>
    <n v="1"/>
  </r>
  <r>
    <x v="30"/>
    <n v="1"/>
  </r>
  <r>
    <x v="30"/>
    <n v="1"/>
  </r>
  <r>
    <x v="30"/>
    <n v="1"/>
  </r>
  <r>
    <x v="30"/>
    <n v="1"/>
  </r>
  <r>
    <x v="30"/>
    <n v="1"/>
  </r>
  <r>
    <x v="31"/>
    <n v="1"/>
  </r>
  <r>
    <x v="31"/>
    <n v="1"/>
  </r>
  <r>
    <x v="31"/>
    <n v="1"/>
  </r>
  <r>
    <x v="31"/>
    <n v="1"/>
  </r>
  <r>
    <x v="32"/>
    <n v="1"/>
  </r>
  <r>
    <x v="32"/>
    <n v="1"/>
  </r>
  <r>
    <x v="32"/>
    <n v="1"/>
  </r>
  <r>
    <x v="32"/>
    <n v="1"/>
  </r>
  <r>
    <x v="33"/>
    <n v="1"/>
  </r>
  <r>
    <x v="33"/>
    <n v="1"/>
  </r>
  <r>
    <x v="33"/>
    <n v="1"/>
  </r>
  <r>
    <x v="33"/>
    <n v="1"/>
  </r>
  <r>
    <x v="33"/>
    <n v="1"/>
  </r>
  <r>
    <x v="72"/>
    <n v="1"/>
  </r>
  <r>
    <x v="72"/>
    <n v="1"/>
  </r>
  <r>
    <x v="72"/>
    <n v="1"/>
  </r>
  <r>
    <x v="72"/>
    <n v="1"/>
  </r>
  <r>
    <x v="72"/>
    <n v="1"/>
  </r>
  <r>
    <x v="34"/>
    <n v="1"/>
  </r>
  <r>
    <x v="34"/>
    <n v="1"/>
  </r>
  <r>
    <x v="34"/>
    <n v="1"/>
  </r>
  <r>
    <x v="34"/>
    <n v="1"/>
  </r>
  <r>
    <x v="35"/>
    <n v="1"/>
  </r>
  <r>
    <x v="35"/>
    <n v="1"/>
  </r>
  <r>
    <x v="35"/>
    <n v="1"/>
  </r>
  <r>
    <x v="35"/>
    <n v="1"/>
  </r>
  <r>
    <x v="35"/>
    <n v="1"/>
  </r>
  <r>
    <x v="35"/>
    <n v="1"/>
  </r>
  <r>
    <x v="35"/>
    <n v="1"/>
  </r>
  <r>
    <x v="35"/>
    <n v="1"/>
  </r>
  <r>
    <x v="36"/>
    <n v="1"/>
  </r>
  <r>
    <x v="36"/>
    <n v="1"/>
  </r>
  <r>
    <x v="36"/>
    <n v="1"/>
  </r>
  <r>
    <x v="36"/>
    <n v="1"/>
  </r>
  <r>
    <x v="36"/>
    <n v="1"/>
  </r>
  <r>
    <x v="36"/>
    <n v="1"/>
  </r>
  <r>
    <x v="36"/>
    <n v="1"/>
  </r>
  <r>
    <x v="37"/>
    <n v="1"/>
  </r>
  <r>
    <x v="37"/>
    <n v="1"/>
  </r>
  <r>
    <x v="37"/>
    <n v="1"/>
  </r>
  <r>
    <x v="37"/>
    <n v="1"/>
  </r>
  <r>
    <x v="37"/>
    <n v="1"/>
  </r>
  <r>
    <x v="37"/>
    <n v="1"/>
  </r>
  <r>
    <x v="38"/>
    <n v="1"/>
  </r>
  <r>
    <x v="38"/>
    <n v="1"/>
  </r>
  <r>
    <x v="38"/>
    <n v="1"/>
  </r>
  <r>
    <x v="38"/>
    <n v="1"/>
  </r>
  <r>
    <x v="39"/>
    <n v="1"/>
  </r>
  <r>
    <x v="39"/>
    <n v="1"/>
  </r>
  <r>
    <x v="39"/>
    <n v="1"/>
  </r>
  <r>
    <x v="39"/>
    <n v="1"/>
  </r>
  <r>
    <x v="39"/>
    <n v="1"/>
  </r>
  <r>
    <x v="39"/>
    <n v="1"/>
  </r>
  <r>
    <x v="39"/>
    <n v="1"/>
  </r>
  <r>
    <x v="39"/>
    <n v="1"/>
  </r>
  <r>
    <x v="40"/>
    <n v="1"/>
  </r>
  <r>
    <x v="40"/>
    <n v="1"/>
  </r>
  <r>
    <x v="40"/>
    <n v="1"/>
  </r>
  <r>
    <x v="40"/>
    <n v="1"/>
  </r>
  <r>
    <x v="41"/>
    <n v="1"/>
  </r>
  <r>
    <x v="41"/>
    <n v="1"/>
  </r>
  <r>
    <x v="41"/>
    <n v="1"/>
  </r>
  <r>
    <x v="41"/>
    <n v="1"/>
  </r>
  <r>
    <x v="43"/>
    <n v="1"/>
  </r>
  <r>
    <x v="43"/>
    <n v="1"/>
  </r>
  <r>
    <x v="43"/>
    <n v="1"/>
  </r>
  <r>
    <x v="43"/>
    <n v="1"/>
  </r>
  <r>
    <x v="43"/>
    <n v="1"/>
  </r>
  <r>
    <x v="43"/>
    <n v="1"/>
  </r>
  <r>
    <x v="42"/>
    <n v="1"/>
  </r>
  <r>
    <x v="42"/>
    <n v="1"/>
  </r>
  <r>
    <x v="42"/>
    <n v="1"/>
  </r>
  <r>
    <x v="42"/>
    <n v="1"/>
  </r>
  <r>
    <x v="44"/>
    <n v="1"/>
  </r>
  <r>
    <x v="44"/>
    <n v="1"/>
  </r>
  <r>
    <x v="44"/>
    <n v="1"/>
  </r>
  <r>
    <x v="44"/>
    <n v="1"/>
  </r>
  <r>
    <x v="44"/>
    <n v="1"/>
  </r>
  <r>
    <x v="44"/>
    <n v="1"/>
  </r>
  <r>
    <x v="44"/>
    <n v="1"/>
  </r>
  <r>
    <x v="44"/>
    <n v="1"/>
  </r>
  <r>
    <x v="45"/>
    <n v="1"/>
  </r>
  <r>
    <x v="45"/>
    <n v="1"/>
  </r>
  <r>
    <x v="45"/>
    <n v="1"/>
  </r>
  <r>
    <x v="45"/>
    <n v="1"/>
  </r>
  <r>
    <x v="46"/>
    <n v="1"/>
  </r>
  <r>
    <x v="46"/>
    <n v="1"/>
  </r>
  <r>
    <x v="46"/>
    <n v="1"/>
  </r>
  <r>
    <x v="46"/>
    <n v="1"/>
  </r>
  <r>
    <x v="47"/>
    <n v="1"/>
  </r>
  <r>
    <x v="47"/>
    <n v="1"/>
  </r>
  <r>
    <x v="47"/>
    <n v="1"/>
  </r>
  <r>
    <x v="47"/>
    <n v="1"/>
  </r>
  <r>
    <x v="73"/>
    <n v="1"/>
  </r>
  <r>
    <x v="73"/>
    <n v="1"/>
  </r>
  <r>
    <x v="73"/>
    <n v="1"/>
  </r>
  <r>
    <x v="73"/>
    <n v="1"/>
  </r>
  <r>
    <x v="73"/>
    <n v="1"/>
  </r>
  <r>
    <x v="73"/>
    <n v="1"/>
  </r>
  <r>
    <x v="48"/>
    <n v="1"/>
  </r>
  <r>
    <x v="48"/>
    <n v="1"/>
  </r>
  <r>
    <x v="48"/>
    <n v="1"/>
  </r>
  <r>
    <x v="48"/>
    <n v="1"/>
  </r>
  <r>
    <x v="50"/>
    <n v="1"/>
  </r>
  <r>
    <x v="50"/>
    <n v="1"/>
  </r>
  <r>
    <x v="50"/>
    <n v="1"/>
  </r>
  <r>
    <x v="50"/>
    <n v="1"/>
  </r>
  <r>
    <x v="50"/>
    <n v="1"/>
  </r>
  <r>
    <x v="49"/>
    <n v="1"/>
  </r>
  <r>
    <x v="49"/>
    <n v="1"/>
  </r>
  <r>
    <x v="49"/>
    <n v="1"/>
  </r>
  <r>
    <x v="51"/>
    <n v="1"/>
  </r>
  <r>
    <x v="51"/>
    <n v="1"/>
  </r>
  <r>
    <x v="51"/>
    <n v="1"/>
  </r>
  <r>
    <x v="51"/>
    <n v="1"/>
  </r>
  <r>
    <x v="51"/>
    <n v="1"/>
  </r>
  <r>
    <x v="51"/>
    <n v="1"/>
  </r>
  <r>
    <x v="51"/>
    <n v="1"/>
  </r>
  <r>
    <x v="51"/>
    <n v="1"/>
  </r>
  <r>
    <x v="52"/>
    <n v="1"/>
  </r>
  <r>
    <x v="52"/>
    <n v="1"/>
  </r>
  <r>
    <x v="52"/>
    <n v="1"/>
  </r>
  <r>
    <x v="53"/>
    <n v="1"/>
  </r>
  <r>
    <x v="53"/>
    <n v="1"/>
  </r>
  <r>
    <x v="53"/>
    <n v="1"/>
  </r>
  <r>
    <x v="53"/>
    <n v="1"/>
  </r>
  <r>
    <x v="53"/>
    <n v="1"/>
  </r>
  <r>
    <x v="53"/>
    <n v="1"/>
  </r>
  <r>
    <x v="54"/>
    <n v="1"/>
  </r>
  <r>
    <x v="54"/>
    <n v="1"/>
  </r>
  <r>
    <x v="54"/>
    <n v="1"/>
  </r>
  <r>
    <x v="55"/>
    <n v="1"/>
  </r>
  <r>
    <x v="55"/>
    <n v="1"/>
  </r>
  <r>
    <x v="55"/>
    <n v="1"/>
  </r>
  <r>
    <x v="56"/>
    <n v="1"/>
  </r>
  <r>
    <x v="56"/>
    <n v="1"/>
  </r>
  <r>
    <x v="56"/>
    <n v="1"/>
  </r>
  <r>
    <x v="56"/>
    <n v="1"/>
  </r>
  <r>
    <x v="56"/>
    <n v="1"/>
  </r>
  <r>
    <x v="56"/>
    <n v="1"/>
  </r>
  <r>
    <x v="57"/>
    <n v="1"/>
  </r>
  <r>
    <x v="57"/>
    <n v="1"/>
  </r>
  <r>
    <x v="57"/>
    <n v="1"/>
  </r>
  <r>
    <x v="58"/>
    <n v="1"/>
  </r>
  <r>
    <x v="58"/>
    <n v="1"/>
  </r>
  <r>
    <x v="58"/>
    <n v="1"/>
  </r>
  <r>
    <x v="59"/>
    <n v="1"/>
  </r>
  <r>
    <x v="59"/>
    <n v="1"/>
  </r>
  <r>
    <x v="59"/>
    <n v="1"/>
  </r>
  <r>
    <x v="59"/>
    <n v="1"/>
  </r>
  <r>
    <x v="69"/>
    <n v="1"/>
  </r>
  <r>
    <x v="69"/>
    <n v="1"/>
  </r>
  <r>
    <x v="69"/>
    <n v="1"/>
  </r>
  <r>
    <x v="60"/>
    <n v="1"/>
  </r>
  <r>
    <x v="60"/>
    <n v="1"/>
  </r>
  <r>
    <x v="60"/>
    <n v="1"/>
  </r>
  <r>
    <x v="60"/>
    <n v="1"/>
  </r>
  <r>
    <x v="70"/>
    <n v="1"/>
  </r>
  <r>
    <x v="70"/>
    <n v="1"/>
  </r>
  <r>
    <x v="70"/>
    <n v="1"/>
  </r>
  <r>
    <x v="70"/>
    <n v="1"/>
  </r>
  <r>
    <x v="61"/>
    <n v="1"/>
  </r>
  <r>
    <x v="61"/>
    <n v="1"/>
  </r>
  <r>
    <x v="61"/>
    <n v="1"/>
  </r>
  <r>
    <x v="61"/>
    <n v="1"/>
  </r>
  <r>
    <x v="61"/>
    <n v="1"/>
  </r>
  <r>
    <x v="62"/>
    <n v="1"/>
  </r>
  <r>
    <x v="62"/>
    <n v="1"/>
  </r>
  <r>
    <x v="62"/>
    <n v="1"/>
  </r>
  <r>
    <x v="62"/>
    <n v="1"/>
  </r>
  <r>
    <x v="63"/>
    <n v="1"/>
  </r>
  <r>
    <x v="63"/>
    <n v="1"/>
  </r>
  <r>
    <x v="63"/>
    <n v="1"/>
  </r>
  <r>
    <x v="63"/>
    <n v="1"/>
  </r>
  <r>
    <x v="64"/>
    <n v="1"/>
  </r>
  <r>
    <x v="64"/>
    <n v="1"/>
  </r>
  <r>
    <x v="64"/>
    <n v="1"/>
  </r>
  <r>
    <x v="65"/>
    <n v="1"/>
  </r>
  <r>
    <x v="65"/>
    <n v="1"/>
  </r>
  <r>
    <x v="65"/>
    <n v="1"/>
  </r>
  <r>
    <x v="65"/>
    <n v="1"/>
  </r>
  <r>
    <x v="66"/>
    <n v="1"/>
  </r>
  <r>
    <x v="66"/>
    <n v="1"/>
  </r>
  <r>
    <x v="66"/>
    <n v="1"/>
  </r>
  <r>
    <x v="66"/>
    <n v="1"/>
  </r>
  <r>
    <x v="67"/>
    <n v="1"/>
  </r>
  <r>
    <x v="67"/>
    <n v="1"/>
  </r>
  <r>
    <x v="67"/>
    <n v="1"/>
  </r>
  <r>
    <x v="68"/>
    <n v="1"/>
  </r>
  <r>
    <x v="68"/>
    <n v="1"/>
  </r>
  <r>
    <x v="68"/>
    <n v="1"/>
  </r>
  <r>
    <x v="68"/>
    <n v="1"/>
  </r>
  <r>
    <x v="68"/>
    <n v="1"/>
  </r>
  <r>
    <x v="68"/>
    <n v="1"/>
  </r>
  <r>
    <x v="68"/>
    <n v="1"/>
  </r>
  <r>
    <x v="68"/>
    <n v="1"/>
  </r>
  <r>
    <x v="13"/>
    <n v="1"/>
  </r>
  <r>
    <x v="13"/>
    <n v="1"/>
  </r>
  <r>
    <x v="13"/>
    <n v="1"/>
  </r>
  <r>
    <x v="13"/>
    <n v="1"/>
  </r>
  <r>
    <x v="13"/>
    <n v="1"/>
  </r>
  <r>
    <x v="14"/>
    <n v="1"/>
  </r>
  <r>
    <x v="14"/>
    <n v="1"/>
  </r>
  <r>
    <x v="14"/>
    <n v="1"/>
  </r>
  <r>
    <x v="15"/>
    <n v="1"/>
  </r>
  <r>
    <x v="15"/>
    <n v="1"/>
  </r>
  <r>
    <x v="15"/>
    <n v="1"/>
  </r>
  <r>
    <x v="15"/>
    <n v="1"/>
  </r>
  <r>
    <x v="16"/>
    <n v="1"/>
  </r>
  <r>
    <x v="16"/>
    <n v="1"/>
  </r>
  <r>
    <x v="16"/>
    <n v="1"/>
  </r>
  <r>
    <x v="16"/>
    <n v="1"/>
  </r>
  <r>
    <x v="17"/>
    <n v="1"/>
  </r>
  <r>
    <x v="17"/>
    <n v="1"/>
  </r>
  <r>
    <x v="17"/>
    <n v="1"/>
  </r>
  <r>
    <x v="17"/>
    <n v="1"/>
  </r>
  <r>
    <x v="24"/>
    <n v="1"/>
  </r>
  <r>
    <x v="24"/>
    <n v="1"/>
  </r>
  <r>
    <x v="24"/>
    <n v="1"/>
  </r>
  <r>
    <x v="24"/>
    <n v="1"/>
  </r>
  <r>
    <x v="19"/>
    <n v="1"/>
  </r>
  <r>
    <x v="19"/>
    <n v="1"/>
  </r>
  <r>
    <x v="20"/>
    <n v="1"/>
  </r>
  <r>
    <x v="20"/>
    <n v="1"/>
  </r>
  <r>
    <x v="20"/>
    <n v="1"/>
  </r>
  <r>
    <x v="20"/>
    <n v="1"/>
  </r>
  <r>
    <x v="21"/>
    <n v="1"/>
  </r>
  <r>
    <x v="21"/>
    <n v="1"/>
  </r>
  <r>
    <x v="22"/>
    <n v="1"/>
  </r>
  <r>
    <x v="22"/>
    <n v="1"/>
  </r>
  <r>
    <x v="22"/>
    <n v="1"/>
  </r>
  <r>
    <x v="23"/>
    <n v="1"/>
  </r>
  <r>
    <x v="23"/>
    <n v="1"/>
  </r>
  <r>
    <x v="23"/>
    <n v="1"/>
  </r>
  <r>
    <x v="23"/>
    <n v="1"/>
  </r>
  <r>
    <x v="25"/>
    <n v="1"/>
  </r>
  <r>
    <x v="25"/>
    <n v="1"/>
  </r>
  <r>
    <x v="25"/>
    <n v="1"/>
  </r>
  <r>
    <x v="25"/>
    <n v="1"/>
  </r>
  <r>
    <x v="25"/>
    <n v="1"/>
  </r>
  <r>
    <x v="25"/>
    <n v="1"/>
  </r>
  <r>
    <x v="25"/>
    <n v="1"/>
  </r>
  <r>
    <x v="25"/>
    <n v="1"/>
  </r>
  <r>
    <x v="18"/>
    <n v="1"/>
  </r>
  <r>
    <x v="18"/>
    <n v="1"/>
  </r>
  <r>
    <x v="18"/>
    <n v="1"/>
  </r>
  <r>
    <x v="18"/>
    <n v="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73">
  <r>
    <x v="0"/>
    <s v="3B"/>
    <n v="1"/>
    <x v="0"/>
    <s v="Kumite, Felnőtt férfi 70-79,9kg"/>
    <s v="Kumite, felnőtt férfi 80 kg"/>
    <s v="4"/>
    <s v="4 fős körmérkőzés"/>
    <s v="1"/>
    <s v="Fekete Gergely"/>
    <x v="0"/>
    <s v="HUN"/>
    <n v="12"/>
    <m/>
    <s v="Veszprém"/>
    <d v="2026-02-14T00:00:00"/>
    <s v="Fekete Gergely - Victory"/>
    <x v="0"/>
    <s v="Victory"/>
    <x v="0"/>
    <s v="felnőtt"/>
  </r>
  <r>
    <x v="0"/>
    <s v="3B"/>
    <n v="2"/>
    <x v="0"/>
    <s v="Kumite, Felnőtt férfi 70-79,9kg"/>
    <s v="Kumite, felnőtt férfi 80 kg"/>
    <s v="4"/>
    <s v="4 fős körmérkőzés"/>
    <s v="2"/>
    <s v="Ujvári Bálint"/>
    <x v="1"/>
    <s v="HUN"/>
    <n v="9"/>
    <m/>
    <s v="Veszprém"/>
    <d v="2026-02-14T00:00:00"/>
    <s v="Ujvári Bálint - Ippon KKSE"/>
    <x v="0"/>
    <s v="Ippon KKSE"/>
    <x v="0"/>
    <s v="felnőtt"/>
  </r>
  <r>
    <x v="0"/>
    <s v="3B"/>
    <n v="3"/>
    <x v="0"/>
    <s v="Kumite, Felnőtt férfi 70-79,9kg"/>
    <s v="Kumite, felnőtt férfi 80 kg"/>
    <s v="4"/>
    <s v="4 fős körmérkőzés"/>
    <s v="3"/>
    <s v="Rétfalvi Tamás"/>
    <x v="2"/>
    <s v="HUN"/>
    <n v="6"/>
    <m/>
    <s v="Veszprém"/>
    <d v="2026-02-14T00:00:00"/>
    <s v="Rétfalvi Tamás - Kisvárda KKDOSC"/>
    <x v="0"/>
    <s v="Kisvárda KKDOSC"/>
    <x v="0"/>
    <s v="felnőtt"/>
  </r>
  <r>
    <x v="0"/>
    <s v="3B"/>
    <n v="4"/>
    <x v="0"/>
    <s v="Kumite, Felnőtt férfi -59,9kg"/>
    <s v="Kumite, felnőtt férfi 60 kg"/>
    <s v="3"/>
    <s v="3 fős körmérkőzés"/>
    <s v="1"/>
    <s v="Soltész Szabolcs"/>
    <x v="2"/>
    <s v="HUN"/>
    <n v="10"/>
    <m/>
    <s v="Veszprém"/>
    <d v="2026-02-14T00:00:00"/>
    <s v="Soltész Szabolcs - Kisvárda KKDOSC"/>
    <x v="0"/>
    <s v="Kisvárda KKDOSC"/>
    <x v="0"/>
    <s v="felnőtt"/>
  </r>
  <r>
    <x v="0"/>
    <s v="3B"/>
    <n v="5"/>
    <x v="0"/>
    <s v="Kumite, Felnőtt férfi -59,9kg"/>
    <s v="Kumite, felnőtt férfi 60 kg"/>
    <s v="3"/>
    <s v="3 fős körmérkőzés"/>
    <s v="2"/>
    <s v="Feczkó Zoltán"/>
    <x v="3"/>
    <s v="HUN"/>
    <n v="6"/>
    <m/>
    <s v="Veszprém"/>
    <d v="2026-02-14T00:00:00"/>
    <s v="Feczkó Zoltán - Shogun"/>
    <x v="0"/>
    <s v="Shogun"/>
    <x v="0"/>
    <s v="felnőtt"/>
  </r>
  <r>
    <x v="0"/>
    <s v="3B"/>
    <n v="6"/>
    <x v="0"/>
    <s v="Kumite, Felnőtt férfi -59,9kg"/>
    <s v="Kumite, felnőtt férfi 60 kg"/>
    <s v="3"/>
    <s v="3 fős körmérkőzés"/>
    <s v="3"/>
    <s v="Törő Attila"/>
    <x v="0"/>
    <s v="HUN"/>
    <n v="0"/>
    <s v="nem volt nyertes mérkőzése"/>
    <s v="Veszprém"/>
    <d v="2026-02-14T00:00:00"/>
    <s v="Törő Attila - Victory"/>
    <x v="0"/>
    <s v="Victory"/>
    <x v="0"/>
    <s v="felnőtt"/>
  </r>
  <r>
    <x v="0"/>
    <s v="3B"/>
    <n v="7"/>
    <x v="0"/>
    <s v="Kumite, Felnőtt férfi 60-69,9kg"/>
    <s v="Kumite, felnőtt férfi 70 kg"/>
    <s v="3"/>
    <s v="3 fős körmérkőzés"/>
    <s v="1"/>
    <s v="Bede Zsombor"/>
    <x v="1"/>
    <s v="HUN"/>
    <n v="10"/>
    <m/>
    <s v="Veszprém"/>
    <d v="2026-02-14T00:00:00"/>
    <s v="Bede Zsombor - Ippon KKSE"/>
    <x v="0"/>
    <s v="Ippon KKSE"/>
    <x v="0"/>
    <s v="felnőtt"/>
  </r>
  <r>
    <x v="0"/>
    <s v="3B"/>
    <n v="8"/>
    <x v="0"/>
    <s v="Kumite, Felnőtt férfi 60-69,9kg"/>
    <s v="Kumite, felnőtt férfi 70 kg"/>
    <s v="3"/>
    <s v="3 fős körmérkőzés"/>
    <s v="2"/>
    <s v="Ludszky Tamás"/>
    <x v="4"/>
    <s v="HUN"/>
    <n v="6"/>
    <m/>
    <s v="Veszprém"/>
    <d v="2026-02-14T00:00:00"/>
    <s v="Ludszky Tamás - Főnix Dojo"/>
    <x v="0"/>
    <s v="Főnix Dojo"/>
    <x v="0"/>
    <s v="felnőtt"/>
  </r>
  <r>
    <x v="0"/>
    <s v="3B"/>
    <n v="9"/>
    <x v="0"/>
    <s v="Kumite, Felnőtt férfi 60-69,9kg"/>
    <s v="Kumite, felnőtt férfi 70 kg"/>
    <s v="3"/>
    <s v="3 fős körmérkőzés"/>
    <s v="3"/>
    <s v="Törő Márton"/>
    <x v="0"/>
    <s v="HUN"/>
    <n v="0"/>
    <s v="nem volt nyertes mérkőzése"/>
    <s v="Veszprém"/>
    <d v="2026-02-14T00:00:00"/>
    <s v="Törő Márton - Victory"/>
    <x v="0"/>
    <s v="Victory"/>
    <x v="0"/>
    <s v="felnőtt"/>
  </r>
  <r>
    <x v="0"/>
    <s v="3B"/>
    <n v="10"/>
    <x v="0"/>
    <s v="Kumite, Felnőtt férfi 80-89,9kg"/>
    <s v="Kumite, felnőtt férfi 90 kg"/>
    <s v="2"/>
    <s v="2 fős egyenes kiesés"/>
    <s v="1"/>
    <s v="Lajtos Patrik"/>
    <x v="0"/>
    <s v="HUN"/>
    <n v="6"/>
    <m/>
    <s v="Veszprém"/>
    <d v="2026-02-14T00:00:00"/>
    <s v="Lajtos Patrik - Victory"/>
    <x v="0"/>
    <s v="Victory"/>
    <x v="0"/>
    <s v="felnőtt"/>
  </r>
  <r>
    <x v="0"/>
    <s v="3B"/>
    <n v="11"/>
    <x v="0"/>
    <s v="Kumite, Felnőtt férfi 80-89,9kg"/>
    <s v="Kumite, felnőtt férfi 90 kg"/>
    <s v="2"/>
    <s v="2 fős egyenes kiesés"/>
    <s v="2"/>
    <s v="Badar Máté"/>
    <x v="5"/>
    <s v="HUN"/>
    <n v="0"/>
    <s v="nem volt nyertes mérkőzése"/>
    <s v="Veszprém"/>
    <d v="2026-02-14T00:00:00"/>
    <s v="Badar Máté - TADASHII "/>
    <x v="1"/>
    <s v="TADASHII "/>
    <x v="0"/>
    <s v="felnőtt"/>
  </r>
  <r>
    <x v="0"/>
    <s v="3B"/>
    <n v="12"/>
    <x v="0"/>
    <s v="Kumite, Felnőtt férfi 90-kg"/>
    <s v="Kumite, felnőtt férfi +90 kg"/>
    <s v="4"/>
    <s v="4 fős körmérkőzés"/>
    <s v="1"/>
    <s v="Baranyai Máté"/>
    <x v="3"/>
    <s v="HUN"/>
    <n v="12"/>
    <m/>
    <s v="Veszprém"/>
    <d v="2026-02-14T00:00:00"/>
    <s v="Baranyai Máté - Shogun"/>
    <x v="0"/>
    <s v="Shogun"/>
    <x v="0"/>
    <s v="felnőtt"/>
  </r>
  <r>
    <x v="0"/>
    <s v="3B"/>
    <n v="13"/>
    <x v="0"/>
    <s v="Kumite, Felnőtt férfi 90-kg"/>
    <s v="Kumite, felnőtt férfi +90 kg"/>
    <s v="4"/>
    <s v="4 fős körmérkőzés"/>
    <s v="2"/>
    <s v="Vancsek Kristóf"/>
    <x v="1"/>
    <s v="HUN"/>
    <n v="9"/>
    <m/>
    <s v="Veszprém"/>
    <d v="2026-02-14T00:00:00"/>
    <s v="Vancsek Kristóf - Ippon KKSE"/>
    <x v="0"/>
    <s v="Ippon KKSE"/>
    <x v="0"/>
    <s v="felnőtt"/>
  </r>
  <r>
    <x v="0"/>
    <s v="3B"/>
    <n v="14"/>
    <x v="0"/>
    <s v="Kumite, Felnőtt férfi 90-kg"/>
    <s v="Kumite, felnőtt férfi +90 kg"/>
    <s v="4"/>
    <s v="4 fős körmérkőzés"/>
    <s v="3"/>
    <s v="Hoffer András"/>
    <x v="6"/>
    <s v="HUN"/>
    <n v="6"/>
    <m/>
    <s v="Veszprém"/>
    <d v="2026-02-14T00:00:00"/>
    <s v="Hoffer András - Castrum"/>
    <x v="0"/>
    <s v="Castrum"/>
    <x v="0"/>
    <s v="felnőtt"/>
  </r>
  <r>
    <x v="0"/>
    <n v="2"/>
    <n v="15"/>
    <x v="0"/>
    <s v="Kumite, Masters férfi 80-89,9kg"/>
    <s v="Kumite, MASTERS FÉRFI"/>
    <s v="6"/>
    <s v="6 fős vegyes"/>
    <s v="1"/>
    <s v="Béres Sándor"/>
    <x v="7"/>
    <s v="HUN"/>
    <n v="6"/>
    <m/>
    <s v="Veszprém"/>
    <d v="2026-02-14T00:00:00"/>
    <s v="Béres Sándor - KHSE"/>
    <x v="0"/>
    <s v="KHSE"/>
    <x v="0"/>
    <s v="masters"/>
  </r>
  <r>
    <x v="0"/>
    <n v="2"/>
    <n v="16"/>
    <x v="0"/>
    <s v="Kumite, Masters férfi 80-89,9kg"/>
    <s v="Kumite, MASTERS FÉRFI"/>
    <s v="6"/>
    <s v="6 fős vegyes"/>
    <s v="2"/>
    <s v="Hamar Levente"/>
    <x v="7"/>
    <s v="HUN"/>
    <n v="5"/>
    <m/>
    <s v="Veszprém"/>
    <d v="2026-02-14T00:00:00"/>
    <s v="Hamar Levente - KHSE"/>
    <x v="0"/>
    <s v="KHSE"/>
    <x v="0"/>
    <s v="masters"/>
  </r>
  <r>
    <x v="0"/>
    <n v="2"/>
    <n v="17"/>
    <x v="0"/>
    <s v="Kumite, Masters férfi 80-89,9kg"/>
    <s v="Kumite, MASTERS FÉRFI"/>
    <s v="6"/>
    <s v="6 fős vegyes"/>
    <s v="3"/>
    <s v="Kollányi Miklós"/>
    <x v="3"/>
    <s v="HUN"/>
    <n v="3"/>
    <m/>
    <s v="Veszprém"/>
    <d v="2026-02-14T00:00:00"/>
    <s v="Kollányi Miklós - Shogun"/>
    <x v="0"/>
    <s v="Shogun"/>
    <x v="0"/>
    <s v="masters"/>
  </r>
  <r>
    <x v="0"/>
    <n v="2"/>
    <n v="18"/>
    <x v="0"/>
    <s v="Kumite, Masters férfi 90-kg"/>
    <s v="Kumite, MASTERS FÉRFI"/>
    <s v="4"/>
    <s v="4 fős egyenes kiesés + 3. hely"/>
    <s v="1"/>
    <s v="Tóth Attila"/>
    <x v="8"/>
    <s v="HUN"/>
    <n v="6"/>
    <m/>
    <s v="Veszprém"/>
    <d v="2026-02-14T00:00:00"/>
    <s v="Tóth Attila - Seiken STKE"/>
    <x v="1"/>
    <s v="Seiken STKE"/>
    <x v="0"/>
    <s v="masters"/>
  </r>
  <r>
    <x v="0"/>
    <n v="2"/>
    <n v="19"/>
    <x v="0"/>
    <s v="Kumite, Masters férfi 90-kg"/>
    <s v="Kumite, MASTERS FÉRFI"/>
    <s v="4"/>
    <s v="4 fős egyenes kiesés + 3. hely"/>
    <s v="2"/>
    <s v="Lengyel László"/>
    <x v="9"/>
    <s v="HUN"/>
    <n v="5"/>
    <m/>
    <s v="Veszprém"/>
    <d v="2026-02-14T00:00:00"/>
    <s v="Lengyel László - Beledi KÉSZ SE"/>
    <x v="1"/>
    <s v="Beledi KÉSZ SE"/>
    <x v="0"/>
    <s v="masters"/>
  </r>
  <r>
    <x v="0"/>
    <n v="2"/>
    <n v="20"/>
    <x v="0"/>
    <s v="Kumite, Masters férfi 90-kg"/>
    <s v="Kumite, MASTERS FÉRFI"/>
    <s v="4"/>
    <s v="4 fős egyenes kiesés + 3. hely"/>
    <s v="3"/>
    <s v="Varga Krsiztián"/>
    <x v="9"/>
    <s v="HUN"/>
    <n v="3"/>
    <m/>
    <s v="Veszprém"/>
    <d v="2026-02-14T00:00:00"/>
    <s v="Varga Krsiztián - Beledi KÉSZ SE"/>
    <x v="1"/>
    <s v="Beledi KÉSZ SE"/>
    <x v="0"/>
    <s v="masters"/>
  </r>
  <r>
    <x v="0"/>
    <n v="2"/>
    <n v="21"/>
    <x v="0"/>
    <s v="Kumite, Masters férfi 90-kg"/>
    <s v="Kumite, MASTERS FÉRFI"/>
    <s v="4"/>
    <s v="4 fős egyenes kiesés + 3. hely"/>
    <s v="4"/>
    <s v="Csillag Viktor "/>
    <x v="9"/>
    <s v="HUN"/>
    <n v="0"/>
    <s v="nem volt nyertes mérkőzése"/>
    <s v="Veszprém"/>
    <d v="2026-02-14T00:00:00"/>
    <s v="Csillag Viktor  - Beledi KÉSZ SE"/>
    <x v="1"/>
    <s v="Beledi KÉSZ SE"/>
    <x v="0"/>
    <s v="masters"/>
  </r>
  <r>
    <x v="0"/>
    <s v="3A"/>
    <n v="22"/>
    <x v="0"/>
    <s v="Kumite, U21 férfi 75-79,9"/>
    <s v="Kumite, U21 férfi 80 kg"/>
    <s v="3"/>
    <s v="3 fős körmérkőzés"/>
    <s v="1"/>
    <s v="Szakály Dominik"/>
    <x v="3"/>
    <s v="HUN"/>
    <n v="6"/>
    <m/>
    <s v="Veszprém"/>
    <d v="2026-02-14T00:00:00"/>
    <s v="Szakály Dominik - Shogun"/>
    <x v="0"/>
    <s v="Shogun"/>
    <x v="0"/>
    <s v="J21"/>
  </r>
  <r>
    <x v="0"/>
    <s v="3A"/>
    <n v="23"/>
    <x v="0"/>
    <s v="Kumite, U21 férfi 75-79,9"/>
    <s v="Kumite, U21 férfi 80 kg"/>
    <s v="3"/>
    <s v="3 fős körmérkőzés"/>
    <s v="2"/>
    <s v="Kollát Zétény"/>
    <x v="10"/>
    <s v="HUN"/>
    <n v="4"/>
    <m/>
    <s v="Veszprém"/>
    <d v="2026-02-14T00:00:00"/>
    <s v="Kollát Zétény - Nintai KKSE"/>
    <x v="1"/>
    <s v="Nintai KKSE"/>
    <x v="0"/>
    <s v="J21"/>
  </r>
  <r>
    <x v="0"/>
    <s v="3A"/>
    <n v="24"/>
    <x v="0"/>
    <s v="Kumite, U21 férfi 75-79,9"/>
    <s v="Kumite, U21 férfi 80 kg"/>
    <s v="3"/>
    <s v="3 fős körmérkőzés"/>
    <s v="3"/>
    <s v="Szabó István Balázs"/>
    <x v="11"/>
    <s v="HUN"/>
    <n v="0"/>
    <s v="nem volt nyertes mérkőzése"/>
    <s v="Veszprém"/>
    <d v="2026-02-14T00:00:00"/>
    <s v="Szabó István Balázs - KyoDabas SE."/>
    <x v="1"/>
    <s v="KyoDabas SE."/>
    <x v="0"/>
    <s v="J21"/>
  </r>
  <r>
    <x v="0"/>
    <s v="3A"/>
    <n v="25"/>
    <x v="0"/>
    <s v="Kumite, U21 férfi -64,9kg"/>
    <s v="Kumite, U21 férfi 65 kg"/>
    <s v="2"/>
    <s v="2 fős egyenes kiesés"/>
    <s v="1"/>
    <s v="Csordás Benjamin"/>
    <x v="8"/>
    <s v="HUN"/>
    <n v="4"/>
    <m/>
    <s v="Veszprém"/>
    <d v="2026-02-14T00:00:00"/>
    <s v="Csordás Benjamin - Seiken STKE"/>
    <x v="1"/>
    <s v="Seiken STKE"/>
    <x v="0"/>
    <s v="J21"/>
  </r>
  <r>
    <x v="0"/>
    <s v="3A"/>
    <n v="26"/>
    <x v="0"/>
    <s v="Kumite, U21 férfi -64,9kg"/>
    <s v="Kumite, U21 férfi 65 kg"/>
    <s v="2"/>
    <s v="2 fős egyenes kiesés"/>
    <s v="2"/>
    <s v="Szabó Imre Richárd"/>
    <x v="7"/>
    <s v="HUN"/>
    <n v="0"/>
    <s v="nem volt nyertes mérkőzése"/>
    <s v="Veszprém"/>
    <d v="2026-02-14T00:00:00"/>
    <s v="Szabó Imre Richárd - KHSE"/>
    <x v="0"/>
    <s v="KHSE"/>
    <x v="0"/>
    <s v="J21"/>
  </r>
  <r>
    <x v="0"/>
    <s v="3A"/>
    <n v="27"/>
    <x v="0"/>
    <s v="Kumite, U21 férfi 70-74,9kg"/>
    <s v="Kumite, U21 férfi 75 kg"/>
    <s v="3"/>
    <s v="3 fős körmérkőzés"/>
    <s v="1"/>
    <s v="Jámbor Dániel"/>
    <x v="7"/>
    <s v="HUN"/>
    <n v="6"/>
    <m/>
    <s v="Veszprém"/>
    <d v="2026-02-14T00:00:00"/>
    <s v="Jámbor Dániel - KHSE"/>
    <x v="0"/>
    <s v="KHSE"/>
    <x v="0"/>
    <s v="J21"/>
  </r>
  <r>
    <x v="0"/>
    <s v="3A"/>
    <n v="28"/>
    <x v="0"/>
    <s v="Kumite, U21 férfi 70-74,9kg"/>
    <s v="Kumite, U21 férfi 75 kg"/>
    <s v="3"/>
    <s v="3 fős körmérkőzés"/>
    <s v="2"/>
    <s v="Horváth Levente András"/>
    <x v="6"/>
    <s v="HUN"/>
    <n v="4"/>
    <m/>
    <s v="Veszprém"/>
    <d v="2026-02-14T00:00:00"/>
    <s v="Horváth Levente András - Castrum"/>
    <x v="0"/>
    <s v="Castrum"/>
    <x v="0"/>
    <s v="J21"/>
  </r>
  <r>
    <x v="0"/>
    <s v="3A"/>
    <n v="29"/>
    <x v="0"/>
    <s v="Kumite, U21 férfi 70-74,9kg"/>
    <s v="Kumite, U21 férfi 75 kg"/>
    <s v="3"/>
    <s v="3 fős körmérkőzés"/>
    <s v="3"/>
    <s v="Gáspár Botond"/>
    <x v="4"/>
    <s v="HUN"/>
    <n v="0"/>
    <s v="nem volt nyertes mérkőzése"/>
    <s v="Veszprém"/>
    <d v="2026-02-14T00:00:00"/>
    <s v="Gáspár Botond - Főnix Dojo"/>
    <x v="0"/>
    <s v="Főnix Dojo"/>
    <x v="0"/>
    <s v="J21"/>
  </r>
  <r>
    <x v="0"/>
    <s v="3B"/>
    <n v="30"/>
    <x v="1"/>
    <s v="Kata, FELNŐTT férfi"/>
    <s v="Kata, felnőtt férfi"/>
    <s v="10"/>
    <s v="16 fős egyenes kiesés + 3. hely"/>
    <s v="1"/>
    <s v="Bendiák Soma"/>
    <x v="12"/>
    <s v="HUN"/>
    <n v="10"/>
    <m/>
    <s v="Veszprém"/>
    <d v="2026-02-14T00:00:00"/>
    <s v="Bendiák Soma - Bendiák Dojo"/>
    <x v="0"/>
    <s v="Bendiák Dojo"/>
    <x v="0"/>
    <s v="felnőtt"/>
  </r>
  <r>
    <x v="0"/>
    <s v="3B"/>
    <n v="31"/>
    <x v="1"/>
    <s v="Kata, FELNŐTT férfi"/>
    <s v="Kata, felnőtt férfi"/>
    <s v="10"/>
    <s v="16 fős egyenes kiesés + 3. hely"/>
    <s v="2"/>
    <s v="Spéder István"/>
    <x v="13"/>
    <s v="HUN"/>
    <n v="8"/>
    <m/>
    <s v="Veszprém"/>
    <d v="2026-02-14T00:00:00"/>
    <s v="Spéder István - Kamikaze S"/>
    <x v="0"/>
    <s v="Kamikaze S"/>
    <x v="0"/>
    <s v="felnőtt"/>
  </r>
  <r>
    <x v="0"/>
    <s v="3B"/>
    <n v="32"/>
    <x v="1"/>
    <s v="Kata, FELNŐTT férfi"/>
    <s v="Kata, felnőtt férfi"/>
    <s v="10"/>
    <s v="16 fős egyenes kiesés + 3. hely"/>
    <s v="3"/>
    <s v="Pápai Balázs"/>
    <x v="5"/>
    <s v="HUN"/>
    <n v="6"/>
    <m/>
    <s v="Veszprém"/>
    <d v="2026-02-14T00:00:00"/>
    <s v="Pápai Balázs - TADASHII "/>
    <x v="1"/>
    <s v="TADASHII "/>
    <x v="0"/>
    <s v="felnőtt"/>
  </r>
  <r>
    <x v="0"/>
    <s v="3B"/>
    <n v="33"/>
    <x v="1"/>
    <s v="Kata, FELNŐTT férfi"/>
    <s v="Kata, felnőtt férfi"/>
    <s v="10"/>
    <s v="16 fős egyenes kiesés + 3. hely"/>
    <s v="4"/>
    <s v="Soltész Szabolcs"/>
    <x v="2"/>
    <s v="HUN"/>
    <n v="4"/>
    <m/>
    <s v="Veszprém"/>
    <d v="2026-02-14T00:00:00"/>
    <s v="Soltész Szabolcs - Kisvárda KKDOSC"/>
    <x v="0"/>
    <s v="Kisvárda KKDOSC"/>
    <x v="0"/>
    <s v="felnőtt"/>
  </r>
  <r>
    <x v="0"/>
    <s v="3B"/>
    <n v="37"/>
    <x v="1"/>
    <s v="Kata, FELNŐTT férfi"/>
    <s v="Kata, felnőtt férfi"/>
    <s v="10"/>
    <s v="16 fős egyenes kiesés + 3. hely"/>
    <n v="5"/>
    <s v="Gagna Patrik"/>
    <x v="14"/>
    <s v="HUN"/>
    <n v="3"/>
    <m/>
    <s v="Veszprém"/>
    <d v="2026-02-14T00:00:00"/>
    <s v="Gagna Patrik - Nozomu Dojo"/>
    <x v="0"/>
    <s v="Nozomu Dojo"/>
    <x v="0"/>
    <s v="felnőtt"/>
  </r>
  <r>
    <x v="0"/>
    <s v="3B"/>
    <n v="34"/>
    <x v="1"/>
    <s v="Kata, FELNŐTT férfi"/>
    <s v="Kata, felnőtt férfi"/>
    <s v="10"/>
    <s v="16 fős egyenes kiesés + 3. hely"/>
    <n v="6"/>
    <s v="Szabó Bence"/>
    <x v="3"/>
    <s v="HUN"/>
    <n v="3"/>
    <m/>
    <s v="Veszprém"/>
    <d v="2026-02-14T00:00:00"/>
    <s v="Szabó Bence - Shogun"/>
    <x v="0"/>
    <s v="Shogun"/>
    <x v="0"/>
    <s v="felnőtt"/>
  </r>
  <r>
    <x v="0"/>
    <s v="3B"/>
    <n v="36"/>
    <x v="1"/>
    <s v="Kata, FELNŐTT férfi"/>
    <s v="Kata, felnőtt férfi"/>
    <s v="10"/>
    <s v="16 fős egyenes kiesés + 3. hely"/>
    <n v="7"/>
    <s v="Andrikó Antal"/>
    <x v="15"/>
    <s v="HUN"/>
    <n v="0"/>
    <s v="10 induló &gt; nem jár már pont"/>
    <s v="Veszprém"/>
    <d v="2026-02-14T00:00:00"/>
    <s v="Andrikó Antal - KSE Tarján"/>
    <x v="0"/>
    <s v="KSE Tarján"/>
    <x v="0"/>
    <s v="felnőtt"/>
  </r>
  <r>
    <x v="0"/>
    <s v="3B"/>
    <n v="35"/>
    <x v="1"/>
    <s v="Kata, FELNŐTT férfi"/>
    <s v="Kata, felnőtt férfi"/>
    <s v="10"/>
    <s v="16 fős egyenes kiesés + 3. hely"/>
    <n v="8"/>
    <s v="Kurucz László Botond"/>
    <x v="16"/>
    <s v="HUN"/>
    <n v="0"/>
    <s v="10 induló &gt; nem jár már pont"/>
    <s v="Veszprém"/>
    <d v="2026-02-14T00:00:00"/>
    <s v="Kurucz László Botond - Genbu dojo"/>
    <x v="1"/>
    <s v="Genbu dojo"/>
    <x v="0"/>
    <s v="felnőtt"/>
  </r>
  <r>
    <x v="0"/>
    <s v="3B"/>
    <n v="39"/>
    <x v="1"/>
    <s v="Kata, FELNŐTT férfi"/>
    <s v="Kata, felnőtt férfi"/>
    <s v="10"/>
    <s v="16 fős egyenes kiesés + 3. hely"/>
    <n v="9"/>
    <s v="Csordás Benjamin"/>
    <x v="8"/>
    <s v="HUN"/>
    <n v="0"/>
    <s v="10 induló &gt; nem jár már pont"/>
    <s v="Veszprém"/>
    <d v="2026-02-14T00:00:00"/>
    <s v="Csordás Benjamin - Seiken STKE"/>
    <x v="1"/>
    <s v="Seiken STKE"/>
    <x v="0"/>
    <s v="felnőtt"/>
  </r>
  <r>
    <x v="0"/>
    <s v="3B"/>
    <n v="38"/>
    <x v="1"/>
    <s v="Kata, FELNŐTT férfi"/>
    <s v="Kata, felnőtt férfi"/>
    <s v="10"/>
    <s v="16 fős egyenes kiesés + 3. hely"/>
    <n v="10"/>
    <s v="Dávid András"/>
    <x v="17"/>
    <s v="HUN"/>
    <n v="0"/>
    <s v="10 induló &gt; nem jár már pont"/>
    <s v="Veszprém"/>
    <d v="2026-02-14T00:00:00"/>
    <s v="Dávid András - BHMSE"/>
    <x v="0"/>
    <s v="BHMSE"/>
    <x v="0"/>
    <s v="felnőtt"/>
  </r>
  <r>
    <x v="0"/>
    <s v="3B"/>
    <n v="40"/>
    <x v="0"/>
    <s v="Kumite, Felnőtt nő -49,9kg"/>
    <s v="Kumite, felnőtt női 50 kg"/>
    <s v="2"/>
    <s v="2 fős egyenes kiesés"/>
    <s v="1"/>
    <s v="Dévényi Lora"/>
    <x v="0"/>
    <s v="HUN"/>
    <n v="6"/>
    <m/>
    <s v="Veszprém"/>
    <d v="2026-02-14T00:00:00"/>
    <s v="Dévényi Lora - Victory"/>
    <x v="0"/>
    <s v="Victory"/>
    <x v="0"/>
    <s v="felnőtt"/>
  </r>
  <r>
    <x v="0"/>
    <s v="3B"/>
    <n v="41"/>
    <x v="0"/>
    <s v="Kumite, Felnőtt nő -49,9kg"/>
    <s v="Kumite, felnőtt női 50 kg"/>
    <s v="2"/>
    <s v="2 fős egyenes kiesés"/>
    <s v="2"/>
    <s v="Bihari Lili"/>
    <x v="18"/>
    <s v="HUN"/>
    <n v="0"/>
    <s v="nem volt nyertes mérkőzése"/>
    <s v="Veszprém"/>
    <d v="2026-02-14T00:00:00"/>
    <s v="Bihari Lili - Bátor KSE"/>
    <x v="0"/>
    <s v="Bátor KSE"/>
    <x v="0"/>
    <s v="felnőtt"/>
  </r>
  <r>
    <x v="0"/>
    <s v="3B"/>
    <n v="42"/>
    <x v="0"/>
    <s v="Kumite, Felnőtt nő 50-54,9kg"/>
    <s v="Kumite, felnőtt női 55 kg"/>
    <s v="3"/>
    <s v="3 fős körmérkőzés"/>
    <s v="1"/>
    <s v="Litvák Lili"/>
    <x v="7"/>
    <s v="HUN"/>
    <n v="10"/>
    <m/>
    <s v="Veszprém"/>
    <d v="2026-02-14T00:00:00"/>
    <s v="Litvák Lili - KHSE"/>
    <x v="0"/>
    <s v="KHSE"/>
    <x v="0"/>
    <s v="felnőtt"/>
  </r>
  <r>
    <x v="0"/>
    <s v="3B"/>
    <n v="43"/>
    <x v="0"/>
    <s v="Kumite, Felnőtt nő 50-54,9kg"/>
    <s v="Kumite, felnőtt női 55 kg"/>
    <s v="3"/>
    <s v="3 fős körmérkőzés"/>
    <s v="2"/>
    <s v="Polák Leila"/>
    <x v="5"/>
    <s v="HUN"/>
    <n v="6"/>
    <m/>
    <s v="Veszprém"/>
    <d v="2026-02-14T00:00:00"/>
    <s v="Polák Leila - TADASHII "/>
    <x v="1"/>
    <s v="TADASHII "/>
    <x v="0"/>
    <s v="felnőtt"/>
  </r>
  <r>
    <x v="0"/>
    <s v="3B"/>
    <n v="44"/>
    <x v="0"/>
    <s v="Kumite, Felnőtt nő 50-54,9kg"/>
    <s v="Kumite, felnőtt női 55 kg"/>
    <s v="3"/>
    <s v="3 fős körmérkőzés"/>
    <s v="3"/>
    <s v="Gyenge Judit"/>
    <x v="7"/>
    <s v="HUN"/>
    <n v="0"/>
    <s v="nem volt nyertes mérkőzése"/>
    <s v="Veszprém"/>
    <d v="2026-02-14T00:00:00"/>
    <s v="Gyenge Judit - KHSE"/>
    <x v="0"/>
    <s v="KHSE"/>
    <x v="0"/>
    <s v="felnőtt"/>
  </r>
  <r>
    <x v="0"/>
    <s v="3B"/>
    <n v="45"/>
    <x v="0"/>
    <s v="Kumite, Felnőtt nő 55-59,9kg"/>
    <s v="Kumite, felnőtt női 60 kg"/>
    <s v="4"/>
    <s v="4 fős körmérkőzés"/>
    <s v="1"/>
    <s v="Csordás Norina"/>
    <x v="8"/>
    <s v="HUN"/>
    <n v="12"/>
    <m/>
    <s v="Veszprém"/>
    <d v="2026-02-14T00:00:00"/>
    <s v="Csordás Norina - Seiken STKE"/>
    <x v="1"/>
    <s v="Seiken STKE"/>
    <x v="0"/>
    <s v="felnőtt"/>
  </r>
  <r>
    <x v="0"/>
    <s v="3B"/>
    <n v="46"/>
    <x v="0"/>
    <s v="Kumite, Felnőtt nő 55-59,9kg"/>
    <s v="Kumite, felnőtt női 60 kg"/>
    <s v="4"/>
    <s v="4 fős körmérkőzés"/>
    <s v="2"/>
    <s v="Kántor Viktória"/>
    <x v="19"/>
    <s v="HUN"/>
    <n v="9"/>
    <m/>
    <s v="Veszprém"/>
    <d v="2026-02-14T00:00:00"/>
    <s v="Kántor Viktória - VTSE"/>
    <x v="1"/>
    <s v="VTSE"/>
    <x v="0"/>
    <s v="felnőtt"/>
  </r>
  <r>
    <x v="0"/>
    <s v="3B"/>
    <n v="47"/>
    <x v="0"/>
    <s v="Kumite, Felnőtt nő 55-59,9kg"/>
    <s v="Kumite, felnőtt női 60 kg"/>
    <s v="4"/>
    <s v="4 fős körmérkőzés"/>
    <s v="3"/>
    <s v="Sharabi Maya"/>
    <x v="17"/>
    <s v="HUN"/>
    <n v="6"/>
    <m/>
    <s v="Veszprém"/>
    <d v="2026-02-14T00:00:00"/>
    <s v="Sharabi Maya - BHMSE"/>
    <x v="0"/>
    <s v="BHMSE"/>
    <x v="0"/>
    <s v="felnőtt"/>
  </r>
  <r>
    <x v="0"/>
    <s v="3B"/>
    <n v="48"/>
    <x v="0"/>
    <s v="Kumite, Felnőtt nő 60-64,9kg"/>
    <s v="Kumite, felnőtt női 65 kg"/>
    <s v="6"/>
    <s v="6 fős vegyes"/>
    <s v="1"/>
    <s v="Mező Lili"/>
    <x v="0"/>
    <s v="HUN"/>
    <n v="12"/>
    <m/>
    <s v="Veszprém"/>
    <d v="2026-02-14T00:00:00"/>
    <s v="Mező Lili - Victory"/>
    <x v="0"/>
    <s v="Victory"/>
    <x v="0"/>
    <s v="felnőtt"/>
  </r>
  <r>
    <x v="0"/>
    <s v="3B"/>
    <n v="49"/>
    <x v="0"/>
    <s v="Kumite, Felnőtt nő 60-64,9kg"/>
    <s v="Kumite, felnőtt női 65 kg"/>
    <s v="6"/>
    <s v="6 fős vegyes"/>
    <s v="2"/>
    <s v="Szalay Berta"/>
    <x v="6"/>
    <s v="HUN"/>
    <n v="9"/>
    <m/>
    <s v="Veszprém"/>
    <d v="2026-02-14T00:00:00"/>
    <s v="Szalay Berta - Castrum"/>
    <x v="0"/>
    <s v="Castrum"/>
    <x v="0"/>
    <s v="felnőtt"/>
  </r>
  <r>
    <x v="0"/>
    <s v="3B"/>
    <n v="50"/>
    <x v="0"/>
    <s v="Kumite, Felnőtt nő 60-64,9kg"/>
    <s v="Kumite, felnőtt női 65 kg"/>
    <s v="6"/>
    <s v="6 fős vegyes"/>
    <s v="3"/>
    <s v="Bóka Viktória"/>
    <x v="20"/>
    <s v="HUN"/>
    <n v="6"/>
    <m/>
    <s v="Veszprém"/>
    <d v="2026-02-14T00:00:00"/>
    <s v="Bóka Viktória - Griff SE"/>
    <x v="0"/>
    <s v="Griff SE"/>
    <x v="0"/>
    <s v="felnőtt"/>
  </r>
  <r>
    <x v="0"/>
    <s v="3B"/>
    <n v="51"/>
    <x v="0"/>
    <s v="Kumite, Felnőtt nő 65-kg"/>
    <s v="Kumite, felnőtt női +65 kg"/>
    <s v="4"/>
    <s v="4 fős körmérkőzés"/>
    <s v="1"/>
    <s v="Tóth Csenge"/>
    <x v="0"/>
    <s v="HUN"/>
    <n v="12"/>
    <m/>
    <s v="Veszprém"/>
    <d v="2026-02-14T00:00:00"/>
    <s v="Tóth Csenge - Victory"/>
    <x v="0"/>
    <s v="Victory"/>
    <x v="0"/>
    <s v="felnőtt"/>
  </r>
  <r>
    <x v="0"/>
    <s v="3B"/>
    <n v="52"/>
    <x v="0"/>
    <s v="Kumite, Felnőtt nő 65-kg"/>
    <s v="Kumite, felnőtt női +65 kg"/>
    <s v="4"/>
    <s v="4 fős körmérkőzés"/>
    <s v="2"/>
    <s v="Gergely Henrietta"/>
    <x v="17"/>
    <s v="HUN"/>
    <n v="9"/>
    <m/>
    <s v="Veszprém"/>
    <d v="2026-02-14T00:00:00"/>
    <s v="Gergely Henrietta - BHMSE"/>
    <x v="0"/>
    <s v="BHMSE"/>
    <x v="0"/>
    <s v="felnőtt"/>
  </r>
  <r>
    <x v="0"/>
    <s v="3B"/>
    <n v="53"/>
    <x v="0"/>
    <s v="Kumite, Felnőtt nő 65-kg"/>
    <s v="Kumite, felnőtt női +65 kg"/>
    <s v="4"/>
    <s v="4 fős körmérkőzés"/>
    <s v="3"/>
    <s v="Varga Borbála"/>
    <x v="13"/>
    <s v="HUN"/>
    <n v="6"/>
    <m/>
    <s v="Veszprém"/>
    <d v="2026-02-14T00:00:00"/>
    <s v="Varga Borbála - Kamikaze S"/>
    <x v="0"/>
    <s v="Kamikaze S"/>
    <x v="0"/>
    <s v="felnőtt"/>
  </r>
  <r>
    <x v="0"/>
    <s v="3A"/>
    <n v="54"/>
    <x v="0"/>
    <s v="Kumite, U21 nő 60-64,9kg"/>
    <s v="Kumite, U21 női 65 kg"/>
    <s v="3"/>
    <s v="3 fős körmérkőzés"/>
    <s v="1"/>
    <s v="Józsa Erika Réka"/>
    <x v="7"/>
    <s v="HUN"/>
    <n v="6"/>
    <m/>
    <s v="Veszprém"/>
    <d v="2026-02-14T00:00:00"/>
    <s v="Józsa Erika Réka - KHSE"/>
    <x v="0"/>
    <s v="KHSE"/>
    <x v="0"/>
    <s v="J21"/>
  </r>
  <r>
    <x v="0"/>
    <s v="3A"/>
    <n v="55"/>
    <x v="0"/>
    <s v="Kumite, U21 nő 60-64,9kg"/>
    <s v="Kumite, U21 női 65 kg"/>
    <s v="3"/>
    <s v="3 fős körmérkőzés"/>
    <s v="2"/>
    <s v="Kis Mónika"/>
    <x v="4"/>
    <s v="HUN"/>
    <n v="4"/>
    <m/>
    <s v="Veszprém"/>
    <d v="2026-02-14T00:00:00"/>
    <s v="Kis Mónika - Főnix Dojo"/>
    <x v="0"/>
    <s v="Főnix Dojo"/>
    <x v="0"/>
    <s v="J21"/>
  </r>
  <r>
    <x v="0"/>
    <s v="3A"/>
    <n v="56"/>
    <x v="0"/>
    <s v="Kumite, U21 nő 60-64,9kg"/>
    <s v="Kumite, U21 női 65 kg"/>
    <s v="3"/>
    <s v="3 fős körmérkőzés"/>
    <s v="3"/>
    <s v="Rácz Dorottya"/>
    <x v="7"/>
    <s v="HUN"/>
    <n v="0"/>
    <s v="nem volt nyertes mérkőzése"/>
    <s v="Veszprém"/>
    <d v="2026-02-14T00:00:00"/>
    <s v="Rácz Dorottya - KHSE"/>
    <x v="0"/>
    <s v="KHSE"/>
    <x v="0"/>
    <s v="J21"/>
  </r>
  <r>
    <x v="0"/>
    <s v="3B"/>
    <n v="57"/>
    <x v="1"/>
    <s v="Kata, FELNŐTT nő"/>
    <s v="Kata, felnőtt női"/>
    <n v="14"/>
    <s v="16 fős egyenes kiesés + 3. hely"/>
    <s v="1"/>
    <s v="Polák Leila"/>
    <x v="5"/>
    <s v="HUN"/>
    <n v="10.000000010000001"/>
    <m/>
    <s v="Veszprém"/>
    <d v="2026-02-14T00:00:00"/>
    <s v="Polák Leila - TADASHII "/>
    <x v="1"/>
    <s v="TADASHII "/>
    <x v="0"/>
    <s v="felnőtt"/>
  </r>
  <r>
    <x v="0"/>
    <s v="3B"/>
    <n v="58"/>
    <x v="1"/>
    <s v="Kata, FELNŐTT nő"/>
    <s v="Kata, felnőtt női"/>
    <n v="14"/>
    <s v="16 fős egyenes kiesés + 3. hely"/>
    <s v="2"/>
    <s v="Berényi Lujza Beatrix"/>
    <x v="21"/>
    <s v="HUN"/>
    <n v="8.0000000100000008"/>
    <m/>
    <s v="Veszprém"/>
    <d v="2026-02-14T00:00:00"/>
    <s v="Berényi Lujza Beatrix - Kagami"/>
    <x v="0"/>
    <s v="Kagami"/>
    <x v="0"/>
    <s v="felnőtt"/>
  </r>
  <r>
    <x v="0"/>
    <s v="3B"/>
    <n v="59"/>
    <x v="1"/>
    <s v="Kata, FELNŐTT nő"/>
    <s v="Kata, felnőtt női"/>
    <n v="14"/>
    <s v="16 fős egyenes kiesés + 3. hely"/>
    <s v="3"/>
    <s v="Csordás Norina"/>
    <x v="8"/>
    <s v="HUN"/>
    <n v="6.0000000099999999"/>
    <m/>
    <s v="Veszprém"/>
    <d v="2026-02-14T00:00:00"/>
    <s v="Csordás Norina - Seiken STKE"/>
    <x v="1"/>
    <s v="Seiken STKE"/>
    <x v="0"/>
    <s v="felnőtt"/>
  </r>
  <r>
    <x v="0"/>
    <s v="3B"/>
    <n v="60"/>
    <x v="1"/>
    <s v="Kata, FELNŐTT nő"/>
    <s v="Kata, felnőtt női"/>
    <n v="14"/>
    <s v="16 fős egyenes kiesés + 3. hely"/>
    <s v="4"/>
    <s v="Gerő Hanna Gréta"/>
    <x v="21"/>
    <s v="HUN"/>
    <n v="4.0000000099999999"/>
    <m/>
    <s v="Veszprém"/>
    <d v="2026-02-14T00:00:00"/>
    <s v="Gerő Hanna Gréta - Kagami"/>
    <x v="0"/>
    <s v="Kagami"/>
    <x v="0"/>
    <s v="felnőtt"/>
  </r>
  <r>
    <x v="0"/>
    <s v="3B"/>
    <n v="62"/>
    <x v="1"/>
    <s v="Kata, FELNŐTT nő"/>
    <s v="Kata, felnőtt női"/>
    <n v="14"/>
    <s v="16 fős egyenes kiesés + 3. hely"/>
    <n v="5"/>
    <s v="Litvák Lili"/>
    <x v="7"/>
    <s v="HUN"/>
    <n v="3.0000000099999999"/>
    <m/>
    <s v="Veszprém"/>
    <d v="2026-02-14T00:00:00"/>
    <s v="Litvák Lili - KHSE"/>
    <x v="0"/>
    <s v="KHSE"/>
    <x v="0"/>
    <s v="felnőtt"/>
  </r>
  <r>
    <x v="0"/>
    <s v="3B"/>
    <n v="71"/>
    <x v="1"/>
    <s v="Kata, FELNŐTT nő"/>
    <s v="Kata, felnőtt női"/>
    <n v="14"/>
    <s v="16 fős egyenes kiesés + 3. hely"/>
    <n v="6"/>
    <s v="Rácz Viktória"/>
    <x v="3"/>
    <s v="HUN"/>
    <n v="3.0000000099999999"/>
    <m/>
    <s v="Veszprém"/>
    <d v="2026-02-14T00:00:00"/>
    <s v="Rácz Viktória - Shogun"/>
    <x v="0"/>
    <s v="Shogun"/>
    <x v="0"/>
    <s v="felnőtt"/>
  </r>
  <r>
    <x v="0"/>
    <s v="3B"/>
    <n v="69"/>
    <x v="1"/>
    <s v="Kata, FELNŐTT nő"/>
    <s v="Kata, felnőtt női"/>
    <n v="14"/>
    <s v="16 fős egyenes kiesés + 3. hely"/>
    <n v="7"/>
    <s v="Sólyom Anna"/>
    <x v="3"/>
    <s v="HUN"/>
    <n v="3.0000000099999999"/>
    <m/>
    <s v="Veszprém"/>
    <d v="2026-02-14T00:00:00"/>
    <s v="Sólyom Anna - Shogun"/>
    <x v="0"/>
    <s v="Shogun"/>
    <x v="0"/>
    <s v="felnőtt"/>
  </r>
  <r>
    <x v="0"/>
    <s v="3B"/>
    <n v="61"/>
    <x v="1"/>
    <s v="Kata, FELNŐTT nő"/>
    <s v="Kata, felnőtt női"/>
    <n v="14"/>
    <s v="16 fős egyenes kiesés + 3. hely"/>
    <n v="8"/>
    <s v="Arnódi Gréta Bernadette"/>
    <x v="21"/>
    <s v="HUN"/>
    <n v="3.0000000099999999"/>
    <m/>
    <s v="Veszprém"/>
    <d v="2026-02-14T00:00:00"/>
    <s v="Arnódi Gréta Bernadette - Kagami"/>
    <x v="0"/>
    <s v="Kagami"/>
    <x v="0"/>
    <s v="felnőtt"/>
  </r>
  <r>
    <x v="0"/>
    <s v="3B"/>
    <n v="68"/>
    <x v="1"/>
    <s v="Kata, FELNŐTT nő"/>
    <s v="Kata, felnőtt női"/>
    <n v="14"/>
    <s v="16 fős egyenes kiesés + 3. hely"/>
    <n v="9"/>
    <s v="Hardi Laura"/>
    <x v="22"/>
    <s v="HUN"/>
    <n v="0"/>
    <s v="14 induló &gt; nem jár már pont"/>
    <s v="Veszprém"/>
    <d v="2026-02-14T00:00:00"/>
    <s v="Hardi Laura - Siófok KSE"/>
    <x v="0"/>
    <s v="Siófok KSE"/>
    <x v="0"/>
    <s v="felnőtt"/>
  </r>
  <r>
    <x v="0"/>
    <s v="3B"/>
    <n v="65"/>
    <x v="1"/>
    <s v="Kata, FELNŐTT nő"/>
    <s v="Kata, felnőtt női"/>
    <n v="14"/>
    <s v="16 fős egyenes kiesés + 3. hely"/>
    <n v="10"/>
    <s v="Sólyom Gréta"/>
    <x v="3"/>
    <s v="HUN"/>
    <n v="0"/>
    <s v="14 induló &gt; nem jár már pont"/>
    <s v="Veszprém"/>
    <d v="2026-02-14T00:00:00"/>
    <s v="Sólyom Gréta - Shogun"/>
    <x v="0"/>
    <s v="Shogun"/>
    <x v="0"/>
    <s v="felnőtt"/>
  </r>
  <r>
    <x v="0"/>
    <s v="3B"/>
    <n v="66"/>
    <x v="1"/>
    <s v="Kata, FELNŐTT nő"/>
    <s v="Kata, felnőtt női"/>
    <n v="14"/>
    <s v="16 fős egyenes kiesés + 3. hely"/>
    <n v="11"/>
    <s v="Jernyei Nikolett"/>
    <x v="7"/>
    <s v="HUN"/>
    <n v="0"/>
    <s v="14 induló &gt; nem jár már pont"/>
    <s v="Veszprém"/>
    <d v="2026-02-14T00:00:00"/>
    <s v="Jernyei Nikolett - KHSE"/>
    <x v="0"/>
    <s v="KHSE"/>
    <x v="0"/>
    <s v="felnőtt"/>
  </r>
  <r>
    <x v="0"/>
    <s v="3B"/>
    <n v="67"/>
    <x v="1"/>
    <s v="Kata, FELNŐTT nő"/>
    <s v="Kata, felnőtt női"/>
    <n v="14"/>
    <s v="16 fős egyenes kiesés + 3. hely"/>
    <n v="12"/>
    <s v="Nagy Nóra Bíborka"/>
    <x v="17"/>
    <s v="HUN"/>
    <n v="0"/>
    <s v="14 induló &gt; nem jár már pont"/>
    <s v="Veszprém"/>
    <d v="2026-02-14T00:00:00"/>
    <s v="Nagy Nóra Bíborka - BHMSE"/>
    <x v="0"/>
    <s v="BHMSE"/>
    <x v="0"/>
    <s v="felnőtt"/>
  </r>
  <r>
    <x v="0"/>
    <s v="3B"/>
    <n v="63"/>
    <x v="1"/>
    <s v="Kata, FELNŐTT nő"/>
    <s v="Kata, felnőtt női"/>
    <n v="14"/>
    <s v="16 fős egyenes kiesés + 3. hely"/>
    <n v="13"/>
    <s v="Horváth Nóra"/>
    <x v="9"/>
    <s v="HUN"/>
    <n v="0"/>
    <s v="14 induló &gt; nem jár már pont"/>
    <s v="Veszprém"/>
    <d v="2026-02-14T00:00:00"/>
    <s v="Horváth Nóra - Beledi KÉSZ SE"/>
    <x v="1"/>
    <s v="Beledi KÉSZ SE"/>
    <x v="0"/>
    <s v="felnőtt"/>
  </r>
  <r>
    <x v="0"/>
    <s v="3B"/>
    <n v="70"/>
    <x v="1"/>
    <s v="Kata, FELNŐTT nő"/>
    <s v="Kata, felnőtt női"/>
    <n v="14"/>
    <s v="16 fős egyenes kiesés + 3. hely"/>
    <n v="14"/>
    <s v="Dróth-Tóth Adrienn"/>
    <x v="23"/>
    <s v="HUN"/>
    <n v="0"/>
    <s v="14 induló &gt; nem jár már pont"/>
    <s v="Veszprém"/>
    <d v="2026-02-14T00:00:00"/>
    <s v="Dróth-Tóth Adrienn - Rakurai"/>
    <x v="0"/>
    <s v="Rakurai"/>
    <x v="0"/>
    <s v="felnőtt"/>
  </r>
  <r>
    <x v="0"/>
    <n v="2"/>
    <n v="72"/>
    <x v="1"/>
    <s v="Kata, FELNŐTT nő"/>
    <s v="Kata, felnőtt csapat"/>
    <n v="2"/>
    <s v="2 csapat induló "/>
    <n v="1"/>
    <s v="KHSE csapat"/>
    <x v="7"/>
    <s v="HUN"/>
    <n v="0"/>
    <s v="2 induló estetán nem jár pont"/>
    <s v="Veszprém"/>
    <d v="2026-02-14T00:00:00"/>
    <s v="KHSE csapat - KHSE"/>
    <x v="0"/>
    <s v="KHSE"/>
    <x v="0"/>
    <s v="felnőtt"/>
  </r>
  <r>
    <x v="0"/>
    <n v="2"/>
    <n v="73"/>
    <x v="1"/>
    <s v="Kata, FELNŐTT nő"/>
    <s v="Kata, felnőtt csapat"/>
    <n v="2"/>
    <s v="2 csapat induló "/>
    <n v="2"/>
    <s v="Kagami csapat"/>
    <x v="21"/>
    <s v="HUN"/>
    <n v="0"/>
    <s v="2 induló estetán nem jár pont"/>
    <s v="Veszprém"/>
    <d v="2026-02-14T00:00:00"/>
    <s v="Kagami csapat - Kagami"/>
    <x v="0"/>
    <s v="Kagami"/>
    <x v="0"/>
    <s v="felnőtt"/>
  </r>
  <r>
    <x v="1"/>
    <n v="2"/>
    <n v="1"/>
    <x v="0"/>
    <s v="Kumite, -, 0-30 kg, Gyerek 1. (9-10"/>
    <s v="Kumite, gyerek 1. fiú 30 kg"/>
    <s v="6"/>
    <s v="6 fős vegyes"/>
    <s v="1"/>
    <s v="Vámosi Juhász Ádám"/>
    <x v="24"/>
    <s v="HUN"/>
    <n v="6"/>
    <m/>
    <s v="Várpalota"/>
    <d v="2026-02-28T00:00:00"/>
    <s v="Vámosi Juhász Ádám - Nagykátai Bushido SE"/>
    <x v="0"/>
    <s v="Nagykátai Bushido SE"/>
    <x v="1"/>
    <s v="gyerek"/>
  </r>
  <r>
    <x v="1"/>
    <n v="2"/>
    <n v="2"/>
    <x v="0"/>
    <s v="Kumite, -, 0-30 kg, Gyerek 1. (9-10"/>
    <s v="Kumite, gyerek 1. fiú 30 kg"/>
    <s v="6"/>
    <s v="6 fős vegyes"/>
    <s v="2"/>
    <s v="Zajácz Imre"/>
    <x v="13"/>
    <s v="HUN"/>
    <n v="5"/>
    <m/>
    <s v="Várpalota"/>
    <d v="2026-02-28T00:00:00"/>
    <s v="Zajácz Imre - Kamikaze S"/>
    <x v="0"/>
    <s v="Kamikaze S"/>
    <x v="1"/>
    <s v="gyerek"/>
  </r>
  <r>
    <x v="1"/>
    <n v="2"/>
    <n v="3"/>
    <x v="0"/>
    <s v="Kumite, -, 0-30 kg, Gyerek 1. (9-10"/>
    <s v="Kumite, gyerek 1. fiú 30 kg"/>
    <s v="6"/>
    <s v="6 fős vegyes"/>
    <s v="3"/>
    <s v="Aupek Márk"/>
    <x v="19"/>
    <s v="HUN"/>
    <n v="3"/>
    <m/>
    <s v="Várpalota"/>
    <d v="2026-02-28T00:00:00"/>
    <s v="Aupek Márk - VTSE"/>
    <x v="1"/>
    <s v="VTSE"/>
    <x v="1"/>
    <s v="gyerek"/>
  </r>
  <r>
    <x v="1"/>
    <n v="2"/>
    <n v="4"/>
    <x v="0"/>
    <s v="Kumite, -, 30-35 kg, Gyerek 1. (9-10"/>
    <s v="Kumite, gyerek 1. fiú 35 kg"/>
    <s v="6"/>
    <s v="6 fős vegyes"/>
    <s v="1"/>
    <s v="Gombos-Weidinger Bence"/>
    <x v="17"/>
    <s v="HUN"/>
    <n v="6"/>
    <m/>
    <s v="Várpalota"/>
    <d v="2026-02-28T00:00:00"/>
    <s v="Gombos-Weidinger Bence - BHMSE"/>
    <x v="0"/>
    <s v="BHMSE"/>
    <x v="1"/>
    <s v="gyerek"/>
  </r>
  <r>
    <x v="1"/>
    <n v="2"/>
    <n v="5"/>
    <x v="0"/>
    <s v="Kumite, -, 30-35 kg, Gyerek 1. (9-10"/>
    <s v="Kumite, gyerek 1. fiú 35 kg"/>
    <s v="6"/>
    <s v="6 fős vegyes"/>
    <s v="2"/>
    <s v="Seres Zoltán"/>
    <x v="1"/>
    <s v="HUN"/>
    <n v="5"/>
    <m/>
    <s v="Várpalota"/>
    <d v="2026-02-28T00:00:00"/>
    <s v="Seres Zoltán - Ippon KKSE"/>
    <x v="0"/>
    <s v="Ippon KKSE"/>
    <x v="1"/>
    <s v="gyerek"/>
  </r>
  <r>
    <x v="1"/>
    <n v="2"/>
    <n v="6"/>
    <x v="0"/>
    <s v="Kumite, -, 30-35 kg, Gyerek 1. (9-10"/>
    <s v="Kumite, gyerek 1. fiú 35 kg"/>
    <s v="6"/>
    <s v="6 fős vegyes"/>
    <s v="3"/>
    <s v="Menyhárt Levente "/>
    <x v="9"/>
    <s v="HUN"/>
    <n v="3"/>
    <m/>
    <s v="Várpalota"/>
    <d v="2026-02-28T00:00:00"/>
    <s v="Menyhárt Levente  - Beledi KÉSZ SE"/>
    <x v="1"/>
    <s v="Beledi KÉSZ SE"/>
    <x v="1"/>
    <s v="gyerek"/>
  </r>
  <r>
    <x v="1"/>
    <n v="2"/>
    <n v="7"/>
    <x v="0"/>
    <s v="Kumite, -, 35-99 kg, Gyerek 1. (9-10"/>
    <s v="Kumite, gyerek 1. fiú +35 kg"/>
    <s v="7"/>
    <s v="8 fős egyenes kiesés"/>
    <s v="1"/>
    <s v="Szabó Marcell Károly"/>
    <x v="25"/>
    <s v="HUN"/>
    <n v="6"/>
    <m/>
    <s v="Várpalota"/>
    <d v="2026-02-28T00:00:00"/>
    <s v="Szabó Marcell Károly - Katana SE"/>
    <x v="0"/>
    <s v="Katana SE"/>
    <x v="1"/>
    <s v="gyerek"/>
  </r>
  <r>
    <x v="1"/>
    <n v="2"/>
    <n v="8"/>
    <x v="0"/>
    <s v="Kumite, -, 35-99 kg, Gyerek 1. (9-10"/>
    <s v="Kumite, gyerek 1. fiú +35 kg"/>
    <s v="7"/>
    <s v="8 fős egyenes kiesés"/>
    <s v="2"/>
    <s v="Kasza Benett"/>
    <x v="24"/>
    <s v="HUN"/>
    <n v="5"/>
    <m/>
    <s v="Várpalota"/>
    <d v="2026-02-28T00:00:00"/>
    <s v="Kasza Benett - Nagykátai Bushido SE"/>
    <x v="0"/>
    <s v="Nagykátai Bushido SE"/>
    <x v="1"/>
    <s v="gyerek"/>
  </r>
  <r>
    <x v="1"/>
    <n v="2"/>
    <n v="9"/>
    <x v="0"/>
    <s v="Kumite, -, 35-99 kg, Gyerek 1. (9-10"/>
    <s v="Kumite, gyerek 1. fiú +35 kg"/>
    <s v="7"/>
    <s v="8 fős egyenes kiesés"/>
    <s v="3"/>
    <s v="Bakonyi Erik"/>
    <x v="17"/>
    <s v="HUN"/>
    <n v="0"/>
    <s v="nem volt nyertes mérkőzése"/>
    <s v="Várpalota"/>
    <d v="2026-02-28T00:00:00"/>
    <s v="Bakonyi Erik - BHMSE"/>
    <x v="0"/>
    <s v="BHMSE"/>
    <x v="1"/>
    <s v="gyerek"/>
  </r>
  <r>
    <x v="1"/>
    <n v="2"/>
    <n v="10"/>
    <x v="0"/>
    <s v="Kumite, -, 35-99 kg, Gyerek 1. (9-10"/>
    <s v="Kumite, gyerek 1. fiú +35 kg"/>
    <s v="7"/>
    <s v="8 fős egyenes kiesés"/>
    <s v="3"/>
    <s v="Kelemen Milán"/>
    <x v="9"/>
    <s v="HUN"/>
    <n v="3"/>
    <m/>
    <s v="Várpalota"/>
    <d v="2026-02-28T00:00:00"/>
    <s v="Kelemen Milán - Beledi KÉSZ SE"/>
    <x v="1"/>
    <s v="Beledi KÉSZ SE"/>
    <x v="1"/>
    <s v="gyerek"/>
  </r>
  <r>
    <x v="1"/>
    <n v="2"/>
    <n v="11"/>
    <x v="0"/>
    <s v="Kumite, -, 35-99 kg, Gyerek 1. (9-10"/>
    <s v="Kumite, gyerek 1. fiú +35 kg"/>
    <s v="7"/>
    <s v="8 fős egyenes kiesés"/>
    <s v="5"/>
    <s v="Vass Zalán"/>
    <x v="4"/>
    <s v="HUN"/>
    <n v="0"/>
    <m/>
    <s v="Várpalota"/>
    <d v="2026-02-28T00:00:00"/>
    <s v="Vass Zalán - Főnix Dojo"/>
    <x v="0"/>
    <s v="Főnix Dojo"/>
    <x v="1"/>
    <s v="gyerek"/>
  </r>
  <r>
    <x v="1"/>
    <n v="2"/>
    <n v="12"/>
    <x v="0"/>
    <s v="Kumite, -, 35-99 kg, Gyerek 1. (9-10"/>
    <s v="Kumite, gyerek 1. fiú +35 kg"/>
    <s v="7"/>
    <s v="8 fős egyenes kiesés"/>
    <s v="6"/>
    <s v="Tamási Péter Tamás"/>
    <x v="6"/>
    <s v="HUN"/>
    <n v="0"/>
    <m/>
    <s v="Várpalota"/>
    <d v="2026-02-28T00:00:00"/>
    <s v="Tamási Péter Tamás - Castrum"/>
    <x v="0"/>
    <s v="Castrum"/>
    <x v="1"/>
    <s v="gyerek"/>
  </r>
  <r>
    <x v="1"/>
    <n v="2"/>
    <n v="13"/>
    <x v="0"/>
    <s v="Kumite, -, 35-99 kg, Gyerek 1. (9-10"/>
    <s v="Kumite, gyerek 1. fiú +35 kg"/>
    <s v="7"/>
    <s v="8 fős egyenes kiesés"/>
    <s v="7-8"/>
    <s v="Nagy Hunor"/>
    <x v="23"/>
    <s v="HUN"/>
    <n v="0"/>
    <m/>
    <s v="Várpalota"/>
    <d v="2026-02-28T00:00:00"/>
    <s v="Nagy Hunor - Rakurai"/>
    <x v="0"/>
    <s v="Rakurai"/>
    <x v="1"/>
    <s v="gyerek"/>
  </r>
  <r>
    <x v="1"/>
    <n v="2"/>
    <n v="14"/>
    <x v="1"/>
    <s v="Kata, -, 0-100 kg, Gyerek 1. (9-10"/>
    <s v="Kata, gyerek 1. fiú"/>
    <s v="12"/>
    <s v="16 fős egyenes kiesés"/>
    <s v="1"/>
    <s v="Kolipka Máté Gergő"/>
    <x v="15"/>
    <s v="HUN"/>
    <n v="6"/>
    <m/>
    <s v="Várpalota"/>
    <d v="2026-02-28T00:00:00"/>
    <s v="Kolipka Máté Gergő - KSE Tarján"/>
    <x v="0"/>
    <s v="KSE Tarján"/>
    <x v="1"/>
    <s v="gyerek"/>
  </r>
  <r>
    <x v="1"/>
    <n v="2"/>
    <n v="15"/>
    <x v="1"/>
    <s v="Kata, -, 0-100 kg, Gyerek 1. (9-10"/>
    <s v="Kata, gyerek 1. fiú"/>
    <s v="12"/>
    <s v="16 fős egyenes kiesés"/>
    <s v="2"/>
    <s v="Aupek Márk"/>
    <x v="19"/>
    <s v="HUN"/>
    <n v="5"/>
    <m/>
    <s v="Várpalota"/>
    <d v="2026-02-28T00:00:00"/>
    <s v="Aupek Márk - VTSE"/>
    <x v="1"/>
    <s v="VTSE"/>
    <x v="1"/>
    <s v="gyerek"/>
  </r>
  <r>
    <x v="1"/>
    <n v="2"/>
    <n v="16"/>
    <x v="1"/>
    <s v="Kata, -, 0-100 kg, Gyerek 1. (9-10"/>
    <s v="Kata, gyerek 1. fiú"/>
    <s v="12"/>
    <s v="16 fős egyenes kiesés"/>
    <s v="3"/>
    <s v="Csordás Olivér"/>
    <x v="15"/>
    <s v="HUN"/>
    <n v="3"/>
    <m/>
    <s v="Várpalota"/>
    <d v="2026-02-28T00:00:00"/>
    <s v="Csordás Olivér - KSE Tarján"/>
    <x v="0"/>
    <s v="KSE Tarján"/>
    <x v="1"/>
    <s v="gyerek"/>
  </r>
  <r>
    <x v="1"/>
    <n v="2"/>
    <n v="17"/>
    <x v="1"/>
    <s v="Kata, -, 0-100 kg, Gyerek 1. (9-10"/>
    <s v="Kata, gyerek 1. fiú"/>
    <s v="12"/>
    <s v="16 fős egyenes kiesés"/>
    <s v="3"/>
    <s v="Gruber Marcell"/>
    <x v="22"/>
    <s v="HUN"/>
    <n v="3"/>
    <m/>
    <s v="Várpalota"/>
    <d v="2026-02-28T00:00:00"/>
    <s v="Gruber Marcell - Siófok KSE"/>
    <x v="0"/>
    <s v="Siófok KSE"/>
    <x v="1"/>
    <s v="gyerek"/>
  </r>
  <r>
    <x v="1"/>
    <n v="2"/>
    <n v="18"/>
    <x v="1"/>
    <s v="Kata, -, 0-100 kg, Gyerek 1. (9-10"/>
    <s v="Kata, gyerek 1. fiú"/>
    <s v="12"/>
    <s v="16 fős egyenes kiesés"/>
    <s v="5"/>
    <s v="Bogdán Zsombor"/>
    <x v="25"/>
    <s v="HUN"/>
    <n v="0"/>
    <s v="nem volt nyertes mérkőzése"/>
    <s v="Várpalota"/>
    <d v="2026-02-28T00:00:00"/>
    <s v="Bogdán Zsombor - Katana SE"/>
    <x v="0"/>
    <s v="Katana SE"/>
    <x v="1"/>
    <s v="gyerek"/>
  </r>
  <r>
    <x v="1"/>
    <n v="2"/>
    <n v="19"/>
    <x v="1"/>
    <s v="Kata, -, 0-100 kg, Gyerek 1. (9-10"/>
    <s v="Kata, gyerek 1. fiú"/>
    <s v="12"/>
    <s v="16 fős egyenes kiesés"/>
    <s v="6"/>
    <s v="Németh Dávid"/>
    <x v="17"/>
    <s v="HUN"/>
    <n v="0"/>
    <s v="nem volt nyertes mérkőzése"/>
    <s v="Várpalota"/>
    <d v="2026-02-28T00:00:00"/>
    <s v="Németh Dávid - BHMSE"/>
    <x v="0"/>
    <s v="BHMSE"/>
    <x v="1"/>
    <s v="gyerek"/>
  </r>
  <r>
    <x v="1"/>
    <n v="2"/>
    <n v="20"/>
    <x v="1"/>
    <s v="Kata, -, 0-100 kg, Gyerek 1. (9-10"/>
    <s v="Kata, gyerek 1. fiú"/>
    <s v="12"/>
    <s v="16 fős egyenes kiesés"/>
    <s v="7-8"/>
    <s v="Péntek András"/>
    <x v="25"/>
    <s v="HUN"/>
    <n v="0"/>
    <s v="nem volt nyertes mérkőzése"/>
    <s v="Várpalota"/>
    <d v="2026-02-28T00:00:00"/>
    <s v="Péntek András - Katana SE"/>
    <x v="0"/>
    <s v="Katana SE"/>
    <x v="1"/>
    <s v="gyerek"/>
  </r>
  <r>
    <x v="1"/>
    <n v="2"/>
    <n v="21"/>
    <x v="1"/>
    <s v="Kata, -, 0-100 kg, Gyerek 1. (9-10"/>
    <s v="Kata, gyerek 1. fiú"/>
    <s v="12"/>
    <s v="16 fős egyenes kiesés"/>
    <s v="7-8"/>
    <s v="Bakonyi Erik"/>
    <x v="17"/>
    <s v="HUN"/>
    <n v="0"/>
    <s v="nem volt nyertes mérkőzése"/>
    <s v="Várpalota"/>
    <d v="2026-02-28T00:00:00"/>
    <s v="Bakonyi Erik - BHMSE"/>
    <x v="0"/>
    <s v="BHMSE"/>
    <x v="1"/>
    <s v="gyerek"/>
  </r>
  <r>
    <x v="1"/>
    <n v="2"/>
    <n v="22"/>
    <x v="1"/>
    <s v="Kata, -, 0-100 kg, Gyerek 1. (9-10"/>
    <s v="Kata, gyerek 1. fiú"/>
    <s v="12"/>
    <s v="16 fős egyenes kiesés"/>
    <s v="9"/>
    <s v="Gattoni Marcello"/>
    <x v="17"/>
    <s v="HUN"/>
    <n v="0"/>
    <m/>
    <s v="Várpalota"/>
    <d v="2026-02-28T00:00:00"/>
    <s v="Gattoni Marcello - BHMSE"/>
    <x v="0"/>
    <s v="BHMSE"/>
    <x v="1"/>
    <s v="gyerek"/>
  </r>
  <r>
    <x v="1"/>
    <n v="2"/>
    <n v="23"/>
    <x v="1"/>
    <s v="Kata, -, 0-100 kg, Gyerek 1. (9-10"/>
    <s v="Kata, gyerek 1. fiú"/>
    <s v="12"/>
    <s v="16 fős egyenes kiesés"/>
    <s v="10"/>
    <s v="Karácsony Vadim"/>
    <x v="17"/>
    <s v="HUN"/>
    <n v="0"/>
    <m/>
    <s v="Várpalota"/>
    <d v="2026-02-28T00:00:00"/>
    <s v="Karácsony Vadim - BHMSE"/>
    <x v="0"/>
    <s v="BHMSE"/>
    <x v="1"/>
    <s v="gyerek"/>
  </r>
  <r>
    <x v="1"/>
    <n v="2"/>
    <n v="24"/>
    <x v="1"/>
    <s v="Kata, -, 0-100 kg, Gyerek 1. (9-10"/>
    <s v="Kata, gyerek 1. fiú"/>
    <s v="12"/>
    <s v="16 fős egyenes kiesés"/>
    <s v="11-16"/>
    <s v="Jávor Mika"/>
    <x v="17"/>
    <s v="HUN"/>
    <n v="0"/>
    <m/>
    <s v="Várpalota"/>
    <d v="2026-02-28T00:00:00"/>
    <s v="Jávor Mika - BHMSE"/>
    <x v="0"/>
    <s v="BHMSE"/>
    <x v="1"/>
    <s v="gyerek"/>
  </r>
  <r>
    <x v="1"/>
    <n v="2"/>
    <n v="25"/>
    <x v="1"/>
    <s v="Kata, -, 0-100 kg, Gyerek 1. (9-10"/>
    <s v="Kata, gyerek 1. fiú"/>
    <s v="12"/>
    <s v="16 fős egyenes kiesés"/>
    <s v="11-16"/>
    <s v="Gombos-Weidinger Bence"/>
    <x v="17"/>
    <s v="HUN"/>
    <n v="0"/>
    <m/>
    <s v="Várpalota"/>
    <d v="2026-02-28T00:00:00"/>
    <s v="Gombos-Weidinger Bence - BHMSE"/>
    <x v="0"/>
    <s v="BHMSE"/>
    <x v="1"/>
    <s v="gyerek"/>
  </r>
  <r>
    <x v="1"/>
    <n v="2"/>
    <n v="26"/>
    <x v="0"/>
    <s v="Kumite, -, 0-30 kg, Gyerek 1. (9-10"/>
    <s v="Kumite, gyerek 1. lány 30 kg"/>
    <s v="2"/>
    <s v="2 fős egyenes kiesés"/>
    <s v="1"/>
    <s v="Lukács Ajsa"/>
    <x v="17"/>
    <s v="HUN"/>
    <n v="3"/>
    <m/>
    <s v="Várpalota"/>
    <d v="2026-02-28T00:00:00"/>
    <s v="Lukács Ajsa - BHMSE"/>
    <x v="0"/>
    <s v="BHMSE"/>
    <x v="1"/>
    <s v="gyerek"/>
  </r>
  <r>
    <x v="1"/>
    <n v="2"/>
    <n v="27"/>
    <x v="0"/>
    <s v="Kumite, -, 0-30 kg, Gyerek 1. (9-10"/>
    <s v="Kumite, gyerek 1. lány 30 kg"/>
    <s v="2"/>
    <s v="2 fős egyenes kiesés"/>
    <s v="2"/>
    <s v="Erdei Emília"/>
    <x v="26"/>
    <s v="HUN"/>
    <n v="0"/>
    <m/>
    <s v="Várpalota"/>
    <d v="2026-02-28T00:00:00"/>
    <s v="Erdei Emília - Rokku KKSE"/>
    <x v="0"/>
    <s v="Rokku KKSE"/>
    <x v="1"/>
    <s v="gyerek"/>
  </r>
  <r>
    <x v="1"/>
    <n v="2"/>
    <n v="28"/>
    <x v="0"/>
    <s v="Kumite, -, 30-35 kg, Gyerek 1. (9-10"/>
    <s v="Kumite, gyerek 1. lány 35 kg"/>
    <s v="2"/>
    <s v="2 fős egyenes kiesés"/>
    <s v="1"/>
    <s v="Kámán Luca"/>
    <x v="23"/>
    <s v="HUN"/>
    <n v="3"/>
    <m/>
    <s v="Várpalota"/>
    <d v="2026-02-28T00:00:00"/>
    <s v="Kámán Luca - Rakurai"/>
    <x v="0"/>
    <s v="Rakurai"/>
    <x v="1"/>
    <s v="gyerek"/>
  </r>
  <r>
    <x v="1"/>
    <n v="2"/>
    <n v="29"/>
    <x v="0"/>
    <s v="Kumite, -, 30-35 kg, Gyerek 1. (9-10"/>
    <s v="Kumite, gyerek 1. lány 35 kg"/>
    <s v="2"/>
    <s v="2 fős egyenes kiesés"/>
    <s v="2"/>
    <s v="Falus Dorottya"/>
    <x v="26"/>
    <s v="HUN"/>
    <n v="0"/>
    <m/>
    <s v="Várpalota"/>
    <d v="2026-02-28T00:00:00"/>
    <s v="Falus Dorottya - Rokku KKSE"/>
    <x v="0"/>
    <s v="Rokku KKSE"/>
    <x v="1"/>
    <s v="gyerek"/>
  </r>
  <r>
    <x v="1"/>
    <n v="2"/>
    <n v="30"/>
    <x v="0"/>
    <s v="Kumite, -, 35-200 kg, Gyerek 1. (9-10"/>
    <s v="Kumite, gyerek 1. lány +35 kg"/>
    <s v="4"/>
    <s v="4 fős körmérkőzés"/>
    <s v="1"/>
    <s v="Németh Kitti"/>
    <x v="27"/>
    <s v="HUN"/>
    <n v="6"/>
    <m/>
    <s v="Várpalota"/>
    <d v="2026-02-28T00:00:00"/>
    <s v="Németh Kitti - Meiyo dojo"/>
    <x v="0"/>
    <s v="Meiyo dojo"/>
    <x v="1"/>
    <s v="gyerek"/>
  </r>
  <r>
    <x v="1"/>
    <n v="2"/>
    <n v="31"/>
    <x v="0"/>
    <s v="Kumite, -, 35-200 kg, Gyerek 1. (9-10"/>
    <s v="Kumite, gyerek 1. lány +35 kg"/>
    <s v="4"/>
    <s v="4 fős körmérkőzés"/>
    <s v="2"/>
    <s v="Buzás Anna"/>
    <x v="27"/>
    <s v="HUN"/>
    <n v="5"/>
    <m/>
    <s v="Várpalota"/>
    <d v="2026-02-28T00:00:00"/>
    <s v="Buzás Anna - Meiyo dojo"/>
    <x v="0"/>
    <s v="Meiyo dojo"/>
    <x v="1"/>
    <s v="gyerek"/>
  </r>
  <r>
    <x v="1"/>
    <n v="2"/>
    <n v="32"/>
    <x v="0"/>
    <s v="Kumite, -, 35-200 kg, Gyerek 1. (9-10"/>
    <s v="Kumite, gyerek 1. lány +35 kg"/>
    <s v="4"/>
    <s v="4 fős körmérkőzés"/>
    <s v="3"/>
    <s v="Balogh Zora"/>
    <x v="27"/>
    <s v="HUN"/>
    <n v="3"/>
    <m/>
    <s v="Várpalota"/>
    <d v="2026-02-28T00:00:00"/>
    <s v="Balogh Zora - Meiyo dojo"/>
    <x v="0"/>
    <s v="Meiyo dojo"/>
    <x v="1"/>
    <s v="gyerek"/>
  </r>
  <r>
    <x v="1"/>
    <n v="2"/>
    <n v="33"/>
    <x v="1"/>
    <s v="Kata, -, 0-100 kg, Gyerek 1. (9-10"/>
    <s v="Kata, gyerek 1. lány"/>
    <s v="8"/>
    <s v="8 fős egyenes kiesés"/>
    <s v="1"/>
    <s v="Varga Olivia"/>
    <x v="15"/>
    <s v="HUN"/>
    <n v="5"/>
    <m/>
    <s v="Várpalota"/>
    <d v="2026-02-28T00:00:00"/>
    <s v="Varga Olivia - KSE Tarján"/>
    <x v="0"/>
    <s v="KSE Tarján"/>
    <x v="1"/>
    <s v="gyerek"/>
  </r>
  <r>
    <x v="1"/>
    <n v="2"/>
    <n v="34"/>
    <x v="1"/>
    <s v="Kata, -, 0-100 kg, Gyerek 1. (9-10"/>
    <s v="Kata, gyerek 1. lány"/>
    <s v="8"/>
    <s v="8 fős egyenes kiesés"/>
    <s v="2"/>
    <s v="Tóth Csenge"/>
    <x v="24"/>
    <s v="HUN"/>
    <n v="4"/>
    <m/>
    <s v="Várpalota"/>
    <d v="2026-02-28T00:00:00"/>
    <s v="Tóth Csenge - Nagykátai Bushido SE"/>
    <x v="0"/>
    <s v="Nagykátai Bushido SE"/>
    <x v="1"/>
    <s v="gyerek"/>
  </r>
  <r>
    <x v="1"/>
    <n v="2"/>
    <n v="35"/>
    <x v="1"/>
    <s v="Kata, -, 0-100 kg, Gyerek 1. (9-10"/>
    <s v="Kata, gyerek 1. lány"/>
    <s v="8"/>
    <s v="8 fős egyenes kiesés"/>
    <s v="3"/>
    <s v="Falus Dorottya"/>
    <x v="26"/>
    <s v="HUN"/>
    <n v="2"/>
    <m/>
    <s v="Várpalota"/>
    <d v="2026-02-28T00:00:00"/>
    <s v="Falus Dorottya - Rokku KKSE"/>
    <x v="0"/>
    <s v="Rokku KKSE"/>
    <x v="1"/>
    <s v="gyerek"/>
  </r>
  <r>
    <x v="1"/>
    <n v="2"/>
    <n v="36"/>
    <x v="1"/>
    <s v="Kata, -, 0-100 kg, Gyerek 1. (9-10"/>
    <s v="Kata, gyerek 1. lány"/>
    <s v="8"/>
    <s v="8 fős egyenes kiesés"/>
    <s v="3"/>
    <s v="Németh Kitti"/>
    <x v="27"/>
    <s v="HUN"/>
    <n v="2"/>
    <m/>
    <s v="Várpalota"/>
    <d v="2026-02-28T00:00:00"/>
    <s v="Németh Kitti - Meiyo dojo"/>
    <x v="0"/>
    <s v="Meiyo dojo"/>
    <x v="1"/>
    <s v="gyerek"/>
  </r>
  <r>
    <x v="1"/>
    <n v="2"/>
    <n v="37"/>
    <x v="1"/>
    <s v="Kata, -, 0-100 kg, Gyerek 1. (9-10"/>
    <s v="Kata, gyerek 1. lány"/>
    <s v="8"/>
    <s v="8 fős egyenes kiesés"/>
    <s v="5"/>
    <s v="Simor Szofi Anna"/>
    <x v="17"/>
    <s v="HUN"/>
    <n v="0"/>
    <m/>
    <s v="Várpalota"/>
    <d v="2026-02-28T00:00:00"/>
    <s v="Simor Szofi Anna - BHMSE"/>
    <x v="0"/>
    <s v="BHMSE"/>
    <x v="1"/>
    <s v="gyerek"/>
  </r>
  <r>
    <x v="1"/>
    <n v="2"/>
    <n v="38"/>
    <x v="1"/>
    <s v="Kata, -, 0-100 kg, Gyerek 1. (9-10"/>
    <s v="Kata, gyerek 1. lány"/>
    <s v="8"/>
    <s v="8 fős egyenes kiesés"/>
    <s v="6"/>
    <s v="Lukács Ajsa"/>
    <x v="17"/>
    <s v="HUN"/>
    <n v="0"/>
    <m/>
    <s v="Várpalota"/>
    <d v="2026-02-28T00:00:00"/>
    <s v="Lukács Ajsa - BHMSE"/>
    <x v="0"/>
    <s v="BHMSE"/>
    <x v="1"/>
    <s v="gyerek"/>
  </r>
  <r>
    <x v="1"/>
    <n v="2"/>
    <n v="39"/>
    <x v="1"/>
    <s v="Kata, -, 0-100 kg, Gyerek 1. (9-10"/>
    <s v="Kata, gyerek 1. lány"/>
    <s v="8"/>
    <s v="8 fős egyenes kiesés"/>
    <s v="7-8"/>
    <s v="Erdei Emília"/>
    <x v="26"/>
    <s v="HUN"/>
    <n v="0"/>
    <m/>
    <s v="Várpalota"/>
    <d v="2026-02-28T00:00:00"/>
    <s v="Erdei Emília - Rokku KKSE"/>
    <x v="0"/>
    <s v="Rokku KKSE"/>
    <x v="1"/>
    <s v="gyerek"/>
  </r>
  <r>
    <x v="1"/>
    <n v="2"/>
    <n v="40"/>
    <x v="1"/>
    <s v="Kata, -, 0-100 kg, Gyerek 1. (9-10"/>
    <s v="Kata, gyerek 1. lány"/>
    <s v="8"/>
    <s v="8 fős egyenes kiesés"/>
    <s v="7-8"/>
    <s v="Buzás Anna"/>
    <x v="27"/>
    <s v="HUN"/>
    <n v="0"/>
    <m/>
    <s v="Várpalota"/>
    <d v="2026-02-28T00:00:00"/>
    <s v="Buzás Anna - Meiyo dojo"/>
    <x v="0"/>
    <s v="Meiyo dojo"/>
    <x v="1"/>
    <s v="gyerek"/>
  </r>
  <r>
    <x v="1"/>
    <n v="2"/>
    <n v="41"/>
    <x v="0"/>
    <s v="Kumite, -, 0-35 kg, Gyerek 2. (11-12"/>
    <s v="Kumite, gyerek 2. fiú 35 kg"/>
    <s v="11"/>
    <s v="16 fős egyenes kiesés"/>
    <s v="1"/>
    <s v="Boka Norman Eliot"/>
    <x v="25"/>
    <s v="HUN"/>
    <n v="8"/>
    <m/>
    <s v="Várpalota"/>
    <d v="2026-02-28T00:00:00"/>
    <s v="Boka Norman Eliot - Katana SE"/>
    <x v="0"/>
    <s v="Katana SE"/>
    <x v="1"/>
    <s v="gyerek"/>
  </r>
  <r>
    <x v="1"/>
    <n v="2"/>
    <n v="42"/>
    <x v="0"/>
    <s v="Kumite, -, 0-35 kg, Gyerek 2. (11-12"/>
    <s v="Kumite, gyerek 2. fiú 35 kg"/>
    <s v="11"/>
    <s v="16 fős egyenes kiesés"/>
    <s v="2"/>
    <s v="Hegedűs Vencel"/>
    <x v="24"/>
    <s v="HUN"/>
    <n v="6"/>
    <m/>
    <s v="Várpalota"/>
    <d v="2026-02-28T00:00:00"/>
    <s v="Hegedűs Vencel - Nagykátai Bushido SE"/>
    <x v="0"/>
    <s v="Nagykátai Bushido SE"/>
    <x v="1"/>
    <s v="gyerek"/>
  </r>
  <r>
    <x v="1"/>
    <n v="2"/>
    <n v="43"/>
    <x v="0"/>
    <s v="Kumite, -, 0-35 kg, Gyerek 2. (11-12"/>
    <s v="Kumite, gyerek 2. fiú 35 kg"/>
    <s v="11"/>
    <s v="16 fős egyenes kiesés"/>
    <s v="3"/>
    <s v="Zajácz Miklós"/>
    <x v="13"/>
    <s v="HUN"/>
    <n v="4"/>
    <m/>
    <s v="Várpalota"/>
    <d v="2026-02-28T00:00:00"/>
    <s v="Zajácz Miklós - Kamikaze S"/>
    <x v="0"/>
    <s v="Kamikaze S"/>
    <x v="1"/>
    <s v="gyerek"/>
  </r>
  <r>
    <x v="1"/>
    <n v="2"/>
    <n v="44"/>
    <x v="0"/>
    <s v="Kumite, -, 0-35 kg, Gyerek 2. (11-12"/>
    <s v="Kumite, gyerek 2. fiú 35 kg"/>
    <s v="11"/>
    <s v="16 fős egyenes kiesés"/>
    <s v="3"/>
    <s v="Gordos Zalán"/>
    <x v="19"/>
    <s v="HUN"/>
    <n v="4"/>
    <m/>
    <s v="Várpalota"/>
    <d v="2026-02-28T00:00:00"/>
    <s v="Gordos Zalán - VTSE"/>
    <x v="1"/>
    <s v="VTSE"/>
    <x v="1"/>
    <s v="gyerek"/>
  </r>
  <r>
    <x v="1"/>
    <n v="2"/>
    <n v="45"/>
    <x v="0"/>
    <s v="Kumite, -, 0-35 kg, Gyerek 2. (11-12"/>
    <s v="Kumite, gyerek 2. fiú 35 kg"/>
    <s v="11"/>
    <s v="16 fős egyenes kiesés"/>
    <s v="5"/>
    <s v="Vörös Mátyás"/>
    <x v="26"/>
    <s v="HUN"/>
    <n v="0"/>
    <s v="nem volt nyertes mérkőzése"/>
    <s v="Várpalota"/>
    <d v="2026-02-28T00:00:00"/>
    <s v="Vörös Mátyás - Rokku KKSE"/>
    <x v="0"/>
    <s v="Rokku KKSE"/>
    <x v="1"/>
    <s v="gyerek"/>
  </r>
  <r>
    <x v="1"/>
    <n v="2"/>
    <n v="46"/>
    <x v="0"/>
    <s v="Kumite, -, 0-35 kg, Gyerek 2. (11-12"/>
    <s v="Kumite, gyerek 2. fiú 35 kg"/>
    <s v="11"/>
    <s v="16 fős egyenes kiesés"/>
    <s v="6"/>
    <s v="Nagy Zétény"/>
    <x v="17"/>
    <s v="HUN"/>
    <n v="0"/>
    <s v="nem volt nyertes mérkőzése"/>
    <s v="Várpalota"/>
    <d v="2026-02-28T00:00:00"/>
    <s v="Nagy Zétény - BHMSE"/>
    <x v="0"/>
    <s v="BHMSE"/>
    <x v="1"/>
    <s v="gyerek"/>
  </r>
  <r>
    <x v="1"/>
    <n v="2"/>
    <n v="47"/>
    <x v="0"/>
    <s v="Kumite, -, 0-35 kg, Gyerek 2. (11-12"/>
    <s v="Kumite, gyerek 2. fiú 35 kg"/>
    <s v="11"/>
    <s v="16 fős egyenes kiesés"/>
    <s v="7-8"/>
    <s v="Kovács Milán"/>
    <x v="25"/>
    <s v="HUN"/>
    <n v="2"/>
    <m/>
    <s v="Várpalota"/>
    <d v="2026-02-28T00:00:00"/>
    <s v="Kovács Milán - Katana SE"/>
    <x v="0"/>
    <s v="Katana SE"/>
    <x v="1"/>
    <s v="gyerek"/>
  </r>
  <r>
    <x v="1"/>
    <n v="2"/>
    <n v="48"/>
    <x v="0"/>
    <s v="Kumite, -, 0-35 kg, Gyerek 2. (11-12"/>
    <s v="Kumite, gyerek 2. fiú 35 kg"/>
    <s v="11"/>
    <s v="16 fős egyenes kiesés"/>
    <s v="7-8"/>
    <s v="Csuha Benedek"/>
    <x v="17"/>
    <s v="HUN"/>
    <n v="0"/>
    <s v="nem volt nyertes mérkőzése"/>
    <s v="Várpalota"/>
    <d v="2026-02-28T00:00:00"/>
    <s v="Csuha Benedek - BHMSE"/>
    <x v="0"/>
    <s v="BHMSE"/>
    <x v="1"/>
    <s v="gyerek"/>
  </r>
  <r>
    <x v="1"/>
    <n v="2"/>
    <n v="49"/>
    <x v="0"/>
    <s v="Kumite, -, 0-35 kg, Gyerek 2. (11-12"/>
    <s v="Kumite, gyerek 2. fiú 35 kg"/>
    <s v="11"/>
    <s v="16 fős egyenes kiesés"/>
    <s v="9"/>
    <s v="Reinhoffer Erik"/>
    <x v="13"/>
    <s v="HUN"/>
    <n v="0"/>
    <m/>
    <s v="Várpalota"/>
    <d v="2026-02-28T00:00:00"/>
    <s v="Reinhoffer Erik - Kamikaze S"/>
    <x v="0"/>
    <s v="Kamikaze S"/>
    <x v="1"/>
    <s v="gyerek"/>
  </r>
  <r>
    <x v="1"/>
    <n v="2"/>
    <n v="50"/>
    <x v="0"/>
    <s v="Kumite, -, 0-35 kg, Gyerek 2. (11-12"/>
    <s v="Kumite, gyerek 2. fiú 35 kg"/>
    <s v="11"/>
    <s v="16 fős egyenes kiesés"/>
    <s v="11-16"/>
    <s v="Süller Zsombor"/>
    <x v="25"/>
    <s v="HUN"/>
    <n v="0"/>
    <m/>
    <s v="Várpalota"/>
    <d v="2026-02-28T00:00:00"/>
    <s v="Süller Zsombor - Katana SE"/>
    <x v="0"/>
    <s v="Katana SE"/>
    <x v="1"/>
    <s v="gyerek"/>
  </r>
  <r>
    <x v="1"/>
    <n v="2"/>
    <n v="51"/>
    <x v="0"/>
    <s v="Kumite, -, 0-35 kg, Gyerek 2. (11-12"/>
    <s v="Kumite, gyerek 2. fiú 35 kg"/>
    <s v="11"/>
    <s v="16 fős egyenes kiesés"/>
    <s v="11-16"/>
    <s v="Kalmár Ádám István"/>
    <x v="6"/>
    <s v="HUN"/>
    <n v="0"/>
    <m/>
    <s v="Várpalota"/>
    <d v="2026-02-28T00:00:00"/>
    <s v="Kalmár Ádám István - Castrum"/>
    <x v="0"/>
    <s v="Castrum"/>
    <x v="1"/>
    <s v="gyerek"/>
  </r>
  <r>
    <x v="1"/>
    <n v="2"/>
    <n v="52"/>
    <x v="0"/>
    <s v="Kumite, -, 35-40 kg, Gyerek 2. (11-12"/>
    <s v="Kumite, gyerek 2. fiú 40 kg"/>
    <s v="7"/>
    <s v="8 fős egyenes kiesés"/>
    <s v="1"/>
    <s v="Szenner Valentin"/>
    <x v="25"/>
    <s v="HUN"/>
    <n v="6"/>
    <m/>
    <s v="Várpalota"/>
    <d v="2026-02-28T00:00:00"/>
    <s v="Szenner Valentin - Katana SE"/>
    <x v="0"/>
    <s v="Katana SE"/>
    <x v="1"/>
    <s v="gyerek"/>
  </r>
  <r>
    <x v="1"/>
    <n v="2"/>
    <n v="53"/>
    <x v="0"/>
    <s v="Kumite, -, 35-40 kg, Gyerek 2. (11-12"/>
    <s v="Kumite, gyerek 2. fiú 40 kg"/>
    <s v="7"/>
    <s v="8 fős egyenes kiesés"/>
    <s v="2"/>
    <s v="Szabó Áron Levente"/>
    <x v="25"/>
    <s v="HUN"/>
    <n v="5"/>
    <m/>
    <s v="Várpalota"/>
    <d v="2026-02-28T00:00:00"/>
    <s v="Szabó Áron Levente - Katana SE"/>
    <x v="0"/>
    <s v="Katana SE"/>
    <x v="1"/>
    <s v="gyerek"/>
  </r>
  <r>
    <x v="1"/>
    <n v="2"/>
    <n v="54"/>
    <x v="0"/>
    <s v="Kumite, -, 35-40 kg, Gyerek 2. (11-12"/>
    <s v="Kumite, gyerek 2. fiú 40 kg"/>
    <s v="7"/>
    <s v="8 fős egyenes kiesés"/>
    <s v="3"/>
    <s v="Molnár I. Zétény"/>
    <x v="28"/>
    <s v="HUN"/>
    <n v="0"/>
    <s v="nem volt nyertes mérkőzése"/>
    <s v="Várpalota"/>
    <d v="2026-02-28T00:00:00"/>
    <s v="Molnár I. Zétény - KKE - Spartacus"/>
    <x v="0"/>
    <s v="KKE - Spartacus"/>
    <x v="1"/>
    <s v="gyerek"/>
  </r>
  <r>
    <x v="1"/>
    <n v="2"/>
    <n v="55"/>
    <x v="0"/>
    <s v="Kumite, -, 35-40 kg, Gyerek 2. (11-12"/>
    <s v="Kumite, gyerek 2. fiú 40 kg"/>
    <s v="7"/>
    <s v="8 fős egyenes kiesés"/>
    <s v="3"/>
    <s v="Hidegh Krisztián"/>
    <x v="23"/>
    <s v="HUN"/>
    <n v="3"/>
    <m/>
    <s v="Várpalota"/>
    <d v="2026-02-28T00:00:00"/>
    <s v="Hidegh Krisztián - Rakurai"/>
    <x v="0"/>
    <s v="Rakurai"/>
    <x v="1"/>
    <s v="gyerek"/>
  </r>
  <r>
    <x v="1"/>
    <n v="2"/>
    <n v="56"/>
    <x v="0"/>
    <s v="Kumite, -, 35-40 kg, Gyerek 2. (11-12"/>
    <s v="Kumite, gyerek 2. fiú 40 kg"/>
    <s v="7"/>
    <s v="8 fős egyenes kiesés"/>
    <s v="5"/>
    <s v="Benedek Barnabás"/>
    <x v="24"/>
    <s v="HUN"/>
    <n v="0"/>
    <m/>
    <s v="Várpalota"/>
    <d v="2026-02-28T00:00:00"/>
    <s v="Benedek Barnabás - Nagykátai Bushido SE"/>
    <x v="0"/>
    <s v="Nagykátai Bushido SE"/>
    <x v="1"/>
    <s v="gyerek"/>
  </r>
  <r>
    <x v="1"/>
    <n v="2"/>
    <n v="57"/>
    <x v="0"/>
    <s v="Kumite, -, 35-40 kg, Gyerek 2. (11-12"/>
    <s v="Kumite, gyerek 2. fiú 40 kg"/>
    <s v="7"/>
    <s v="8 fős egyenes kiesés"/>
    <s v="6"/>
    <s v="Balázs Dénes"/>
    <x v="20"/>
    <s v="HUN"/>
    <n v="0"/>
    <m/>
    <s v="Várpalota"/>
    <d v="2026-02-28T00:00:00"/>
    <s v="Balázs Dénes - Griff SE"/>
    <x v="0"/>
    <s v="Griff SE"/>
    <x v="1"/>
    <s v="gyerek"/>
  </r>
  <r>
    <x v="1"/>
    <n v="2"/>
    <n v="58"/>
    <x v="0"/>
    <s v="Kumite, -, 35-40 kg, Gyerek 2. (11-12"/>
    <s v="Kumite, gyerek 2. fiú 40 kg"/>
    <s v="7"/>
    <s v="8 fős egyenes kiesés"/>
    <s v="7-8"/>
    <s v="Kárász Dániel"/>
    <x v="17"/>
    <s v="HUN"/>
    <n v="0"/>
    <m/>
    <s v="Várpalota"/>
    <d v="2026-02-28T00:00:00"/>
    <s v="Kárász Dániel - BHMSE"/>
    <x v="0"/>
    <s v="BHMSE"/>
    <x v="1"/>
    <s v="gyerek"/>
  </r>
  <r>
    <x v="1"/>
    <n v="2"/>
    <n v="59"/>
    <x v="0"/>
    <s v="Kumite, -, 40-45 kg, Gyerek 2. (11-12"/>
    <s v="Kumite, gyerek 2. fiú 45 kg"/>
    <s v="7"/>
    <s v="8 fős egyenes kiesés"/>
    <s v="1"/>
    <s v="Árendás Botond"/>
    <x v="15"/>
    <s v="HUN"/>
    <n v="6"/>
    <m/>
    <s v="Várpalota"/>
    <d v="2026-02-28T00:00:00"/>
    <s v="Árendás Botond - KSE Tarján"/>
    <x v="0"/>
    <s v="KSE Tarján"/>
    <x v="1"/>
    <s v="gyerek"/>
  </r>
  <r>
    <x v="1"/>
    <n v="2"/>
    <n v="60"/>
    <x v="0"/>
    <s v="Kumite, -, 40-45 kg, Gyerek 2. (11-12"/>
    <s v="Kumite, gyerek 2. fiú 45 kg"/>
    <s v="7"/>
    <s v="8 fős egyenes kiesés"/>
    <s v="2"/>
    <s v="Horváth Kristóf"/>
    <x v="20"/>
    <s v="HUN"/>
    <n v="5"/>
    <m/>
    <s v="Várpalota"/>
    <d v="2026-02-28T00:00:00"/>
    <s v="Horváth Kristóf - Griff SE"/>
    <x v="0"/>
    <s v="Griff SE"/>
    <x v="1"/>
    <s v="gyerek"/>
  </r>
  <r>
    <x v="1"/>
    <n v="2"/>
    <n v="61"/>
    <x v="0"/>
    <s v="Kumite, -, 40-45 kg, Gyerek 2. (11-12"/>
    <s v="Kumite, gyerek 2. fiú 45 kg"/>
    <s v="7"/>
    <s v="8 fős egyenes kiesés"/>
    <s v="3"/>
    <s v="Bodnár Zoltán"/>
    <x v="25"/>
    <s v="HUN"/>
    <n v="3"/>
    <m/>
    <s v="Várpalota"/>
    <d v="2026-02-28T00:00:00"/>
    <s v="Bodnár Zoltán - Katana SE"/>
    <x v="0"/>
    <s v="Katana SE"/>
    <x v="1"/>
    <s v="gyerek"/>
  </r>
  <r>
    <x v="1"/>
    <n v="2"/>
    <n v="62"/>
    <x v="0"/>
    <s v="Kumite, -, 40-45 kg, Gyerek 2. (11-12"/>
    <s v="Kumite, gyerek 2. fiú 45 kg"/>
    <s v="7"/>
    <s v="8 fős egyenes kiesés"/>
    <s v="3"/>
    <s v="Dani Andor"/>
    <x v="13"/>
    <s v="HUN"/>
    <n v="0"/>
    <s v="nem volt nyertes mérkőzése"/>
    <s v="Várpalota"/>
    <d v="2026-02-28T00:00:00"/>
    <s v="Dani Andor - Kamikaze S"/>
    <x v="0"/>
    <s v="Kamikaze S"/>
    <x v="1"/>
    <s v="gyerek"/>
  </r>
  <r>
    <x v="1"/>
    <n v="2"/>
    <n v="63"/>
    <x v="0"/>
    <s v="Kumite, -, 40-45 kg, Gyerek 2. (11-12"/>
    <s v="Kumite, gyerek 2. fiú 45 kg"/>
    <s v="7"/>
    <s v="8 fős egyenes kiesés"/>
    <s v="5"/>
    <s v="Mohai Szilárd"/>
    <x v="25"/>
    <s v="HUN"/>
    <n v="0"/>
    <m/>
    <s v="Várpalota"/>
    <d v="2026-02-28T00:00:00"/>
    <s v="Mohai Szilárd - Katana SE"/>
    <x v="0"/>
    <s v="Katana SE"/>
    <x v="1"/>
    <s v="gyerek"/>
  </r>
  <r>
    <x v="1"/>
    <n v="2"/>
    <n v="64"/>
    <x v="0"/>
    <s v="Kumite, -, 40-45 kg, Gyerek 2. (11-12"/>
    <s v="Kumite, gyerek 2. fiú 45 kg"/>
    <s v="7"/>
    <s v="8 fős egyenes kiesés"/>
    <s v="6"/>
    <s v="Sipos-Cserjési Horka"/>
    <x v="17"/>
    <s v="HUN"/>
    <n v="0"/>
    <m/>
    <s v="Várpalota"/>
    <d v="2026-02-28T00:00:00"/>
    <s v="Sipos-Cserjési Horka - BHMSE"/>
    <x v="0"/>
    <s v="BHMSE"/>
    <x v="1"/>
    <s v="gyerek"/>
  </r>
  <r>
    <x v="1"/>
    <n v="2"/>
    <n v="65"/>
    <x v="0"/>
    <s v="Kumite, -, 40-45 kg, Gyerek 2. (11-12"/>
    <s v="Kumite, gyerek 2. fiú 45 kg"/>
    <s v="7"/>
    <s v="8 fős egyenes kiesés"/>
    <s v="7-8"/>
    <s v="Fekete Kristóf"/>
    <x v="26"/>
    <s v="HUN"/>
    <n v="0"/>
    <m/>
    <s v="Várpalota"/>
    <d v="2026-02-28T00:00:00"/>
    <s v="Fekete Kristóf - Rokku KKSE"/>
    <x v="0"/>
    <s v="Rokku KKSE"/>
    <x v="1"/>
    <s v="gyerek"/>
  </r>
  <r>
    <x v="1"/>
    <n v="2"/>
    <n v="66"/>
    <x v="0"/>
    <s v="Kumite, -, 45-55 kg, Gyerek 2. (11-12"/>
    <s v="Kumite, gyerek 2. fiú 55 kg"/>
    <s v="5"/>
    <s v="5 fős körmérkőzés"/>
    <s v="1"/>
    <s v="Gombos-Weidinger Zsombor"/>
    <x v="17"/>
    <s v="HUN"/>
    <n v="8"/>
    <m/>
    <s v="Várpalota"/>
    <d v="2026-02-28T00:00:00"/>
    <s v="Gombos-Weidinger Zsombor - BHMSE"/>
    <x v="0"/>
    <s v="BHMSE"/>
    <x v="1"/>
    <s v="gyerek"/>
  </r>
  <r>
    <x v="1"/>
    <n v="2"/>
    <n v="67"/>
    <x v="0"/>
    <s v="Kumite, -, 45-55 kg, Gyerek 2. (11-12"/>
    <s v="Kumite, gyerek 2. fiú 55 kg"/>
    <s v="5"/>
    <s v="5 fős körmérkőzés"/>
    <s v="2"/>
    <s v="Vámosi Juhász Máté"/>
    <x v="24"/>
    <s v="HUN"/>
    <n v="6"/>
    <m/>
    <s v="Várpalota"/>
    <d v="2026-02-28T00:00:00"/>
    <s v="Vámosi Juhász Máté - Nagykátai Bushido SE"/>
    <x v="0"/>
    <s v="Nagykátai Bushido SE"/>
    <x v="1"/>
    <s v="gyerek"/>
  </r>
  <r>
    <x v="1"/>
    <n v="2"/>
    <n v="68"/>
    <x v="0"/>
    <s v="Kumite, -, 45-55 kg, Gyerek 2. (11-12"/>
    <s v="Kumite, gyerek 2. fiú 55 kg"/>
    <s v="5"/>
    <s v="5 fős körmérkőzés"/>
    <s v="3"/>
    <s v="Szabó Máté Péter"/>
    <x v="29"/>
    <s v="HUN"/>
    <n v="4"/>
    <m/>
    <s v="Várpalota"/>
    <d v="2026-02-28T00:00:00"/>
    <s v="Szabó Máté Péter - WARRIORS TEAM"/>
    <x v="0"/>
    <s v="WARRIORS TEAM"/>
    <x v="1"/>
    <s v="gyerek"/>
  </r>
  <r>
    <x v="1"/>
    <n v="2"/>
    <n v="68"/>
    <x v="0"/>
    <s v="Kumite, -, 45-55 kg, Gyerek 2. (11-12"/>
    <s v="Kumite, gyerek 2. fiú 55 kg"/>
    <s v="5"/>
    <s v="5 fős körmérkőzés"/>
    <n v="4"/>
    <s v="Milutinovic Olivér"/>
    <x v="9"/>
    <s v="HUN"/>
    <n v="3"/>
    <m/>
    <s v="Várpalota"/>
    <d v="2026-02-28T00:00:00"/>
    <s v="Milutinovic Olivér - Beledi KÉSZ SE"/>
    <x v="1"/>
    <s v="Beledi KÉSZ SE"/>
    <x v="1"/>
    <s v="gyerek"/>
  </r>
  <r>
    <x v="1"/>
    <n v="2"/>
    <n v="69"/>
    <x v="0"/>
    <s v="Kumite, -, 55-999 kg, Gyerek 2. (11-12"/>
    <s v="Kumite, gyerek 2. fiú +55 kg"/>
    <s v="4"/>
    <s v="4 fős körmérkőzés"/>
    <s v="1"/>
    <s v="Tálas Csongor"/>
    <x v="1"/>
    <s v="HUN"/>
    <n v="6"/>
    <m/>
    <s v="Várpalota"/>
    <d v="2026-02-28T00:00:00"/>
    <s v="Tálas Csongor - Ippon KKSE"/>
    <x v="0"/>
    <s v="Ippon KKSE"/>
    <x v="1"/>
    <s v="gyerek"/>
  </r>
  <r>
    <x v="1"/>
    <n v="2"/>
    <n v="70"/>
    <x v="0"/>
    <s v="Kumite, -, 55-999 kg, Gyerek 2. (11-12"/>
    <s v="Kumite, gyerek 2. fiú +55 kg"/>
    <s v="4"/>
    <s v="4 fős körmérkőzés"/>
    <s v="2"/>
    <s v="Baky Kornél"/>
    <x v="17"/>
    <s v="HUN"/>
    <n v="5"/>
    <m/>
    <s v="Várpalota"/>
    <d v="2026-02-28T00:00:00"/>
    <s v="Baky Kornél - BHMSE"/>
    <x v="0"/>
    <s v="BHMSE"/>
    <x v="1"/>
    <s v="gyerek"/>
  </r>
  <r>
    <x v="1"/>
    <n v="2"/>
    <n v="71"/>
    <x v="0"/>
    <s v="Kumite, -, 55-999 kg, Gyerek 2. (11-12"/>
    <s v="Kumite, gyerek 2. fiú +55 kg"/>
    <s v="4"/>
    <s v="4 fős körmérkőzés"/>
    <s v="3"/>
    <s v="Koczor Máté"/>
    <x v="23"/>
    <s v="HUN"/>
    <n v="3"/>
    <m/>
    <s v="Várpalota"/>
    <d v="2026-02-28T00:00:00"/>
    <s v="Koczor Máté - Rakurai"/>
    <x v="0"/>
    <s v="Rakurai"/>
    <x v="1"/>
    <s v="gyerek"/>
  </r>
  <r>
    <x v="1"/>
    <n v="2"/>
    <n v="72"/>
    <x v="1"/>
    <s v="Kata, -, 0-100 kg, Gyerek 2. (11-12"/>
    <s v="Kata, gyerek 2. fiú"/>
    <s v="14"/>
    <s v="16 fős egyenes kiesés"/>
    <s v="1"/>
    <s v="Kőszegfalvi Csanád"/>
    <x v="30"/>
    <s v="HUN"/>
    <n v="6"/>
    <m/>
    <s v="Várpalota"/>
    <d v="2026-02-28T00:00:00"/>
    <s v="Kőszegfalvi Csanád - Shinkyo SE"/>
    <x v="0"/>
    <s v="Shinkyo SE"/>
    <x v="1"/>
    <s v="gyerek"/>
  </r>
  <r>
    <x v="1"/>
    <n v="2"/>
    <n v="73"/>
    <x v="1"/>
    <s v="Kata, -, 0-100 kg, Gyerek 2. (11-12"/>
    <s v="Kata, gyerek 2. fiú"/>
    <s v="14"/>
    <s v="16 fős egyenes kiesés"/>
    <s v="2"/>
    <s v="Nagy Zétény"/>
    <x v="17"/>
    <s v="HUN"/>
    <n v="5"/>
    <m/>
    <s v="Várpalota"/>
    <d v="2026-02-28T00:00:00"/>
    <s v="Nagy Zétény - BHMSE"/>
    <x v="0"/>
    <s v="BHMSE"/>
    <x v="1"/>
    <s v="gyerek"/>
  </r>
  <r>
    <x v="1"/>
    <n v="2"/>
    <n v="74"/>
    <x v="1"/>
    <s v="Kata, -, 0-100 kg, Gyerek 2. (11-12"/>
    <s v="Kata, gyerek 2. fiú"/>
    <s v="14"/>
    <s v="16 fős egyenes kiesés"/>
    <s v="3"/>
    <s v="Árendás Botond"/>
    <x v="15"/>
    <s v="HUN"/>
    <n v="3"/>
    <m/>
    <s v="Várpalota"/>
    <d v="2026-02-28T00:00:00"/>
    <s v="Árendás Botond - KSE Tarján"/>
    <x v="0"/>
    <s v="KSE Tarján"/>
    <x v="1"/>
    <s v="gyerek"/>
  </r>
  <r>
    <x v="1"/>
    <n v="2"/>
    <n v="75"/>
    <x v="1"/>
    <s v="Kata, -, 0-100 kg, Gyerek 2. (11-12"/>
    <s v="Kata, gyerek 2. fiú"/>
    <s v="14"/>
    <s v="16 fős egyenes kiesés"/>
    <s v="3"/>
    <s v="Gombos-Weidinger Zsombor"/>
    <x v="17"/>
    <s v="HUN"/>
    <n v="3"/>
    <m/>
    <s v="Várpalota"/>
    <d v="2026-02-28T00:00:00"/>
    <s v="Gombos-Weidinger Zsombor - BHMSE"/>
    <x v="0"/>
    <s v="BHMSE"/>
    <x v="1"/>
    <s v="gyerek"/>
  </r>
  <r>
    <x v="1"/>
    <n v="2"/>
    <n v="76"/>
    <x v="1"/>
    <s v="Kata, -, 0-100 kg, Gyerek 2. (11-12"/>
    <s v="Kata, gyerek 2. fiú"/>
    <s v="14"/>
    <s v="16 fős egyenes kiesés"/>
    <s v="5"/>
    <s v="Eperjesi Dávid"/>
    <x v="17"/>
    <s v="HUN"/>
    <n v="1"/>
    <m/>
    <s v="Várpalota"/>
    <d v="2026-02-28T00:00:00"/>
    <s v="Eperjesi Dávid - BHMSE"/>
    <x v="0"/>
    <s v="BHMSE"/>
    <x v="1"/>
    <s v="gyerek"/>
  </r>
  <r>
    <x v="1"/>
    <n v="2"/>
    <n v="77"/>
    <x v="1"/>
    <s v="Kata, -, 0-100 kg, Gyerek 2. (11-12"/>
    <s v="Kata, gyerek 2. fiú"/>
    <s v="14"/>
    <s v="16 fős egyenes kiesés"/>
    <s v="6"/>
    <s v="Virág Oszkár"/>
    <x v="26"/>
    <s v="HUN"/>
    <n v="1"/>
    <m/>
    <s v="Várpalota"/>
    <d v="2026-02-28T00:00:00"/>
    <s v="Virág Oszkár - Rokku KKSE"/>
    <x v="0"/>
    <s v="Rokku KKSE"/>
    <x v="1"/>
    <s v="gyerek"/>
  </r>
  <r>
    <x v="1"/>
    <n v="2"/>
    <n v="78"/>
    <x v="1"/>
    <s v="Kata, -, 0-100 kg, Gyerek 2. (11-12"/>
    <s v="Kata, gyerek 2. fiú"/>
    <s v="14"/>
    <s v="16 fős egyenes kiesés"/>
    <s v="7-8"/>
    <s v="Kárász Dániel"/>
    <x v="17"/>
    <s v="HUN"/>
    <n v="0"/>
    <s v="nem volt nyertes mérkőzése"/>
    <s v="Várpalota"/>
    <d v="2026-02-28T00:00:00"/>
    <s v="Kárász Dániel - BHMSE"/>
    <x v="0"/>
    <s v="BHMSE"/>
    <x v="1"/>
    <s v="gyerek"/>
  </r>
  <r>
    <x v="1"/>
    <n v="2"/>
    <n v="79"/>
    <x v="1"/>
    <s v="Kata, -, 0-100 kg, Gyerek 2. (11-12"/>
    <s v="Kata, gyerek 2. fiú"/>
    <s v="14"/>
    <s v="16 fős egyenes kiesés"/>
    <s v="7-8"/>
    <s v="Hernádi Bere"/>
    <x v="17"/>
    <s v="HUN"/>
    <n v="0"/>
    <s v="nem volt nyertes mérkőzése"/>
    <s v="Várpalota"/>
    <d v="2026-02-28T00:00:00"/>
    <s v="Hernádi Bere - BHMSE"/>
    <x v="0"/>
    <s v="BHMSE"/>
    <x v="1"/>
    <s v="gyerek"/>
  </r>
  <r>
    <x v="1"/>
    <n v="2"/>
    <n v="80"/>
    <x v="1"/>
    <s v="Kata, -, 0-100 kg, Gyerek 2. (11-12"/>
    <s v="Kata, gyerek 2. fiú"/>
    <s v="14"/>
    <s v="16 fős egyenes kiesés"/>
    <s v="9"/>
    <s v="Hidegh Krisztián"/>
    <x v="23"/>
    <s v="HUN"/>
    <n v="0"/>
    <m/>
    <s v="Várpalota"/>
    <d v="2026-02-28T00:00:00"/>
    <s v="Hidegh Krisztián - Rakurai"/>
    <x v="0"/>
    <s v="Rakurai"/>
    <x v="1"/>
    <s v="gyerek"/>
  </r>
  <r>
    <x v="1"/>
    <n v="2"/>
    <n v="81"/>
    <x v="1"/>
    <s v="Kata, -, 0-100 kg, Gyerek 2. (11-12"/>
    <s v="Kata, gyerek 2. fiú"/>
    <s v="14"/>
    <s v="16 fős egyenes kiesés"/>
    <s v="10"/>
    <s v="Mohai Szilárd"/>
    <x v="25"/>
    <s v="HUN"/>
    <n v="0"/>
    <m/>
    <s v="Várpalota"/>
    <d v="2026-02-28T00:00:00"/>
    <s v="Mohai Szilárd - Katana SE"/>
    <x v="0"/>
    <s v="Katana SE"/>
    <x v="1"/>
    <s v="gyerek"/>
  </r>
  <r>
    <x v="1"/>
    <n v="2"/>
    <n v="82"/>
    <x v="1"/>
    <s v="Kata, -, 0-100 kg, Gyerek 2. (11-12"/>
    <s v="Kata, gyerek 2. fiú"/>
    <s v="14"/>
    <s v="16 fős egyenes kiesés"/>
    <s v="11-16"/>
    <s v="Káplár János Mihály"/>
    <x v="31"/>
    <s v="HUN"/>
    <n v="0"/>
    <m/>
    <s v="Várpalota"/>
    <d v="2026-02-28T00:00:00"/>
    <s v="Káplár János Mihály - Pagoda"/>
    <x v="1"/>
    <s v="Pagoda"/>
    <x v="1"/>
    <s v="gyerek"/>
  </r>
  <r>
    <x v="1"/>
    <n v="2"/>
    <n v="83"/>
    <x v="1"/>
    <s v="Kata, -, 0-100 kg, Gyerek 2. (11-12"/>
    <s v="Kata, gyerek 2. fiú"/>
    <s v="14"/>
    <s v="16 fős egyenes kiesés"/>
    <s v="11-16"/>
    <s v="Sipos-Cserjési Horka"/>
    <x v="17"/>
    <s v="HUN"/>
    <n v="0"/>
    <m/>
    <s v="Várpalota"/>
    <d v="2026-02-28T00:00:00"/>
    <s v="Sipos-Cserjési Horka - BHMSE"/>
    <x v="0"/>
    <s v="BHMSE"/>
    <x v="1"/>
    <s v="gyerek"/>
  </r>
  <r>
    <x v="1"/>
    <n v="2"/>
    <n v="84"/>
    <x v="1"/>
    <s v="Kata, -, 0-100 kg, Gyerek 2. (11-12"/>
    <s v="Kata, gyerek 2. fiú"/>
    <s v="14"/>
    <s v="16 fős egyenes kiesés"/>
    <s v="11-16"/>
    <s v="Bocsányi Márton"/>
    <x v="17"/>
    <s v="HUN"/>
    <n v="0"/>
    <m/>
    <s v="Várpalota"/>
    <d v="2026-02-28T00:00:00"/>
    <s v="Bocsányi Márton - BHMSE"/>
    <x v="0"/>
    <s v="BHMSE"/>
    <x v="1"/>
    <s v="gyerek"/>
  </r>
  <r>
    <x v="1"/>
    <n v="2"/>
    <n v="85"/>
    <x v="1"/>
    <s v="Kata, -, 0-100 kg, Gyerek 2. (11-12"/>
    <s v="Kata, gyerek 2. fiú"/>
    <s v="14"/>
    <s v="16 fős egyenes kiesés"/>
    <s v="11-16"/>
    <s v="Vass Alexander"/>
    <x v="22"/>
    <s v="HUN"/>
    <n v="0"/>
    <m/>
    <s v="Várpalota"/>
    <d v="2026-02-28T00:00:00"/>
    <s v="Vass Alexander - Siófok KSE"/>
    <x v="0"/>
    <s v="Siófok KSE"/>
    <x v="1"/>
    <s v="gyerek"/>
  </r>
  <r>
    <x v="1"/>
    <n v="2"/>
    <n v="86"/>
    <x v="0"/>
    <s v="Kumite, -, 0-35 kg, Gyerek 2. (11-12"/>
    <s v="Kumite, gyerek 2. lány 35 kg"/>
    <s v="6"/>
    <s v="6 fős vegyes"/>
    <s v="1"/>
    <s v="Jakubovics Nikolett"/>
    <x v="17"/>
    <s v="HUN"/>
    <n v="6"/>
    <m/>
    <s v="Várpalota"/>
    <d v="2026-02-28T00:00:00"/>
    <s v="Jakubovics Nikolett - BHMSE"/>
    <x v="0"/>
    <s v="BHMSE"/>
    <x v="1"/>
    <s v="gyerek"/>
  </r>
  <r>
    <x v="1"/>
    <n v="2"/>
    <n v="87"/>
    <x v="0"/>
    <s v="Kumite, -, 0-35 kg, Gyerek 2. (11-12"/>
    <s v="Kumite, gyerek 2. lány 35 kg"/>
    <s v="6"/>
    <s v="6 fős vegyes"/>
    <s v="2"/>
    <s v="Pődör Panka"/>
    <x v="20"/>
    <s v="HUN"/>
    <n v="5"/>
    <m/>
    <s v="Várpalota"/>
    <d v="2026-02-28T00:00:00"/>
    <s v="Pődör Panka - Griff SE"/>
    <x v="0"/>
    <s v="Griff SE"/>
    <x v="1"/>
    <s v="gyerek"/>
  </r>
  <r>
    <x v="1"/>
    <n v="2"/>
    <n v="88"/>
    <x v="0"/>
    <s v="Kumite, -, 0-35 kg, Gyerek 2. (11-12"/>
    <s v="Kumite, gyerek 2. lány 35 kg"/>
    <s v="6"/>
    <s v="6 fős vegyes"/>
    <s v="3"/>
    <s v="Horváth Boróka"/>
    <x v="23"/>
    <s v="HUN"/>
    <n v="3"/>
    <m/>
    <s v="Várpalota"/>
    <d v="2026-02-28T00:00:00"/>
    <s v="Horváth Boróka - Rakurai"/>
    <x v="0"/>
    <s v="Rakurai"/>
    <x v="1"/>
    <s v="gyerek"/>
  </r>
  <r>
    <x v="1"/>
    <n v="2"/>
    <n v="89"/>
    <x v="0"/>
    <s v="Kumite, -, 45-200 kg, Gyerek 2. (11-12"/>
    <s v="Kumite, gyerek 2. lány +45 kg"/>
    <s v="6"/>
    <s v="6 fős vegyes"/>
    <s v="1"/>
    <s v="Kocsis Nóra"/>
    <x v="16"/>
    <s v="HUN"/>
    <n v="6"/>
    <m/>
    <s v="Várpalota"/>
    <d v="2026-02-28T00:00:00"/>
    <s v="Kocsis Nóra - Genbu dojo"/>
    <x v="1"/>
    <s v="Genbu dojo"/>
    <x v="1"/>
    <s v="gyerek"/>
  </r>
  <r>
    <x v="1"/>
    <n v="2"/>
    <n v="90"/>
    <x v="0"/>
    <s v="Kumite, -, 45-200 kg, Gyerek 2. (11-12"/>
    <s v="Kumite, gyerek 2. lány +45 kg"/>
    <s v="6"/>
    <s v="6 fős vegyes"/>
    <s v="2"/>
    <s v="Kocsis Angéla"/>
    <x v="16"/>
    <s v="HUN"/>
    <n v="5"/>
    <m/>
    <s v="Várpalota"/>
    <d v="2026-02-28T00:00:00"/>
    <s v="Kocsis Angéla - Genbu dojo"/>
    <x v="1"/>
    <s v="Genbu dojo"/>
    <x v="1"/>
    <s v="gyerek"/>
  </r>
  <r>
    <x v="1"/>
    <n v="2"/>
    <n v="91"/>
    <x v="0"/>
    <s v="Kumite, -, 45-200 kg, Gyerek 2. (11-12"/>
    <s v="Kumite, gyerek 2. lány +45 kg"/>
    <s v="6"/>
    <s v="6 fős vegyes"/>
    <s v="3"/>
    <s v="Garamszegi Szófia"/>
    <x v="29"/>
    <s v="HUN"/>
    <n v="3"/>
    <m/>
    <s v="Várpalota"/>
    <d v="2026-02-28T00:00:00"/>
    <s v="Garamszegi Szófia - WARRIORS TEAM"/>
    <x v="0"/>
    <s v="WARRIORS TEAM"/>
    <x v="1"/>
    <s v="gyerek"/>
  </r>
  <r>
    <x v="1"/>
    <n v="2"/>
    <n v="92"/>
    <x v="0"/>
    <s v="Kumite, -, 40-45 kg, Gyerek 2. (11-12"/>
    <s v="Kumite, gyerek 2. lány 45 kg"/>
    <s v="7"/>
    <s v="8 fős egyenes kiesés"/>
    <s v="1"/>
    <s v="Vig Boglárka"/>
    <x v="19"/>
    <s v="HUN"/>
    <n v="6"/>
    <m/>
    <s v="Várpalota"/>
    <d v="2026-02-28T00:00:00"/>
    <s v="Vig Boglárka - VTSE"/>
    <x v="1"/>
    <s v="VTSE"/>
    <x v="1"/>
    <s v="gyerek"/>
  </r>
  <r>
    <x v="1"/>
    <n v="2"/>
    <n v="93"/>
    <x v="0"/>
    <s v="Kumite, -, 40-45 kg, Gyerek 2. (11-12"/>
    <s v="Kumite, gyerek 2. lány 45 kg"/>
    <s v="7"/>
    <s v="8 fős egyenes kiesés"/>
    <s v="2"/>
    <s v="Tóth Arina Bejke"/>
    <x v="24"/>
    <s v="HUN"/>
    <n v="5"/>
    <m/>
    <s v="Várpalota"/>
    <d v="2026-02-28T00:00:00"/>
    <s v="Tóth Arina Bejke - Nagykátai Bushido SE"/>
    <x v="0"/>
    <s v="Nagykátai Bushido SE"/>
    <x v="1"/>
    <s v="gyerek"/>
  </r>
  <r>
    <x v="1"/>
    <n v="2"/>
    <n v="94"/>
    <x v="0"/>
    <s v="Kumite, -, 40-45 kg, Gyerek 2. (11-12"/>
    <s v="Kumite, gyerek 2. lány 45 kg"/>
    <s v="7"/>
    <s v="8 fős egyenes kiesés"/>
    <s v="3"/>
    <s v="Spanjevic Frida"/>
    <x v="17"/>
    <s v="HUN"/>
    <n v="3"/>
    <m/>
    <s v="Várpalota"/>
    <d v="2026-02-28T00:00:00"/>
    <s v="Spanjevic Frida - BHMSE"/>
    <x v="0"/>
    <s v="BHMSE"/>
    <x v="1"/>
    <s v="gyerek"/>
  </r>
  <r>
    <x v="1"/>
    <n v="2"/>
    <n v="95"/>
    <x v="0"/>
    <s v="Kumite, -, 40-45 kg, Gyerek 2. (11-12"/>
    <s v="Kumite, gyerek 2. lány 45 kg"/>
    <s v="7"/>
    <s v="8 fős egyenes kiesés"/>
    <s v="3"/>
    <s v="Szombath Jázmin"/>
    <x v="4"/>
    <s v="HUN"/>
    <n v="0"/>
    <s v="nem volt nyertes mérkőzése"/>
    <s v="Várpalota"/>
    <d v="2026-02-28T00:00:00"/>
    <s v="Szombath Jázmin - Főnix Dojo"/>
    <x v="0"/>
    <s v="Főnix Dojo"/>
    <x v="1"/>
    <s v="gyerek"/>
  </r>
  <r>
    <x v="1"/>
    <n v="2"/>
    <n v="96"/>
    <x v="0"/>
    <s v="Kumite, -, 40-45 kg, Gyerek 2. (11-12"/>
    <s v="Kumite, gyerek 2. lány 45 kg"/>
    <s v="7"/>
    <s v="8 fős egyenes kiesés"/>
    <s v="5"/>
    <s v="Falus Zsuzsanna"/>
    <x v="26"/>
    <s v="HUN"/>
    <n v="0"/>
    <m/>
    <s v="Várpalota"/>
    <d v="2026-02-28T00:00:00"/>
    <s v="Falus Zsuzsanna - Rokku KKSE"/>
    <x v="0"/>
    <s v="Rokku KKSE"/>
    <x v="1"/>
    <s v="gyerek"/>
  </r>
  <r>
    <x v="1"/>
    <n v="2"/>
    <n v="97"/>
    <x v="0"/>
    <s v="Kumite, -, 40-45 kg, Gyerek 2. (11-12"/>
    <s v="Kumite, gyerek 2. lány 45 kg"/>
    <s v="7"/>
    <s v="8 fős egyenes kiesés"/>
    <s v="6"/>
    <s v="Rabi-Szita Emese"/>
    <x v="27"/>
    <s v="HUN"/>
    <n v="0"/>
    <m/>
    <s v="Várpalota"/>
    <d v="2026-02-28T00:00:00"/>
    <s v="Rabi-Szita Emese - Meiyo dojo"/>
    <x v="0"/>
    <s v="Meiyo dojo"/>
    <x v="1"/>
    <s v="gyerek"/>
  </r>
  <r>
    <x v="1"/>
    <n v="2"/>
    <n v="98"/>
    <x v="0"/>
    <s v="Kumite, -, 40-45 kg, Gyerek 2. (11-12"/>
    <s v="Kumite, gyerek 2. lány 45 kg"/>
    <s v="7"/>
    <s v="8 fős egyenes kiesés"/>
    <s v="7-8"/>
    <s v="Baranya Lilla"/>
    <x v="15"/>
    <s v="HUN"/>
    <n v="0"/>
    <m/>
    <s v="Várpalota"/>
    <d v="2026-02-28T00:00:00"/>
    <s v="Baranya Lilla - KSE Tarján"/>
    <x v="0"/>
    <s v="KSE Tarján"/>
    <x v="1"/>
    <s v="gyerek"/>
  </r>
  <r>
    <x v="1"/>
    <n v="2"/>
    <n v="99"/>
    <x v="1"/>
    <s v="Kata, -, 0-100 kg, Gyerek 2. (11-12"/>
    <s v="Kata, gyerek 2. lány"/>
    <s v="9"/>
    <s v="16 fős egyenes kiesés"/>
    <s v="1"/>
    <s v="Jakubovics Nikolett"/>
    <x v="17"/>
    <s v="HUN"/>
    <n v="6"/>
    <m/>
    <s v="Várpalota"/>
    <d v="2026-02-28T00:00:00"/>
    <s v="Jakubovics Nikolett - BHMSE"/>
    <x v="0"/>
    <s v="BHMSE"/>
    <x v="1"/>
    <s v="gyerek"/>
  </r>
  <r>
    <x v="1"/>
    <n v="2"/>
    <n v="100"/>
    <x v="1"/>
    <s v="Kata, -, 0-100 kg, Gyerek 2. (11-12"/>
    <s v="Kata, gyerek 2. lány"/>
    <s v="9"/>
    <s v="16 fős egyenes kiesés"/>
    <s v="2"/>
    <s v="Domján-Herbat Réka"/>
    <x v="17"/>
    <s v="HUN"/>
    <n v="5"/>
    <m/>
    <s v="Várpalota"/>
    <d v="2026-02-28T00:00:00"/>
    <s v="Domján-Herbat Réka - BHMSE"/>
    <x v="0"/>
    <s v="BHMSE"/>
    <x v="1"/>
    <s v="gyerek"/>
  </r>
  <r>
    <x v="1"/>
    <n v="2"/>
    <n v="101"/>
    <x v="1"/>
    <s v="Kata, -, 0-100 kg, Gyerek 2. (11-12"/>
    <s v="Kata, gyerek 2. lány"/>
    <s v="9"/>
    <s v="16 fős egyenes kiesés"/>
    <s v="3"/>
    <s v="Rudi Noémi"/>
    <x v="23"/>
    <s v="HUN"/>
    <n v="3"/>
    <m/>
    <s v="Várpalota"/>
    <d v="2026-02-28T00:00:00"/>
    <s v="Rudi Noémi - Rakurai"/>
    <x v="0"/>
    <s v="Rakurai"/>
    <x v="1"/>
    <s v="gyerek"/>
  </r>
  <r>
    <x v="1"/>
    <n v="2"/>
    <n v="102"/>
    <x v="1"/>
    <s v="Kata, -, 0-100 kg, Gyerek 2. (11-12"/>
    <s v="Kata, gyerek 2. lány"/>
    <s v="9"/>
    <s v="16 fős egyenes kiesés"/>
    <s v="3"/>
    <s v="Barta-Gaál Adóra"/>
    <x v="17"/>
    <s v="HUN"/>
    <n v="3"/>
    <m/>
    <s v="Várpalota"/>
    <d v="2026-02-28T00:00:00"/>
    <s v="Barta-Gaál Adóra - BHMSE"/>
    <x v="0"/>
    <s v="BHMSE"/>
    <x v="1"/>
    <s v="gyerek"/>
  </r>
  <r>
    <x v="1"/>
    <n v="2"/>
    <n v="103"/>
    <x v="1"/>
    <s v="Kata, -, 0-100 kg, Gyerek 2. (11-12"/>
    <s v="Kata, gyerek 2. lány"/>
    <s v="9"/>
    <s v="16 fős egyenes kiesés"/>
    <s v="5"/>
    <s v="Falus Zsuzsanna"/>
    <x v="26"/>
    <s v="HUN"/>
    <n v="0"/>
    <s v="nem volt nyertes mérkőzése"/>
    <s v="Várpalota"/>
    <d v="2026-02-28T00:00:00"/>
    <s v="Falus Zsuzsanna - Rokku KKSE"/>
    <x v="0"/>
    <s v="Rokku KKSE"/>
    <x v="1"/>
    <s v="gyerek"/>
  </r>
  <r>
    <x v="1"/>
    <n v="2"/>
    <n v="104"/>
    <x v="1"/>
    <s v="Kata, -, 0-100 kg, Gyerek 2. (11-12"/>
    <s v="Kata, gyerek 2. lány"/>
    <s v="9"/>
    <s v="16 fős egyenes kiesés"/>
    <s v="6"/>
    <s v="Gergácz Izabella"/>
    <x v="9"/>
    <s v="HUN"/>
    <n v="0"/>
    <s v="nem volt nyertes mérkőzése"/>
    <s v="Várpalota"/>
    <d v="2026-02-28T00:00:00"/>
    <s v="Gergácz Izabella - Beledi KÉSZ SE"/>
    <x v="1"/>
    <s v="Beledi KÉSZ SE"/>
    <x v="1"/>
    <s v="gyerek"/>
  </r>
  <r>
    <x v="1"/>
    <n v="2"/>
    <n v="105"/>
    <x v="1"/>
    <s v="Kata, -, 0-100 kg, Gyerek 2. (11-12"/>
    <s v="Kata, gyerek 2. lány"/>
    <s v="9"/>
    <s v="16 fős egyenes kiesés"/>
    <s v="7-8"/>
    <s v="Spanjevic Frida"/>
    <x v="17"/>
    <s v="HUN"/>
    <n v="0"/>
    <s v="nem volt nyertes mérkőzése"/>
    <s v="Várpalota"/>
    <d v="2026-02-28T00:00:00"/>
    <s v="Spanjevic Frida - BHMSE"/>
    <x v="0"/>
    <s v="BHMSE"/>
    <x v="1"/>
    <s v="gyerek"/>
  </r>
  <r>
    <x v="1"/>
    <n v="2"/>
    <n v="106"/>
    <x v="1"/>
    <s v="Kata, -, 0-100 kg, Gyerek 2. (11-12"/>
    <s v="Kata, gyerek 2. lány"/>
    <s v="9"/>
    <s v="16 fős egyenes kiesés"/>
    <s v="7-8"/>
    <s v="Rabi-Szita Emese"/>
    <x v="27"/>
    <s v="HUN"/>
    <n v="0"/>
    <s v="nem volt nyertes mérkőzése"/>
    <s v="Várpalota"/>
    <d v="2026-02-28T00:00:00"/>
    <s v="Rabi-Szita Emese - Meiyo dojo"/>
    <x v="0"/>
    <s v="Meiyo dojo"/>
    <x v="1"/>
    <s v="gyerek"/>
  </r>
  <r>
    <x v="1"/>
    <n v="2"/>
    <n v="107"/>
    <x v="1"/>
    <s v="Kata, -, 0-100 kg, Gyerek 2. (11-12"/>
    <s v="Kata, gyerek 2. lány"/>
    <s v="9"/>
    <s v="16 fős egyenes kiesés"/>
    <s v="11-16"/>
    <s v="Ükös Júlia"/>
    <x v="25"/>
    <s v="HUN"/>
    <n v="0"/>
    <m/>
    <s v="Várpalota"/>
    <d v="2026-02-28T00:00:00"/>
    <s v="Ükös Júlia - Katana SE"/>
    <x v="0"/>
    <s v="Katana SE"/>
    <x v="1"/>
    <s v="gyerek"/>
  </r>
  <r>
    <x v="1"/>
    <n v="2"/>
    <n v="108"/>
    <x v="0"/>
    <s v="Kumite, -, 0-40 kg, Serdülő (13-14"/>
    <s v="Kumite, serdülő fiú 40 kg"/>
    <s v="2"/>
    <s v="2 fős egyenes kiesés"/>
    <s v="1"/>
    <s v="Sövér Levente"/>
    <x v="17"/>
    <s v="HUN"/>
    <n v="3"/>
    <m/>
    <s v="Várpalota"/>
    <d v="2026-02-28T00:00:00"/>
    <s v="Sövér Levente - BHMSE"/>
    <x v="0"/>
    <s v="BHMSE"/>
    <x v="1"/>
    <s v="serdülő"/>
  </r>
  <r>
    <x v="1"/>
    <n v="2"/>
    <n v="109"/>
    <x v="0"/>
    <s v="Kumite, -, 0-40 kg, Serdülő (13-14"/>
    <s v="Kumite, serdülő fiú 40 kg"/>
    <s v="2"/>
    <s v="2 fős egyenes kiesés"/>
    <s v="2"/>
    <s v="Nyíri György"/>
    <x v="22"/>
    <s v="HUN"/>
    <n v="0"/>
    <m/>
    <s v="Várpalota"/>
    <d v="2026-02-28T00:00:00"/>
    <s v="Nyíri György - Siófok KSE"/>
    <x v="0"/>
    <s v="Siófok KSE"/>
    <x v="1"/>
    <s v="serdülő"/>
  </r>
  <r>
    <x v="1"/>
    <n v="2"/>
    <n v="110"/>
    <x v="0"/>
    <s v="Kumite, -, 40-45 kg, Serdülő (13-14"/>
    <s v="Kumite, serdülő fiú 45 kg"/>
    <s v="5"/>
    <s v="5 fős körmérkőzés"/>
    <s v="1"/>
    <s v="Bárkovics Áron"/>
    <x v="28"/>
    <s v="HUN"/>
    <n v="8"/>
    <m/>
    <s v="Várpalota"/>
    <d v="2026-02-28T00:00:00"/>
    <s v="Bárkovics Áron - KKE - Spartacus"/>
    <x v="0"/>
    <s v="KKE - Spartacus"/>
    <x v="1"/>
    <s v="serdülő"/>
  </r>
  <r>
    <x v="1"/>
    <n v="2"/>
    <n v="111"/>
    <x v="0"/>
    <s v="Kumite, -, 40-45 kg, Serdülő (13-14"/>
    <s v="Kumite, serdülő fiú 45 kg"/>
    <s v="5"/>
    <s v="5 fős körmérkőzés"/>
    <s v="2"/>
    <s v="Hidegh Flórián"/>
    <x v="23"/>
    <s v="HUN"/>
    <n v="6"/>
    <m/>
    <s v="Várpalota"/>
    <d v="2026-02-28T00:00:00"/>
    <s v="Hidegh Flórián - Rakurai"/>
    <x v="0"/>
    <s v="Rakurai"/>
    <x v="1"/>
    <s v="serdülő"/>
  </r>
  <r>
    <x v="1"/>
    <n v="2"/>
    <n v="112"/>
    <x v="0"/>
    <s v="Kumite, -, 40-45 kg, Serdülő (13-14"/>
    <s v="Kumite, serdülő fiú 45 kg"/>
    <s v="5"/>
    <s v="5 fős körmérkőzés"/>
    <s v="3"/>
    <s v="Béres Bence"/>
    <x v="19"/>
    <s v="HUN"/>
    <n v="4"/>
    <m/>
    <s v="Várpalota"/>
    <d v="2026-02-28T00:00:00"/>
    <s v="Béres Bence - VTSE"/>
    <x v="1"/>
    <s v="VTSE"/>
    <x v="1"/>
    <s v="serdülő"/>
  </r>
  <r>
    <x v="1"/>
    <n v="2"/>
    <n v="112"/>
    <x v="0"/>
    <s v="Kumite, -, 40-45 kg, Serdülő (13-14"/>
    <s v="Kumite, serdülő fiú 45 kg"/>
    <s v="5"/>
    <s v="5 fős körmérkőzés"/>
    <n v="4"/>
    <s v="Jankovics Marcell"/>
    <x v="22"/>
    <s v="HUN"/>
    <n v="3"/>
    <m/>
    <s v="Várpalota"/>
    <d v="2026-02-28T00:00:00"/>
    <s v="Jankovics Marcell - Siófok KSE"/>
    <x v="0"/>
    <s v="Siófok KSE"/>
    <x v="1"/>
    <s v="serdülő"/>
  </r>
  <r>
    <x v="1"/>
    <n v="2"/>
    <n v="113"/>
    <x v="0"/>
    <s v="Kumite, -, 45-50 kg, Serdülő (13-14"/>
    <s v="Kumite, serdülő fiú 50 kg"/>
    <s v="7"/>
    <s v="8 fős egyenes kiesés"/>
    <s v="1"/>
    <s v="Antal Dániel Kristóf"/>
    <x v="15"/>
    <s v="HUN"/>
    <n v="6"/>
    <m/>
    <s v="Várpalota"/>
    <d v="2026-02-28T00:00:00"/>
    <s v="Antal Dániel Kristóf - KSE Tarján"/>
    <x v="0"/>
    <s v="KSE Tarján"/>
    <x v="1"/>
    <s v="serdülő"/>
  </r>
  <r>
    <x v="1"/>
    <n v="2"/>
    <n v="114"/>
    <x v="0"/>
    <s v="Kumite, -, 45-50 kg, Serdülő (13-14"/>
    <s v="Kumite, serdülő fiú 50 kg"/>
    <s v="7"/>
    <s v="8 fős egyenes kiesés"/>
    <s v="2"/>
    <s v="Tóth Kornél"/>
    <x v="28"/>
    <s v="HUN"/>
    <n v="5"/>
    <m/>
    <s v="Várpalota"/>
    <d v="2026-02-28T00:00:00"/>
    <s v="Tóth Kornél - KKE - Spartacus"/>
    <x v="0"/>
    <s v="KKE - Spartacus"/>
    <x v="1"/>
    <s v="serdülő"/>
  </r>
  <r>
    <x v="1"/>
    <n v="2"/>
    <n v="115"/>
    <x v="0"/>
    <s v="Kumite, -, 45-50 kg, Serdülő (13-14"/>
    <s v="Kumite, serdülő fiú 50 kg"/>
    <s v="7"/>
    <s v="8 fős egyenes kiesés"/>
    <s v="3"/>
    <s v="Gattyán Máté Barna"/>
    <x v="17"/>
    <s v="HUN"/>
    <n v="0"/>
    <s v="nem volt nyertes mérkőzése"/>
    <s v="Várpalota"/>
    <d v="2026-02-28T00:00:00"/>
    <s v="Gattyán Máté Barna - BHMSE"/>
    <x v="0"/>
    <s v="BHMSE"/>
    <x v="1"/>
    <s v="serdülő"/>
  </r>
  <r>
    <x v="1"/>
    <n v="2"/>
    <n v="116"/>
    <x v="0"/>
    <s v="Kumite, -, 45-50 kg, Serdülő (13-14"/>
    <s v="Kumite, serdülő fiú 50 kg"/>
    <s v="7"/>
    <s v="8 fős egyenes kiesés"/>
    <s v="3"/>
    <s v="Kámán Márton"/>
    <x v="23"/>
    <s v="HUN"/>
    <n v="3"/>
    <m/>
    <s v="Várpalota"/>
    <d v="2026-02-28T00:00:00"/>
    <s v="Kámán Márton - Rakurai"/>
    <x v="0"/>
    <s v="Rakurai"/>
    <x v="1"/>
    <s v="serdülő"/>
  </r>
  <r>
    <x v="1"/>
    <n v="2"/>
    <n v="117"/>
    <x v="0"/>
    <s v="Kumite, -, 45-50 kg, Serdülő (13-14"/>
    <s v="Kumite, serdülő fiú 50 kg"/>
    <s v="7"/>
    <s v="8 fős egyenes kiesés"/>
    <s v="5"/>
    <s v="Tarjányi Zétény Ferenc"/>
    <x v="32"/>
    <s v="HUN"/>
    <n v="0"/>
    <m/>
    <s v="Várpalota"/>
    <d v="2026-02-28T00:00:00"/>
    <s v="Tarjányi Zétény Ferenc - ARSC"/>
    <x v="0"/>
    <s v="ARSC"/>
    <x v="1"/>
    <s v="serdülő"/>
  </r>
  <r>
    <x v="1"/>
    <n v="2"/>
    <n v="118"/>
    <x v="0"/>
    <s v="Kumite, -, 45-50 kg, Serdülő (13-14"/>
    <s v="Kumite, serdülő fiú 50 kg"/>
    <s v="7"/>
    <s v="8 fős egyenes kiesés"/>
    <s v="6"/>
    <s v="Tóth Benedek"/>
    <x v="33"/>
    <s v="HUN"/>
    <n v="0"/>
    <m/>
    <s v="Várpalota"/>
    <d v="2026-02-28T00:00:00"/>
    <s v="Tóth Benedek - Ichiro Dojo"/>
    <x v="1"/>
    <s v="Ichiro Dojo"/>
    <x v="1"/>
    <s v="serdülő"/>
  </r>
  <r>
    <x v="1"/>
    <n v="2"/>
    <n v="119"/>
    <x v="0"/>
    <s v="Kumite, -, 45-50 kg, Serdülő (13-14"/>
    <s v="Kumite, serdülő fiú 50 kg"/>
    <s v="7"/>
    <s v="8 fős egyenes kiesés"/>
    <s v="7-8"/>
    <s v="Halász Zente"/>
    <x v="20"/>
    <s v="HUN"/>
    <n v="0"/>
    <m/>
    <s v="Várpalota"/>
    <d v="2026-02-28T00:00:00"/>
    <s v="Halász Zente - Griff SE"/>
    <x v="0"/>
    <s v="Griff SE"/>
    <x v="1"/>
    <s v="serdülő"/>
  </r>
  <r>
    <x v="1"/>
    <n v="2"/>
    <n v="120"/>
    <x v="0"/>
    <s v="Kumite, -, 50-60 kg, Serdülő (13-14"/>
    <s v="Kumite, serdülő fiú 60 kg"/>
    <s v="7"/>
    <s v="8 fős egyenes kiesés + 3. hely"/>
    <s v="1"/>
    <s v="Ferenczhalmy Félix"/>
    <x v="17"/>
    <s v="HUN"/>
    <n v="6"/>
    <m/>
    <s v="Várpalota"/>
    <d v="2026-02-28T00:00:00"/>
    <s v="Ferenczhalmy Félix - BHMSE"/>
    <x v="0"/>
    <s v="BHMSE"/>
    <x v="1"/>
    <s v="serdülő"/>
  </r>
  <r>
    <x v="1"/>
    <n v="2"/>
    <n v="121"/>
    <x v="0"/>
    <s v="Kumite, -, 50-60 kg, Serdülő (13-14"/>
    <s v="Kumite, serdülő fiú 60 kg"/>
    <s v="7"/>
    <s v="8 fős egyenes kiesés + 3. hely"/>
    <s v="2"/>
    <s v="Viszugyel Bálint"/>
    <x v="19"/>
    <s v="HUN"/>
    <n v="5"/>
    <m/>
    <s v="Várpalota"/>
    <d v="2026-02-28T00:00:00"/>
    <s v="Viszugyel Bálint - VTSE"/>
    <x v="1"/>
    <s v="VTSE"/>
    <x v="1"/>
    <s v="serdülő"/>
  </r>
  <r>
    <x v="1"/>
    <n v="2"/>
    <n v="122"/>
    <x v="0"/>
    <s v="Kumite, -, 50-60 kg, Serdülő (13-14"/>
    <s v="Kumite, serdülő fiú 60 kg"/>
    <s v="7"/>
    <s v="8 fős egyenes kiesés + 3. hely"/>
    <s v="3"/>
    <s v="Vig Bendegúz"/>
    <x v="19"/>
    <s v="HUN"/>
    <n v="3"/>
    <m/>
    <s v="Várpalota"/>
    <d v="2026-02-28T00:00:00"/>
    <s v="Vig Bendegúz - VTSE"/>
    <x v="1"/>
    <s v="VTSE"/>
    <x v="1"/>
    <s v="serdülő"/>
  </r>
  <r>
    <x v="1"/>
    <n v="2"/>
    <n v="123"/>
    <x v="0"/>
    <s v="Kumite, -, 50-60 kg, Serdülő (13-14"/>
    <s v="Kumite, serdülő fiú 60 kg"/>
    <s v="7"/>
    <s v="8 fős egyenes kiesés + 3. hely"/>
    <s v="4"/>
    <s v="Bánfi Botond"/>
    <x v="26"/>
    <s v="HUN"/>
    <n v="3"/>
    <m/>
    <s v="Várpalota"/>
    <d v="2026-02-28T00:00:00"/>
    <s v="Bánfi Botond - Rokku KKSE"/>
    <x v="0"/>
    <s v="Rokku KKSE"/>
    <x v="1"/>
    <s v="serdülő"/>
  </r>
  <r>
    <x v="1"/>
    <n v="2"/>
    <n v="124"/>
    <x v="0"/>
    <s v="Kumite, -, 50-60 kg, Serdülő (13-14"/>
    <s v="Kumite, serdülő fiú 60 kg"/>
    <s v="7"/>
    <s v="8 fős egyenes kiesés + 3. hely"/>
    <s v="5"/>
    <s v="Munkácsi Ádám"/>
    <x v="4"/>
    <s v="HUN"/>
    <n v="0"/>
    <m/>
    <s v="Várpalota"/>
    <d v="2026-02-28T00:00:00"/>
    <s v="Munkácsi Ádám - Főnix Dojo"/>
    <x v="0"/>
    <s v="Főnix Dojo"/>
    <x v="1"/>
    <s v="serdülő"/>
  </r>
  <r>
    <x v="1"/>
    <n v="2"/>
    <n v="125"/>
    <x v="0"/>
    <s v="Kumite, -, 50-60 kg, Serdülő (13-14"/>
    <s v="Kumite, serdülő fiú 60 kg"/>
    <s v="7"/>
    <s v="8 fős egyenes kiesés + 3. hely"/>
    <s v="7-8"/>
    <s v="Hadnagy Barnabás"/>
    <x v="26"/>
    <s v="HUN"/>
    <n v="0"/>
    <m/>
    <s v="Várpalota"/>
    <d v="2026-02-28T00:00:00"/>
    <s v="Hadnagy Barnabás - Rokku KKSE"/>
    <x v="0"/>
    <s v="Rokku KKSE"/>
    <x v="1"/>
    <s v="serdülő"/>
  </r>
  <r>
    <x v="1"/>
    <n v="2"/>
    <n v="126"/>
    <x v="0"/>
    <s v="Kumite, -, 50-60 kg, Serdülő (13-14"/>
    <s v="Kumite, serdülő fiú 60 kg"/>
    <s v="7"/>
    <s v="8 fős egyenes kiesés + 3. hely"/>
    <s v="7-8"/>
    <s v="Szabó Levente Botond"/>
    <x v="15"/>
    <s v="HUN"/>
    <n v="0"/>
    <m/>
    <s v="Várpalota"/>
    <d v="2026-02-28T00:00:00"/>
    <s v="Szabó Levente Botond - KSE Tarján"/>
    <x v="0"/>
    <s v="KSE Tarján"/>
    <x v="1"/>
    <s v="serdülő"/>
  </r>
  <r>
    <x v="1"/>
    <n v="2"/>
    <n v="127"/>
    <x v="0"/>
    <s v="Kumite, -, 70-999 kg, Serdülő (13-14"/>
    <s v="Kumite, serdülő fiú +70 kg"/>
    <s v="5"/>
    <s v="5 fős körmérkőzés"/>
    <s v="1"/>
    <s v="Villasenor Babos Viktor Éliás"/>
    <x v="23"/>
    <s v="HUN"/>
    <n v="8"/>
    <m/>
    <s v="Várpalota"/>
    <d v="2026-02-28T00:00:00"/>
    <s v="Villasenor Babos Viktor Éliás - Rakurai"/>
    <x v="0"/>
    <s v="Rakurai"/>
    <x v="1"/>
    <s v="serdülő"/>
  </r>
  <r>
    <x v="1"/>
    <n v="2"/>
    <n v="128"/>
    <x v="0"/>
    <s v="Kumite, -, 70-999 kg, Serdülő (13-14"/>
    <s v="Kumite, serdülő fiú +70 kg"/>
    <s v="5"/>
    <s v="5 fős körmérkőzés"/>
    <s v="2"/>
    <s v="Salga Márton"/>
    <x v="26"/>
    <s v="HUN"/>
    <n v="6"/>
    <m/>
    <s v="Várpalota"/>
    <d v="2026-02-28T00:00:00"/>
    <s v="Salga Márton - Rokku KKSE"/>
    <x v="0"/>
    <s v="Rokku KKSE"/>
    <x v="1"/>
    <s v="serdülő"/>
  </r>
  <r>
    <x v="1"/>
    <n v="2"/>
    <n v="129"/>
    <x v="0"/>
    <s v="Kumite, -, 70-999 kg, Serdülő (13-14"/>
    <s v="Kumite, serdülő fiú +70 kg"/>
    <s v="5"/>
    <s v="5 fős körmérkőzés"/>
    <s v="3"/>
    <s v="Finta Csanád"/>
    <x v="23"/>
    <s v="HUN"/>
    <n v="4"/>
    <m/>
    <s v="Várpalota"/>
    <d v="2026-02-28T00:00:00"/>
    <s v="Finta Csanád - Rakurai"/>
    <x v="0"/>
    <s v="Rakurai"/>
    <x v="1"/>
    <s v="serdülő"/>
  </r>
  <r>
    <x v="1"/>
    <n v="2"/>
    <n v="129"/>
    <x v="0"/>
    <s v="Kumite, -, 70-999 kg, Serdülő (13-14"/>
    <s v="Kumite, serdülő fiú +70 kg"/>
    <s v="5"/>
    <s v="5 fős körmérkőzés"/>
    <n v="4"/>
    <s v="Gaál-Vajai Tamás"/>
    <x v="4"/>
    <s v="HUN"/>
    <n v="3"/>
    <m/>
    <s v="Várpalota"/>
    <d v="2026-02-28T00:00:00"/>
    <s v="Gaál-Vajai Tamás - Főnix Dojo"/>
    <x v="0"/>
    <s v="Főnix Dojo"/>
    <x v="1"/>
    <s v="serdülő"/>
  </r>
  <r>
    <x v="1"/>
    <n v="2"/>
    <n v="130"/>
    <x v="0"/>
    <s v="Kumite, -, 60-70 kg, Serdülő (13-14"/>
    <s v="Kumite, serdülő fiú 70 kg"/>
    <s v="8"/>
    <s v="8 fős egyenes kiesés"/>
    <s v="1"/>
    <s v="Adámi Áron"/>
    <x v="33"/>
    <s v="HUN"/>
    <n v="6"/>
    <m/>
    <s v="Várpalota"/>
    <d v="2026-02-28T00:00:00"/>
    <s v="Adámi Áron - Ichiro Dojo"/>
    <x v="1"/>
    <s v="Ichiro Dojo"/>
    <x v="1"/>
    <s v="serdülő"/>
  </r>
  <r>
    <x v="1"/>
    <n v="2"/>
    <n v="131"/>
    <x v="0"/>
    <s v="Kumite, -, 60-70 kg, Serdülő (13-14"/>
    <s v="Kumite, serdülő fiú 70 kg"/>
    <s v="8"/>
    <s v="8 fős egyenes kiesés"/>
    <s v="2"/>
    <s v="Urszuly Noel"/>
    <x v="26"/>
    <s v="HUN"/>
    <n v="5"/>
    <m/>
    <s v="Várpalota"/>
    <d v="2026-02-28T00:00:00"/>
    <s v="Urszuly Noel - Rokku KKSE"/>
    <x v="0"/>
    <s v="Rokku KKSE"/>
    <x v="1"/>
    <s v="serdülő"/>
  </r>
  <r>
    <x v="1"/>
    <n v="2"/>
    <n v="132"/>
    <x v="0"/>
    <s v="Kumite, -, 60-70 kg, Serdülő (13-14"/>
    <s v="Kumite, serdülő fiú 70 kg"/>
    <s v="8"/>
    <s v="8 fős egyenes kiesés"/>
    <s v="3"/>
    <s v="Kárpáti Bence"/>
    <x v="34"/>
    <s v="HUN"/>
    <n v="3"/>
    <m/>
    <s v="Várpalota"/>
    <d v="2026-02-28T00:00:00"/>
    <s v="Kárpáti Bence - Cs.S.E."/>
    <x v="0"/>
    <s v="Cs.S.E."/>
    <x v="1"/>
    <s v="serdülő"/>
  </r>
  <r>
    <x v="1"/>
    <n v="2"/>
    <n v="133"/>
    <x v="0"/>
    <s v="Kumite, -, 60-70 kg, Serdülő (13-14"/>
    <s v="Kumite, serdülő fiú 70 kg"/>
    <s v="8"/>
    <s v="8 fős egyenes kiesés"/>
    <s v="3"/>
    <s v="Varga Bence"/>
    <x v="15"/>
    <s v="HUN"/>
    <n v="3"/>
    <m/>
    <s v="Várpalota"/>
    <d v="2026-02-28T00:00:00"/>
    <s v="Varga Bence - KSE Tarján"/>
    <x v="0"/>
    <s v="KSE Tarján"/>
    <x v="1"/>
    <s v="serdülő"/>
  </r>
  <r>
    <x v="1"/>
    <n v="2"/>
    <n v="134"/>
    <x v="0"/>
    <s v="Kumite, -, 60-70 kg, Serdülő (13-14"/>
    <s v="Kumite, serdülő fiú 70 kg"/>
    <s v="8"/>
    <s v="8 fős egyenes kiesés"/>
    <s v="5"/>
    <s v="Reinhofer Patrik"/>
    <x v="26"/>
    <s v="HUN"/>
    <n v="0"/>
    <m/>
    <s v="Várpalota"/>
    <d v="2026-02-28T00:00:00"/>
    <s v="Reinhofer Patrik - Rokku KKSE"/>
    <x v="0"/>
    <s v="Rokku KKSE"/>
    <x v="1"/>
    <s v="serdülő"/>
  </r>
  <r>
    <x v="1"/>
    <n v="2"/>
    <n v="135"/>
    <x v="0"/>
    <s v="Kumite, -, 60-70 kg, Serdülő (13-14"/>
    <s v="Kumite, serdülő fiú 70 kg"/>
    <s v="8"/>
    <s v="8 fős egyenes kiesés"/>
    <s v="6"/>
    <s v="Horváth Bence László"/>
    <x v="23"/>
    <s v="HUN"/>
    <n v="0"/>
    <m/>
    <s v="Várpalota"/>
    <d v="2026-02-28T00:00:00"/>
    <s v="Horváth Bence László - Rakurai"/>
    <x v="0"/>
    <s v="Rakurai"/>
    <x v="1"/>
    <s v="serdülő"/>
  </r>
  <r>
    <x v="1"/>
    <n v="2"/>
    <n v="136"/>
    <x v="0"/>
    <s v="Kumite, -, 60-70 kg, Serdülő (13-14"/>
    <s v="Kumite, serdülő fiú 70 kg"/>
    <s v="8"/>
    <s v="8 fős egyenes kiesés"/>
    <s v="7-8"/>
    <s v="Gyarmathy Zsolt"/>
    <x v="35"/>
    <s v="HUN"/>
    <n v="0"/>
    <m/>
    <s v="Várpalota"/>
    <d v="2026-02-28T00:00:00"/>
    <s v="Gyarmathy Zsolt - Fitt KKSE"/>
    <x v="0"/>
    <s v="Fitt KKSE"/>
    <x v="1"/>
    <s v="serdülő"/>
  </r>
  <r>
    <x v="1"/>
    <n v="2"/>
    <n v="137"/>
    <x v="0"/>
    <s v="Kumite, -, 60-70 kg, Serdülő (13-14"/>
    <s v="Kumite, serdülő fiú 70 kg"/>
    <s v="8"/>
    <s v="8 fős egyenes kiesés"/>
    <s v="7-8"/>
    <s v="Nagy Kevin "/>
    <x v="28"/>
    <s v="HUN"/>
    <n v="0"/>
    <m/>
    <s v="Várpalota"/>
    <d v="2026-02-28T00:00:00"/>
    <s v="Nagy Kevin  - KKE - Spartacus"/>
    <x v="0"/>
    <s v="KKE - Spartacus"/>
    <x v="1"/>
    <s v="serdülő"/>
  </r>
  <r>
    <x v="1"/>
    <n v="2"/>
    <n v="138"/>
    <x v="1"/>
    <s v="Kata, -, 0-150 kg, Serdülő (13-14"/>
    <s v="Kata, serdülő fiú"/>
    <s v="11"/>
    <s v="16 fős egyenes kiesés"/>
    <s v="1"/>
    <s v="Moosbauer Kevin"/>
    <x v="15"/>
    <s v="HUN"/>
    <n v="6"/>
    <m/>
    <s v="Várpalota"/>
    <d v="2026-02-28T00:00:00"/>
    <s v="Moosbauer Kevin - KSE Tarján"/>
    <x v="0"/>
    <s v="KSE Tarján"/>
    <x v="1"/>
    <s v="serdülő"/>
  </r>
  <r>
    <x v="1"/>
    <n v="2"/>
    <n v="139"/>
    <x v="1"/>
    <s v="Kata, -, 0-150 kg, Serdülő (13-14"/>
    <s v="Kata, serdülő fiú"/>
    <s v="11"/>
    <s v="16 fős egyenes kiesés"/>
    <s v="2"/>
    <s v="Kárpáti Bence"/>
    <x v="34"/>
    <s v="HUN"/>
    <n v="5"/>
    <m/>
    <s v="Várpalota"/>
    <d v="2026-02-28T00:00:00"/>
    <s v="Kárpáti Bence - Cs.S.E."/>
    <x v="0"/>
    <s v="Cs.S.E."/>
    <x v="1"/>
    <s v="serdülő"/>
  </r>
  <r>
    <x v="1"/>
    <n v="2"/>
    <n v="140"/>
    <x v="1"/>
    <s v="Kata, -, 0-150 kg, Serdülő (13-14"/>
    <s v="Kata, serdülő fiú"/>
    <s v="11"/>
    <s v="16 fős egyenes kiesés"/>
    <s v="3"/>
    <s v="Kleé Krisztián"/>
    <x v="23"/>
    <s v="HUN"/>
    <n v="3"/>
    <m/>
    <s v="Várpalota"/>
    <d v="2026-02-28T00:00:00"/>
    <s v="Kleé Krisztián - Rakurai"/>
    <x v="0"/>
    <s v="Rakurai"/>
    <x v="1"/>
    <s v="serdülő"/>
  </r>
  <r>
    <x v="1"/>
    <n v="2"/>
    <n v="141"/>
    <x v="1"/>
    <s v="Kata, -, 0-150 kg, Serdülő (13-14"/>
    <s v="Kata, serdülő fiú"/>
    <s v="11"/>
    <s v="16 fős egyenes kiesés"/>
    <s v="3"/>
    <s v="Tarjányi Zétény Ferenc"/>
    <x v="32"/>
    <s v="HUN"/>
    <n v="3"/>
    <m/>
    <s v="Várpalota"/>
    <d v="2026-02-28T00:00:00"/>
    <s v="Tarjányi Zétény Ferenc - ARSC"/>
    <x v="0"/>
    <s v="ARSC"/>
    <x v="1"/>
    <s v="serdülő"/>
  </r>
  <r>
    <x v="1"/>
    <n v="2"/>
    <n v="142"/>
    <x v="1"/>
    <s v="Kata, -, 0-150 kg, Serdülő (13-14"/>
    <s v="Kata, serdülő fiú"/>
    <s v="11"/>
    <s v="16 fős egyenes kiesés"/>
    <s v="5"/>
    <s v="Szigeti Boldizsár"/>
    <x v="22"/>
    <s v="HUN"/>
    <n v="0"/>
    <s v="nem volt nyertes mérkőzése"/>
    <s v="Várpalota"/>
    <d v="2026-02-28T00:00:00"/>
    <s v="Szigeti Boldizsár - Siófok KSE"/>
    <x v="0"/>
    <s v="Siófok KSE"/>
    <x v="1"/>
    <s v="serdülő"/>
  </r>
  <r>
    <x v="1"/>
    <n v="2"/>
    <n v="143"/>
    <x v="1"/>
    <s v="Kata, -, 0-150 kg, Serdülő (13-14"/>
    <s v="Kata, serdülő fiú"/>
    <s v="11"/>
    <s v="16 fős egyenes kiesés"/>
    <s v="6"/>
    <s v="Sövér Levente"/>
    <x v="17"/>
    <s v="HUN"/>
    <n v="1"/>
    <m/>
    <s v="Várpalota"/>
    <d v="2026-02-28T00:00:00"/>
    <s v="Sövér Levente - BHMSE"/>
    <x v="0"/>
    <s v="BHMSE"/>
    <x v="1"/>
    <s v="serdülő"/>
  </r>
  <r>
    <x v="1"/>
    <n v="2"/>
    <n v="144"/>
    <x v="1"/>
    <s v="Kata, -, 0-150 kg, Serdülő (13-14"/>
    <s v="Kata, serdülő fiú"/>
    <s v="11"/>
    <s v="16 fős egyenes kiesés"/>
    <s v="7-8"/>
    <s v="Nyíri György"/>
    <x v="22"/>
    <s v="HUN"/>
    <n v="0"/>
    <s v="nem volt nyertes mérkőzése"/>
    <s v="Várpalota"/>
    <d v="2026-02-28T00:00:00"/>
    <s v="Nyíri György - Siófok KSE"/>
    <x v="0"/>
    <s v="Siófok KSE"/>
    <x v="1"/>
    <s v="serdülő"/>
  </r>
  <r>
    <x v="1"/>
    <n v="2"/>
    <n v="145"/>
    <x v="1"/>
    <s v="Kata, -, 0-150 kg, Serdülő (13-14"/>
    <s v="Kata, serdülő fiú"/>
    <s v="11"/>
    <s v="16 fős egyenes kiesés"/>
    <s v="7-8"/>
    <s v="Jankovics Marcell"/>
    <x v="22"/>
    <s v="HUN"/>
    <n v="0"/>
    <m/>
    <s v="Várpalota"/>
    <d v="2026-02-28T00:00:00"/>
    <s v="Jankovics Marcell - Siófok KSE"/>
    <x v="0"/>
    <s v="Siófok KSE"/>
    <x v="1"/>
    <s v="serdülő"/>
  </r>
  <r>
    <x v="1"/>
    <n v="2"/>
    <n v="146"/>
    <x v="1"/>
    <s v="Kata, -, 0-150 kg, Serdülő (13-14"/>
    <s v="Kata, serdülő fiú"/>
    <s v="11"/>
    <s v="16 fős egyenes kiesés"/>
    <s v="9"/>
    <s v="Ferenczhalmy Félix"/>
    <x v="17"/>
    <s v="HUN"/>
    <n v="0"/>
    <m/>
    <s v="Várpalota"/>
    <d v="2026-02-28T00:00:00"/>
    <s v="Ferenczhalmy Félix - BHMSE"/>
    <x v="0"/>
    <s v="BHMSE"/>
    <x v="1"/>
    <s v="serdülő"/>
  </r>
  <r>
    <x v="1"/>
    <n v="2"/>
    <n v="147"/>
    <x v="1"/>
    <s v="Kata, -, 0-150 kg, Serdülő (13-14"/>
    <s v="Kata, serdülő fiú"/>
    <s v="11"/>
    <s v="16 fős egyenes kiesés"/>
    <s v="11-16"/>
    <s v="Fulló István Dragoljub"/>
    <x v="1"/>
    <s v="HUN"/>
    <n v="0"/>
    <m/>
    <s v="Várpalota"/>
    <d v="2026-02-28T00:00:00"/>
    <s v="Fulló István Dragoljub - Ippon KKSE"/>
    <x v="0"/>
    <s v="Ippon KKSE"/>
    <x v="1"/>
    <s v="serdülő"/>
  </r>
  <r>
    <x v="1"/>
    <n v="2"/>
    <n v="148"/>
    <x v="1"/>
    <s v="Kata, -, 0-150 kg, Serdülő (13-14"/>
    <s v="Kata, serdülő fiú"/>
    <s v="11"/>
    <s v="16 fős egyenes kiesés"/>
    <s v="11-16"/>
    <s v="KÁDAS DOMINIK"/>
    <x v="11"/>
    <s v="HUN"/>
    <n v="0"/>
    <m/>
    <s v="Várpalota"/>
    <d v="2026-02-28T00:00:00"/>
    <s v="KÁDAS DOMINIK - KyoDabas SE."/>
    <x v="1"/>
    <s v="KyoDabas SE."/>
    <x v="1"/>
    <s v="serdülő"/>
  </r>
  <r>
    <x v="1"/>
    <n v="2"/>
    <n v="149"/>
    <x v="0"/>
    <s v="Kumite, -, 0-40 kg, Serdülő (13-14"/>
    <s v="Kumite, serdülő lány 40 kg"/>
    <s v="2"/>
    <s v="2 fős egyenes kiesés"/>
    <s v="1"/>
    <s v="Bogdán Szonja Boróka"/>
    <x v="23"/>
    <s v="HUN"/>
    <n v="3"/>
    <m/>
    <s v="Várpalota"/>
    <d v="2026-02-28T00:00:00"/>
    <s v="Bogdán Szonja Boróka - Rakurai"/>
    <x v="0"/>
    <s v="Rakurai"/>
    <x v="1"/>
    <s v="serdülő"/>
  </r>
  <r>
    <x v="1"/>
    <n v="2"/>
    <n v="150"/>
    <x v="0"/>
    <s v="Kumite, -, 0-40 kg, Serdülő (13-14"/>
    <s v="Kumite, serdülő lány 40 kg"/>
    <s v="2"/>
    <s v="2 fős egyenes kiesés"/>
    <s v="2"/>
    <s v="Rékai Bianka"/>
    <x v="22"/>
    <s v="HUN"/>
    <n v="0"/>
    <m/>
    <s v="Várpalota"/>
    <d v="2026-02-28T00:00:00"/>
    <s v="Rékai Bianka - Siófok KSE"/>
    <x v="0"/>
    <s v="Siófok KSE"/>
    <x v="1"/>
    <s v="serdülő"/>
  </r>
  <r>
    <x v="1"/>
    <n v="2"/>
    <n v="151"/>
    <x v="0"/>
    <s v="Kumite, -, 45-55 kg, Serdülő (13-14"/>
    <s v="Kumite, serdülő lány 55 kg"/>
    <s v="11"/>
    <s v="16 fős egyenes kiesés"/>
    <s v="1"/>
    <s v="Reichert Hanna "/>
    <x v="19"/>
    <s v="HUN"/>
    <n v="8"/>
    <m/>
    <s v="Várpalota"/>
    <d v="2026-02-28T00:00:00"/>
    <s v="Reichert Hanna  - VTSE"/>
    <x v="1"/>
    <s v="VTSE"/>
    <x v="1"/>
    <s v="serdülő"/>
  </r>
  <r>
    <x v="1"/>
    <n v="2"/>
    <n v="152"/>
    <x v="0"/>
    <s v="Kumite, -, 45-55 kg, Serdülő (13-14"/>
    <s v="Kumite, serdülő lány 55 kg"/>
    <s v="11"/>
    <s v="16 fős egyenes kiesés"/>
    <s v="2"/>
    <s v="Gaál-Vajai Tamara"/>
    <x v="4"/>
    <s v="HUN"/>
    <n v="6"/>
    <m/>
    <s v="Várpalota"/>
    <d v="2026-02-28T00:00:00"/>
    <s v="Gaál-Vajai Tamara - Főnix Dojo"/>
    <x v="0"/>
    <s v="Főnix Dojo"/>
    <x v="1"/>
    <s v="serdülő"/>
  </r>
  <r>
    <x v="1"/>
    <n v="2"/>
    <n v="153"/>
    <x v="0"/>
    <s v="Kumite, -, 45-55 kg, Serdülő (13-14"/>
    <s v="Kumite, serdülő lány 55 kg"/>
    <s v="11"/>
    <s v="16 fős egyenes kiesés"/>
    <s v="3"/>
    <s v="Papp Gréta"/>
    <x v="6"/>
    <s v="HUN"/>
    <n v="4"/>
    <m/>
    <s v="Várpalota"/>
    <d v="2026-02-28T00:00:00"/>
    <s v="Papp Gréta - Castrum"/>
    <x v="0"/>
    <s v="Castrum"/>
    <x v="1"/>
    <s v="serdülő"/>
  </r>
  <r>
    <x v="1"/>
    <n v="2"/>
    <n v="154"/>
    <x v="0"/>
    <s v="Kumite, -, 45-55 kg, Serdülő (13-14"/>
    <s v="Kumite, serdülő lány 55 kg"/>
    <s v="11"/>
    <s v="16 fős egyenes kiesés"/>
    <s v="3"/>
    <s v="Radnóti Lilla"/>
    <x v="36"/>
    <s v="HUN"/>
    <n v="4"/>
    <m/>
    <s v="Várpalota"/>
    <d v="2026-02-28T00:00:00"/>
    <s v="Radnóti Lilla - POWER SE."/>
    <x v="0"/>
    <s v="POWER SE."/>
    <x v="1"/>
    <s v="serdülő"/>
  </r>
  <r>
    <x v="1"/>
    <n v="2"/>
    <n v="155"/>
    <x v="0"/>
    <s v="Kumite, -, 45-55 kg, Serdülő (13-14"/>
    <s v="Kumite, serdülő lány 55 kg"/>
    <s v="11"/>
    <s v="16 fős egyenes kiesés"/>
    <s v="5"/>
    <s v="Villasenor Babos Natália "/>
    <x v="23"/>
    <s v="HUN"/>
    <n v="0"/>
    <s v="nem volt nyertes mérkőzése"/>
    <s v="Várpalota"/>
    <d v="2026-02-28T00:00:00"/>
    <s v="Villasenor Babos Natália  - Rakurai"/>
    <x v="0"/>
    <s v="Rakurai"/>
    <x v="1"/>
    <s v="serdülő"/>
  </r>
  <r>
    <x v="1"/>
    <n v="2"/>
    <n v="156"/>
    <x v="0"/>
    <s v="Kumite, -, 45-55 kg, Serdülő (13-14"/>
    <s v="Kumite, serdülő lány 55 kg"/>
    <s v="11"/>
    <s v="16 fős egyenes kiesés"/>
    <s v="6"/>
    <s v="Ványi Amira"/>
    <x v="36"/>
    <s v="HUN"/>
    <n v="2"/>
    <m/>
    <s v="Várpalota"/>
    <d v="2026-02-28T00:00:00"/>
    <s v="Ványi Amira - POWER SE."/>
    <x v="0"/>
    <s v="POWER SE."/>
    <x v="1"/>
    <s v="serdülő"/>
  </r>
  <r>
    <x v="1"/>
    <n v="2"/>
    <n v="157"/>
    <x v="0"/>
    <s v="Kumite, -, 45-55 kg, Serdülő (13-14"/>
    <s v="Kumite, serdülő lány 55 kg"/>
    <s v="11"/>
    <s v="16 fős egyenes kiesés"/>
    <s v="7-8"/>
    <s v="Gazdag Csinszka"/>
    <x v="37"/>
    <s v="HUN"/>
    <n v="0"/>
    <s v="nem volt nyertes mérkőzése"/>
    <s v="Várpalota"/>
    <d v="2026-02-28T00:00:00"/>
    <s v="Gazdag Csinszka - ASE Bulldog KKSZCS"/>
    <x v="0"/>
    <s v="ASE Bulldog KKSZCS"/>
    <x v="1"/>
    <s v="serdülő"/>
  </r>
  <r>
    <x v="1"/>
    <n v="2"/>
    <n v="158"/>
    <x v="0"/>
    <s v="Kumite, -, 45-55 kg, Serdülő (13-14"/>
    <s v="Kumite, serdülő lány 55 kg"/>
    <s v="11"/>
    <s v="16 fős egyenes kiesés"/>
    <s v="7-8"/>
    <s v="Nagy Anna"/>
    <x v="4"/>
    <s v="HUN"/>
    <n v="0"/>
    <s v="nem volt nyertes mérkőzése"/>
    <s v="Várpalota"/>
    <d v="2026-02-28T00:00:00"/>
    <s v="Nagy Anna - Főnix Dojo"/>
    <x v="0"/>
    <s v="Főnix Dojo"/>
    <x v="1"/>
    <s v="serdülő"/>
  </r>
  <r>
    <x v="1"/>
    <n v="2"/>
    <n v="159"/>
    <x v="0"/>
    <s v="Kumite, -, 45-55 kg, Serdülő (13-14"/>
    <s v="Kumite, serdülő lány 55 kg"/>
    <s v="11"/>
    <s v="16 fős egyenes kiesés"/>
    <s v="11-16"/>
    <s v="Volenszki Mira"/>
    <x v="29"/>
    <s v="HUN"/>
    <n v="0"/>
    <m/>
    <s v="Várpalota"/>
    <d v="2026-02-28T00:00:00"/>
    <s v="Volenszki Mira - WARRIORS TEAM"/>
    <x v="0"/>
    <s v="WARRIORS TEAM"/>
    <x v="1"/>
    <s v="serdülő"/>
  </r>
  <r>
    <x v="1"/>
    <n v="2"/>
    <n v="160"/>
    <x v="0"/>
    <s v="Kumite, -, 45-55 kg, Serdülő (13-14"/>
    <s v="Kumite, serdülő lány 55 kg"/>
    <s v="11"/>
    <s v="16 fős egyenes kiesés"/>
    <s v="11-16"/>
    <s v="Solymári Orsolya Dalma"/>
    <x v="29"/>
    <s v="HUN"/>
    <n v="0"/>
    <m/>
    <s v="Várpalota"/>
    <d v="2026-02-28T00:00:00"/>
    <s v="Solymári Orsolya Dalma - WARRIORS TEAM"/>
    <x v="0"/>
    <s v="WARRIORS TEAM"/>
    <x v="1"/>
    <s v="serdülő"/>
  </r>
  <r>
    <x v="1"/>
    <n v="2"/>
    <n v="161"/>
    <x v="0"/>
    <s v="Kumite, -, 45-55 kg, Serdülő (13-14"/>
    <s v="Kumite, serdülő lány 55 kg"/>
    <s v="11"/>
    <s v="16 fős egyenes kiesés"/>
    <s v="11-16"/>
    <s v="Volenszki Adél"/>
    <x v="29"/>
    <s v="HUN"/>
    <n v="0"/>
    <m/>
    <s v="Várpalota"/>
    <d v="2026-02-28T00:00:00"/>
    <s v="Volenszki Adél - WARRIORS TEAM"/>
    <x v="0"/>
    <s v="WARRIORS TEAM"/>
    <x v="1"/>
    <s v="serdülő"/>
  </r>
  <r>
    <x v="1"/>
    <n v="2"/>
    <n v="162"/>
    <x v="0"/>
    <s v="Kumite, -, 55-65 kg, Serdülő (13-14"/>
    <s v="Kumite, serdülő lány 65 kg"/>
    <s v="6"/>
    <s v="6 fős vegyes"/>
    <s v="1"/>
    <s v="Bennárik Bella"/>
    <x v="29"/>
    <s v="HUN"/>
    <n v="6"/>
    <m/>
    <s v="Várpalota"/>
    <d v="2026-02-28T00:00:00"/>
    <s v="Bennárik Bella - WARRIORS TEAM"/>
    <x v="0"/>
    <s v="WARRIORS TEAM"/>
    <x v="1"/>
    <s v="serdülő"/>
  </r>
  <r>
    <x v="1"/>
    <n v="2"/>
    <n v="163"/>
    <x v="0"/>
    <s v="Kumite, -, 55-65 kg, Serdülő (13-14"/>
    <s v="Kumite, serdülő lány 65 kg"/>
    <s v="6"/>
    <s v="6 fős vegyes"/>
    <s v="2"/>
    <s v="Szabó Anna Tímea"/>
    <x v="25"/>
    <s v="HUN"/>
    <n v="5"/>
    <m/>
    <s v="Várpalota"/>
    <d v="2026-02-28T00:00:00"/>
    <s v="Szabó Anna Tímea - Katana SE"/>
    <x v="0"/>
    <s v="Katana SE"/>
    <x v="1"/>
    <s v="serdülő"/>
  </r>
  <r>
    <x v="1"/>
    <n v="2"/>
    <n v="164"/>
    <x v="0"/>
    <s v="Kumite, -, 55-65 kg, Serdülő (13-14"/>
    <s v="Kumite, serdülő lány 65 kg"/>
    <s v="6"/>
    <s v="6 fős vegyes"/>
    <s v="3"/>
    <s v="Abou Hussein Maya"/>
    <x v="1"/>
    <s v="HUN"/>
    <n v="3"/>
    <m/>
    <s v="Várpalota"/>
    <d v="2026-02-28T00:00:00"/>
    <s v="Abou Hussein Maya - Ippon KKSE"/>
    <x v="0"/>
    <s v="Ippon KKSE"/>
    <x v="1"/>
    <s v="serdülő"/>
  </r>
  <r>
    <x v="1"/>
    <n v="2"/>
    <n v="165"/>
    <x v="0"/>
    <s v="Kumite, -, 65-150 kg, Serdülő (13-14"/>
    <s v="Kumite, serdülő lány +65 kg"/>
    <s v="3"/>
    <s v="3 fős körmérkőzés"/>
    <s v="1"/>
    <s v="Szente Beatrix"/>
    <x v="19"/>
    <s v="HUN"/>
    <n v="4"/>
    <m/>
    <s v="Várpalota"/>
    <d v="2026-02-28T00:00:00"/>
    <s v="Szente Beatrix - VTSE"/>
    <x v="1"/>
    <s v="VTSE"/>
    <x v="1"/>
    <s v="serdülő"/>
  </r>
  <r>
    <x v="1"/>
    <n v="2"/>
    <n v="166"/>
    <x v="0"/>
    <s v="Kumite, -, 65-150 kg, Serdülő (13-14"/>
    <s v="Kumite, serdülő lány +65 kg"/>
    <s v="3"/>
    <s v="3 fős körmérkőzés"/>
    <s v="2"/>
    <s v="Lukácsi Réka"/>
    <x v="1"/>
    <s v="HUN"/>
    <n v="3"/>
    <m/>
    <s v="Várpalota"/>
    <d v="2026-02-28T00:00:00"/>
    <s v="Lukácsi Réka - Ippon KKSE"/>
    <x v="0"/>
    <s v="Ippon KKSE"/>
    <x v="1"/>
    <s v="serdülő"/>
  </r>
  <r>
    <x v="1"/>
    <n v="2"/>
    <n v="167"/>
    <x v="0"/>
    <s v="Kumite, -, 65-150 kg, Serdülő (13-14"/>
    <s v="Kumite, serdülő lány +65 kg"/>
    <s v="3"/>
    <s v="3 fős körmérkőzés"/>
    <s v="3"/>
    <s v="Bota Sára"/>
    <x v="23"/>
    <s v="HUN"/>
    <n v="2"/>
    <m/>
    <s v="Várpalota"/>
    <d v="2026-02-28T00:00:00"/>
    <s v="Bota Sára - Rakurai"/>
    <x v="0"/>
    <s v="Rakurai"/>
    <x v="1"/>
    <s v="serdülő"/>
  </r>
  <r>
    <x v="1"/>
    <n v="2"/>
    <n v="168"/>
    <x v="0"/>
    <s v="Kumite, -, 40-45 kg, Serdülő (13-14"/>
    <s v="Kumite, serdülő lány 45 kg"/>
    <s v="2"/>
    <s v="2 fős egyenes kiesés"/>
    <s v="1"/>
    <s v="Horváth Liliána"/>
    <x v="13"/>
    <s v="HUN"/>
    <n v="3"/>
    <m/>
    <s v="Várpalota"/>
    <d v="2026-02-28T00:00:00"/>
    <s v="Horváth Liliána - Kamikaze S"/>
    <x v="0"/>
    <s v="Kamikaze S"/>
    <x v="1"/>
    <s v="serdülő"/>
  </r>
  <r>
    <x v="1"/>
    <n v="2"/>
    <n v="169"/>
    <x v="0"/>
    <s v="Kumite, -, 40-45 kg, Serdülő (13-14"/>
    <s v="Kumite, serdülő lány 45 kg"/>
    <s v="2"/>
    <s v="2 fős egyenes kiesés"/>
    <s v="2"/>
    <s v="Mihályi Tünde"/>
    <x v="17"/>
    <s v="HUN"/>
    <n v="0"/>
    <m/>
    <s v="Várpalota"/>
    <d v="2026-02-28T00:00:00"/>
    <s v="Mihályi Tünde - BHMSE"/>
    <x v="0"/>
    <s v="BHMSE"/>
    <x v="1"/>
    <s v="serdülő"/>
  </r>
  <r>
    <x v="1"/>
    <n v="2"/>
    <n v="170"/>
    <x v="1"/>
    <s v="Kata, -, 0-150 kg, Serdülő (13-14"/>
    <s v="Kata, serdülő lány"/>
    <s v="20"/>
    <s v="32 fős egyenes kiesés"/>
    <s v="1"/>
    <s v="Szabó Anna Tímea"/>
    <x v="25"/>
    <s v="HUN"/>
    <n v="8"/>
    <m/>
    <s v="Várpalota"/>
    <d v="2026-02-28T00:00:00"/>
    <s v="Szabó Anna Tímea - Katana SE"/>
    <x v="0"/>
    <s v="Katana SE"/>
    <x v="1"/>
    <s v="serdülő"/>
  </r>
  <r>
    <x v="1"/>
    <n v="2"/>
    <n v="171"/>
    <x v="1"/>
    <s v="Kata, -, 0-150 kg, Serdülő (13-14"/>
    <s v="Kata, serdülő lány"/>
    <s v="20"/>
    <s v="32 fős egyenes kiesés"/>
    <s v="2"/>
    <s v="Tóth-Krisó Míra"/>
    <x v="25"/>
    <s v="HUN"/>
    <n v="6"/>
    <m/>
    <s v="Várpalota"/>
    <d v="2026-02-28T00:00:00"/>
    <s v="Tóth-Krisó Míra - Katana SE"/>
    <x v="0"/>
    <s v="Katana SE"/>
    <x v="1"/>
    <s v="serdülő"/>
  </r>
  <r>
    <x v="1"/>
    <n v="2"/>
    <n v="172"/>
    <x v="1"/>
    <s v="Kata, -, 0-150 kg, Serdülő (13-14"/>
    <s v="Kata, serdülő lány"/>
    <s v="20"/>
    <s v="32 fős egyenes kiesés"/>
    <s v="3"/>
    <s v="Horváth Dóra Lili"/>
    <x v="17"/>
    <s v="HUN"/>
    <n v="4"/>
    <m/>
    <s v="Várpalota"/>
    <d v="2026-02-28T00:00:00"/>
    <s v="Horváth Dóra Lili - BHMSE"/>
    <x v="0"/>
    <s v="BHMSE"/>
    <x v="1"/>
    <s v="serdülő"/>
  </r>
  <r>
    <x v="1"/>
    <n v="2"/>
    <n v="173"/>
    <x v="1"/>
    <s v="Kata, -, 0-150 kg, Serdülő (13-14"/>
    <s v="Kata, serdülő lány"/>
    <s v="20"/>
    <s v="32 fős egyenes kiesés"/>
    <s v="3"/>
    <s v="Mészáros Lili Dóra"/>
    <x v="15"/>
    <s v="HUN"/>
    <n v="4"/>
    <m/>
    <s v="Várpalota"/>
    <d v="2026-02-28T00:00:00"/>
    <s v="Mészáros Lili Dóra - KSE Tarján"/>
    <x v="0"/>
    <s v="KSE Tarján"/>
    <x v="1"/>
    <s v="serdülő"/>
  </r>
  <r>
    <x v="1"/>
    <n v="2"/>
    <n v="174"/>
    <x v="1"/>
    <s v="Kata, -, 0-150 kg, Serdülő (13-14"/>
    <s v="Kata, serdülő lány"/>
    <s v="20"/>
    <s v="32 fős egyenes kiesés"/>
    <s v="5"/>
    <s v="Szűcs Anna"/>
    <x v="33"/>
    <s v="HUN"/>
    <n v="2"/>
    <m/>
    <s v="Várpalota"/>
    <d v="2026-02-28T00:00:00"/>
    <s v="Szűcs Anna - Ichiro Dojo"/>
    <x v="1"/>
    <s v="Ichiro Dojo"/>
    <x v="1"/>
    <s v="serdülő"/>
  </r>
  <r>
    <x v="1"/>
    <n v="2"/>
    <n v="175"/>
    <x v="1"/>
    <s v="Kata, -, 0-150 kg, Serdülő (13-14"/>
    <s v="Kata, serdülő lány"/>
    <s v="20"/>
    <s v="32 fős egyenes kiesés"/>
    <s v="6"/>
    <s v="Mihályi Tünde"/>
    <x v="17"/>
    <s v="HUN"/>
    <n v="2"/>
    <m/>
    <s v="Várpalota"/>
    <d v="2026-02-28T00:00:00"/>
    <s v="Mihályi Tünde - BHMSE"/>
    <x v="0"/>
    <s v="BHMSE"/>
    <x v="1"/>
    <s v="serdülő"/>
  </r>
  <r>
    <x v="1"/>
    <n v="2"/>
    <n v="176"/>
    <x v="1"/>
    <s v="Kata, -, 0-150 kg, Serdülő (13-14"/>
    <s v="Kata, serdülő lány"/>
    <s v="20"/>
    <s v="32 fős egyenes kiesés"/>
    <s v="7-8"/>
    <s v="Gazdag Csinszka"/>
    <x v="37"/>
    <s v="HUN"/>
    <n v="2"/>
    <m/>
    <s v="Várpalota"/>
    <d v="2026-02-28T00:00:00"/>
    <s v="Gazdag Csinszka - ASE Bulldog KKSZCS"/>
    <x v="0"/>
    <s v="ASE Bulldog KKSZCS"/>
    <x v="1"/>
    <s v="serdülő"/>
  </r>
  <r>
    <x v="1"/>
    <n v="2"/>
    <n v="177"/>
    <x v="1"/>
    <s v="Kata, -, 0-150 kg, Serdülő (13-14"/>
    <s v="Kata, serdülő lány"/>
    <s v="20"/>
    <s v="32 fős egyenes kiesés"/>
    <s v="7-8"/>
    <s v="Radnóti Lilla"/>
    <x v="36"/>
    <s v="HUN"/>
    <n v="2"/>
    <m/>
    <s v="Várpalota"/>
    <d v="2026-02-28T00:00:00"/>
    <s v="Radnóti Lilla - POWER SE."/>
    <x v="0"/>
    <s v="POWER SE."/>
    <x v="1"/>
    <s v="serdülő"/>
  </r>
  <r>
    <x v="1"/>
    <n v="2"/>
    <n v="178"/>
    <x v="1"/>
    <s v="Kata, -, 0-150 kg, Serdülő (13-14"/>
    <s v="Kata, serdülő lány"/>
    <s v="20"/>
    <s v="32 fős egyenes kiesés"/>
    <s v="9"/>
    <s v="Kovács Linett"/>
    <x v="38"/>
    <s v="HUN"/>
    <n v="0"/>
    <m/>
    <s v="Várpalota"/>
    <d v="2026-02-28T00:00:00"/>
    <s v="Kovács Linett - RDKKSE"/>
    <x v="0"/>
    <s v="RDKKSE"/>
    <x v="1"/>
    <s v="serdülő"/>
  </r>
  <r>
    <x v="1"/>
    <n v="2"/>
    <n v="179"/>
    <x v="1"/>
    <s v="Kata, -, 0-150 kg, Serdülő (13-14"/>
    <s v="Kata, serdülő lány"/>
    <s v="20"/>
    <s v="32 fős egyenes kiesés"/>
    <s v="10"/>
    <s v="Gál Petra Andrea"/>
    <x v="35"/>
    <s v="HUN"/>
    <n v="0"/>
    <m/>
    <s v="Várpalota"/>
    <d v="2026-02-28T00:00:00"/>
    <s v="Gál Petra Andrea - Fitt KKSE"/>
    <x v="0"/>
    <s v="Fitt KKSE"/>
    <x v="1"/>
    <s v="serdülő"/>
  </r>
  <r>
    <x v="1"/>
    <n v="2"/>
    <n v="180"/>
    <x v="1"/>
    <s v="Kata, -, 0-150 kg, Serdülő (13-14"/>
    <s v="Kata, serdülő lány"/>
    <s v="20"/>
    <s v="32 fős egyenes kiesés"/>
    <s v="11-16"/>
    <s v="Orosz Elizabett"/>
    <x v="15"/>
    <s v="HUN"/>
    <n v="0"/>
    <m/>
    <s v="Várpalota"/>
    <d v="2026-02-28T00:00:00"/>
    <s v="Orosz Elizabett - KSE Tarján"/>
    <x v="0"/>
    <s v="KSE Tarján"/>
    <x v="1"/>
    <s v="serdülő"/>
  </r>
  <r>
    <x v="1"/>
    <n v="2"/>
    <n v="181"/>
    <x v="1"/>
    <s v="Kata, -, 0-150 kg, Serdülő (13-14"/>
    <s v="Kata, serdülő lány"/>
    <s v="20"/>
    <s v="32 fős egyenes kiesés"/>
    <s v="11-16"/>
    <s v="Gaál-Vajai Tamara"/>
    <x v="4"/>
    <s v="HUN"/>
    <n v="0"/>
    <m/>
    <s v="Várpalota"/>
    <d v="2026-02-28T00:00:00"/>
    <s v="Gaál-Vajai Tamara - Főnix Dojo"/>
    <x v="0"/>
    <s v="Főnix Dojo"/>
    <x v="1"/>
    <s v="serdülő"/>
  </r>
  <r>
    <x v="1"/>
    <n v="2"/>
    <n v="182"/>
    <x v="1"/>
    <s v="Kata, -, 0-150 kg, Serdülő (13-14"/>
    <s v="Kata, serdülő lány"/>
    <s v="20"/>
    <s v="32 fős egyenes kiesés"/>
    <s v="11-16"/>
    <s v="Nagy Anna"/>
    <x v="4"/>
    <s v="HUN"/>
    <n v="0"/>
    <m/>
    <s v="Várpalota"/>
    <d v="2026-02-28T00:00:00"/>
    <s v="Nagy Anna - Főnix Dojo"/>
    <x v="0"/>
    <s v="Főnix Dojo"/>
    <x v="1"/>
    <s v="serdülő"/>
  </r>
  <r>
    <x v="1"/>
    <n v="2"/>
    <n v="183"/>
    <x v="1"/>
    <s v="Kata, -, 0-150 kg, Serdülő (13-14"/>
    <s v="Kata, serdülő lány"/>
    <s v="20"/>
    <s v="32 fős egyenes kiesés"/>
    <s v="11-16"/>
    <s v="Kovács Maja"/>
    <x v="25"/>
    <s v="HUN"/>
    <n v="0"/>
    <m/>
    <s v="Várpalota"/>
    <d v="2026-02-28T00:00:00"/>
    <s v="Kovács Maja - Katana SE"/>
    <x v="0"/>
    <s v="Katana SE"/>
    <x v="1"/>
    <s v="serdülő"/>
  </r>
  <r>
    <x v="1"/>
    <n v="2"/>
    <n v="184"/>
    <x v="1"/>
    <s v="Kata, -, 0-150 kg, Serdülő (13-14"/>
    <s v="Kata, serdülő lány"/>
    <s v="20"/>
    <s v="32 fős egyenes kiesés"/>
    <s v="11-16"/>
    <s v="Lukácsi Réka"/>
    <x v="1"/>
    <s v="HUN"/>
    <n v="0"/>
    <m/>
    <s v="Várpalota"/>
    <d v="2026-02-28T00:00:00"/>
    <s v="Lukácsi Réka - Ippon KKSE"/>
    <x v="0"/>
    <s v="Ippon KKSE"/>
    <x v="1"/>
    <s v="serdülő"/>
  </r>
  <r>
    <x v="1"/>
    <n v="2"/>
    <n v="185"/>
    <x v="1"/>
    <s v="Kata, -, 0-150 kg, Serdülő (13-14"/>
    <s v="Kata, serdülő lány"/>
    <s v="20"/>
    <s v="32 fős egyenes kiesés"/>
    <s v="11-16"/>
    <s v="Szatmári Nóra Hanna"/>
    <x v="29"/>
    <s v="HUN"/>
    <n v="0"/>
    <m/>
    <s v="Várpalota"/>
    <d v="2026-02-28T00:00:00"/>
    <s v="Szatmári Nóra Hanna - WARRIORS TEAM"/>
    <x v="0"/>
    <s v="WARRIORS TEAM"/>
    <x v="1"/>
    <s v="serdülő"/>
  </r>
  <r>
    <x v="1"/>
    <n v="2"/>
    <n v="186"/>
    <x v="0"/>
    <s v="Kumite, -, 0-50 kg, Ifjúsági (15-16"/>
    <s v="Kumite, ifjúsági fiú 50 kg"/>
    <s v="4"/>
    <s v="4 fős körmérkőzés"/>
    <s v="1"/>
    <s v="Gombos-Weidinger Barnabás"/>
    <x v="17"/>
    <s v="HUN"/>
    <n v="6"/>
    <m/>
    <s v="Várpalota"/>
    <d v="2026-02-28T00:00:00"/>
    <s v="Gombos-Weidinger Barnabás - BHMSE"/>
    <x v="0"/>
    <s v="BHMSE"/>
    <x v="1"/>
    <s v="ifjúsági"/>
  </r>
  <r>
    <x v="1"/>
    <n v="2"/>
    <n v="187"/>
    <x v="0"/>
    <s v="Kumite, -, 0-50 kg, Ifjúsági (15-16"/>
    <s v="Kumite, ifjúsági fiú 50 kg"/>
    <s v="4"/>
    <s v="4 fős körmérkőzés"/>
    <s v="2"/>
    <s v="Bollók Zalán"/>
    <x v="19"/>
    <s v="HUN"/>
    <n v="5"/>
    <m/>
    <s v="Várpalota"/>
    <d v="2026-02-28T00:00:00"/>
    <s v="Bollók Zalán - VTSE"/>
    <x v="1"/>
    <s v="VTSE"/>
    <x v="1"/>
    <s v="ifjúsági"/>
  </r>
  <r>
    <x v="1"/>
    <n v="2"/>
    <n v="188"/>
    <x v="0"/>
    <s v="Kumite, -, 0-50 kg, Ifjúsági (15-16"/>
    <s v="Kumite, ifjúsági fiú 50 kg"/>
    <s v="4"/>
    <s v="4 fős körmérkőzés"/>
    <s v="3"/>
    <s v="Lukács Filip"/>
    <x v="17"/>
    <s v="HUN"/>
    <n v="3"/>
    <m/>
    <s v="Várpalota"/>
    <d v="2026-02-28T00:00:00"/>
    <s v="Lukács Filip - BHMSE"/>
    <x v="0"/>
    <s v="BHMSE"/>
    <x v="1"/>
    <s v="ifjúsági"/>
  </r>
  <r>
    <x v="1"/>
    <n v="2"/>
    <n v="189"/>
    <x v="0"/>
    <s v="Kumite, -, 50-55 kg, Ifjúsági (15-16"/>
    <s v="Kumite, ifjúsági fiú 55 kg"/>
    <s v="2"/>
    <s v="2 fős egyenes kiesés"/>
    <s v="1"/>
    <s v="Szőke Zalán"/>
    <x v="19"/>
    <s v="HUN"/>
    <n v="3"/>
    <m/>
    <s v="Várpalota"/>
    <d v="2026-02-28T00:00:00"/>
    <s v="Szőke Zalán - VTSE"/>
    <x v="1"/>
    <s v="VTSE"/>
    <x v="1"/>
    <s v="ifjúsági"/>
  </r>
  <r>
    <x v="1"/>
    <n v="2"/>
    <n v="190"/>
    <x v="0"/>
    <s v="Kumite, -, 50-55 kg, Ifjúsági (15-16"/>
    <s v="Kumite, ifjúsági fiú 55 kg"/>
    <s v="2"/>
    <s v="2 fős egyenes kiesés"/>
    <s v="2"/>
    <s v="Sztojka Norbert Kevin"/>
    <x v="1"/>
    <s v="HUN"/>
    <n v="0"/>
    <m/>
    <s v="Várpalota"/>
    <d v="2026-02-28T00:00:00"/>
    <s v="Sztojka Norbert Kevin - Ippon KKSE"/>
    <x v="0"/>
    <s v="Ippon KKSE"/>
    <x v="1"/>
    <s v="ifjúsági"/>
  </r>
  <r>
    <x v="1"/>
    <n v="2"/>
    <n v="191"/>
    <x v="0"/>
    <s v="Kumite, -, 55-60 kg, Ifjúsági (15-16"/>
    <s v="Kumite, ifjúsági fiú 60 kg"/>
    <s v="2"/>
    <s v="2 fős egyenes kiesés"/>
    <s v="1"/>
    <s v="Tóth Gergely"/>
    <x v="33"/>
    <s v="HUN"/>
    <n v="3"/>
    <m/>
    <s v="Várpalota"/>
    <d v="2026-02-28T00:00:00"/>
    <s v="Tóth Gergely - Ichiro Dojo"/>
    <x v="1"/>
    <s v="Ichiro Dojo"/>
    <x v="1"/>
    <s v="ifjúsági"/>
  </r>
  <r>
    <x v="1"/>
    <n v="2"/>
    <n v="192"/>
    <x v="0"/>
    <s v="Kumite, -, 55-60 kg, Ifjúsági (15-16"/>
    <s v="Kumite, ifjúsági fiú 60 kg"/>
    <s v="2"/>
    <s v="2 fős egyenes kiesés"/>
    <s v="2"/>
    <s v="Kovács Vajk Zoltán"/>
    <x v="25"/>
    <s v="HUN"/>
    <n v="0"/>
    <m/>
    <s v="Várpalota"/>
    <d v="2026-02-28T00:00:00"/>
    <s v="Kovács Vajk Zoltán - Katana SE"/>
    <x v="0"/>
    <s v="Katana SE"/>
    <x v="1"/>
    <s v="ifjúsági"/>
  </r>
  <r>
    <x v="1"/>
    <n v="2"/>
    <n v="193"/>
    <x v="0"/>
    <s v="Kumite, -, 60-65 kg, Ifjúsági (15-16"/>
    <s v="Kumite, ifjúsági fiú 65 kg"/>
    <s v="7"/>
    <s v="8 fős egyenes kiesés"/>
    <s v="1"/>
    <s v="Magasi Attila"/>
    <x v="4"/>
    <s v="HUN"/>
    <n v="6"/>
    <m/>
    <s v="Várpalota"/>
    <d v="2026-02-28T00:00:00"/>
    <s v="Magasi Attila - Főnix Dojo"/>
    <x v="0"/>
    <s v="Főnix Dojo"/>
    <x v="1"/>
    <s v="ifjúsági"/>
  </r>
  <r>
    <x v="1"/>
    <n v="2"/>
    <n v="194"/>
    <x v="0"/>
    <s v="Kumite, -, 60-65 kg, Ifjúsági (15-16"/>
    <s v="Kumite, ifjúsági fiú 65 kg"/>
    <s v="7"/>
    <s v="8 fős egyenes kiesés"/>
    <s v="2"/>
    <s v="Farkas Áron Péter"/>
    <x v="33"/>
    <s v="HUN"/>
    <n v="5"/>
    <m/>
    <s v="Várpalota"/>
    <d v="2026-02-28T00:00:00"/>
    <s v="Farkas Áron Péter - Ichiro Dojo"/>
    <x v="1"/>
    <s v="Ichiro Dojo"/>
    <x v="1"/>
    <s v="ifjúsági"/>
  </r>
  <r>
    <x v="1"/>
    <n v="2"/>
    <n v="195"/>
    <x v="0"/>
    <s v="Kumite, -, 60-65 kg, Ifjúsági (15-16"/>
    <s v="Kumite, ifjúsági fiú 65 kg"/>
    <s v="7"/>
    <s v="8 fős egyenes kiesés"/>
    <s v="3"/>
    <s v="Molnár Bence Noel"/>
    <x v="29"/>
    <s v="HUN"/>
    <n v="3"/>
    <m/>
    <s v="Várpalota"/>
    <d v="2026-02-28T00:00:00"/>
    <s v="Molnár Bence Noel - WARRIORS TEAM"/>
    <x v="0"/>
    <s v="WARRIORS TEAM"/>
    <x v="1"/>
    <s v="ifjúsági"/>
  </r>
  <r>
    <x v="1"/>
    <n v="2"/>
    <n v="196"/>
    <x v="0"/>
    <s v="Kumite, -, 60-65 kg, Ifjúsági (15-16"/>
    <s v="Kumite, ifjúsági fiú 65 kg"/>
    <s v="7"/>
    <s v="8 fős egyenes kiesés"/>
    <s v="3"/>
    <s v="Bagó Balázs"/>
    <x v="19"/>
    <s v="HUN"/>
    <n v="3"/>
    <m/>
    <s v="Várpalota"/>
    <d v="2026-02-28T00:00:00"/>
    <s v="Bagó Balázs - VTSE"/>
    <x v="1"/>
    <s v="VTSE"/>
    <x v="1"/>
    <s v="ifjúsági"/>
  </r>
  <r>
    <x v="1"/>
    <n v="2"/>
    <n v="197"/>
    <x v="0"/>
    <s v="Kumite, -, 60-65 kg, Ifjúsági (15-16"/>
    <s v="Kumite, ifjúsági fiú 65 kg"/>
    <s v="7"/>
    <s v="8 fős egyenes kiesés"/>
    <s v="6"/>
    <s v="Alkaddour Ali Áron"/>
    <x v="17"/>
    <s v="HUN"/>
    <n v="0"/>
    <m/>
    <s v="Várpalota"/>
    <d v="2026-02-28T00:00:00"/>
    <s v="Alkaddour Ali Áron - BHMSE"/>
    <x v="0"/>
    <s v="BHMSE"/>
    <x v="1"/>
    <s v="ifjúsági"/>
  </r>
  <r>
    <x v="1"/>
    <n v="2"/>
    <n v="198"/>
    <x v="0"/>
    <s v="Kumite, -, 60-65 kg, Ifjúsági (15-16"/>
    <s v="Kumite, ifjúsági fiú 65 kg"/>
    <s v="7"/>
    <s v="8 fős egyenes kiesés"/>
    <s v="7-8"/>
    <s v="Fekete Szilárd"/>
    <x v="36"/>
    <s v="HUN"/>
    <n v="0"/>
    <m/>
    <s v="Várpalota"/>
    <d v="2026-02-28T00:00:00"/>
    <s v="Fekete Szilárd - POWER SE."/>
    <x v="0"/>
    <s v="POWER SE."/>
    <x v="1"/>
    <s v="ifjúsági"/>
  </r>
  <r>
    <x v="1"/>
    <n v="2"/>
    <n v="199"/>
    <x v="0"/>
    <s v="Kumite, -, 60-65 kg, Ifjúsági (15-16"/>
    <s v="Kumite, ifjúsági fiú 65 kg"/>
    <s v="7"/>
    <s v="8 fős egyenes kiesés"/>
    <s v="7-8"/>
    <s v="Baranyi Tibor"/>
    <x v="36"/>
    <s v="HUN"/>
    <n v="0"/>
    <m/>
    <s v="Várpalota"/>
    <d v="2026-02-28T00:00:00"/>
    <s v="Baranyi Tibor - POWER SE."/>
    <x v="0"/>
    <s v="POWER SE."/>
    <x v="1"/>
    <s v="ifjúsági"/>
  </r>
  <r>
    <x v="1"/>
    <n v="2"/>
    <n v="200"/>
    <x v="0"/>
    <s v="Kumite, -, 70-75 kg, Ifjúsági (15-16"/>
    <s v="Kumite, ifjúsági fiú 75 kg"/>
    <s v="3"/>
    <s v="3 fős körmérkőzés"/>
    <s v="1"/>
    <s v="Csonka Máté"/>
    <x v="13"/>
    <s v="HUN"/>
    <n v="4"/>
    <m/>
    <s v="Várpalota"/>
    <d v="2026-02-28T00:00:00"/>
    <s v="Csonka Máté - Kamikaze S"/>
    <x v="0"/>
    <s v="Kamikaze S"/>
    <x v="1"/>
    <s v="ifjúsági"/>
  </r>
  <r>
    <x v="1"/>
    <n v="2"/>
    <n v="201"/>
    <x v="0"/>
    <s v="Kumite, -, 70-75 kg, Ifjúsági (15-16"/>
    <s v="Kumite, ifjúsági fiú 75 kg"/>
    <s v="3"/>
    <s v="3 fős körmérkőzés"/>
    <s v="2"/>
    <s v="Szabó Levente"/>
    <x v="29"/>
    <s v="HUN"/>
    <n v="3"/>
    <m/>
    <s v="Várpalota"/>
    <d v="2026-02-28T00:00:00"/>
    <s v="Szabó Levente - WARRIORS TEAM"/>
    <x v="0"/>
    <s v="WARRIORS TEAM"/>
    <x v="1"/>
    <s v="ifjúsági"/>
  </r>
  <r>
    <x v="1"/>
    <n v="2"/>
    <n v="202"/>
    <x v="0"/>
    <s v="Kumite, -, 70-75 kg, Ifjúsági (15-16"/>
    <s v="Kumite, ifjúsági fiú 75 kg"/>
    <s v="3"/>
    <s v="3 fős körmérkőzés"/>
    <s v="3"/>
    <s v="Németh Adrián"/>
    <x v="34"/>
    <s v="HUN"/>
    <n v="0"/>
    <s v="nem volt nyertes mérkőzése"/>
    <s v="Várpalota"/>
    <d v="2026-02-28T00:00:00"/>
    <s v="Németh Adrián - Cs.S.E."/>
    <x v="0"/>
    <s v="Cs.S.E."/>
    <x v="1"/>
    <s v="ifjúsági"/>
  </r>
  <r>
    <x v="1"/>
    <n v="2"/>
    <n v="203"/>
    <x v="0"/>
    <s v="Kumite, -, 75-999 kg, Ifjúsági (15-16"/>
    <s v="Kumite, ifjúsági fiú +75 kg"/>
    <s v="5"/>
    <s v="5 fős körmérkőzés"/>
    <s v="1"/>
    <s v="Garamszegi Zente"/>
    <x v="29"/>
    <s v="HUN"/>
    <n v="8"/>
    <m/>
    <s v="Várpalota"/>
    <d v="2026-02-28T00:00:00"/>
    <s v="Garamszegi Zente - WARRIORS TEAM"/>
    <x v="0"/>
    <s v="WARRIORS TEAM"/>
    <x v="1"/>
    <s v="ifjúsági"/>
  </r>
  <r>
    <x v="1"/>
    <n v="2"/>
    <n v="204"/>
    <x v="0"/>
    <s v="Kumite, -, 75-999 kg, Ifjúsági (15-16"/>
    <s v="Kumite, ifjúsági fiú +75 kg"/>
    <s v="5"/>
    <s v="5 fős körmérkőzés"/>
    <s v="2"/>
    <s v="Szabó Lóránt"/>
    <x v="13"/>
    <s v="HUN"/>
    <n v="6"/>
    <m/>
    <s v="Várpalota"/>
    <d v="2026-02-28T00:00:00"/>
    <s v="Szabó Lóránt - Kamikaze S"/>
    <x v="0"/>
    <s v="Kamikaze S"/>
    <x v="1"/>
    <s v="ifjúsági"/>
  </r>
  <r>
    <x v="1"/>
    <n v="2"/>
    <n v="205"/>
    <x v="0"/>
    <s v="Kumite, -, 75-999 kg, Ifjúsági (15-16"/>
    <s v="Kumite, ifjúsági fiú +75 kg"/>
    <s v="5"/>
    <s v="5 fős körmérkőzés"/>
    <s v="3"/>
    <s v="Vörös Tibor"/>
    <x v="38"/>
    <s v="HUN"/>
    <n v="4"/>
    <m/>
    <s v="Várpalota"/>
    <d v="2026-02-28T00:00:00"/>
    <s v="Vörös Tibor - RDKKSE"/>
    <x v="0"/>
    <s v="RDKKSE"/>
    <x v="1"/>
    <s v="ifjúsági"/>
  </r>
  <r>
    <x v="1"/>
    <n v="2"/>
    <n v="205"/>
    <x v="0"/>
    <s v="Kumite, -, 75-999 kg, Ifjúsági (15-16"/>
    <s v="Kumite, ifjúsági fiú +75 kg"/>
    <s v="5"/>
    <s v="5 fős körmérkőzés"/>
    <n v="4"/>
    <s v="Kalamár László Thien"/>
    <x v="17"/>
    <s v="HUN"/>
    <n v="3"/>
    <m/>
    <s v="Várpalota"/>
    <d v="2026-02-28T00:00:00"/>
    <s v="Kalamár László Thien - BHMSE"/>
    <x v="0"/>
    <s v="BHMSE"/>
    <x v="1"/>
    <s v="ifjúsági"/>
  </r>
  <r>
    <x v="1"/>
    <n v="2"/>
    <n v="206"/>
    <x v="1"/>
    <s v="Kata, -, 0-160 kg, Ifjúsági (15-16"/>
    <s v="Kata, ifjúsági fiú"/>
    <s v="6"/>
    <s v="8 fős egyenes kiesés + 3. hely"/>
    <s v="1"/>
    <s v="Németh Adrián"/>
    <x v="34"/>
    <s v="HUN"/>
    <n v="5"/>
    <s v="6 fő esetén első 3 kap pontot"/>
    <s v="Várpalota"/>
    <d v="2026-02-28T00:00:00"/>
    <s v="Németh Adrián - Cs.S.E."/>
    <x v="0"/>
    <s v="Cs.S.E."/>
    <x v="1"/>
    <s v="ifjúsági"/>
  </r>
  <r>
    <x v="1"/>
    <n v="2"/>
    <n v="207"/>
    <x v="1"/>
    <s v="Kata, -, 0-160 kg, Ifjúsági (15-16"/>
    <s v="Kata, ifjúsági fiú"/>
    <s v="6"/>
    <s v="8 fős egyenes kiesés + 3. hely"/>
    <s v="2"/>
    <s v="Szalontai Levente"/>
    <x v="15"/>
    <s v="HUN"/>
    <n v="4"/>
    <s v="6 fő esetén első 3 kap pontot"/>
    <s v="Várpalota"/>
    <d v="2026-02-28T00:00:00"/>
    <s v="Szalontai Levente - KSE Tarján"/>
    <x v="0"/>
    <s v="KSE Tarján"/>
    <x v="1"/>
    <s v="ifjúsági"/>
  </r>
  <r>
    <x v="1"/>
    <n v="2"/>
    <n v="208"/>
    <x v="1"/>
    <s v="Kata, -, 0-160 kg, Ifjúsági (15-16"/>
    <s v="Kata, ifjúsági fiú"/>
    <s v="6"/>
    <s v="8 fős egyenes kiesés + 3. hely"/>
    <s v="3"/>
    <s v="Gyarmati Viktor"/>
    <x v="17"/>
    <s v="HUN"/>
    <n v="2"/>
    <s v="6 fő esetén első 3 kap pontot"/>
    <s v="Várpalota"/>
    <d v="2026-02-28T00:00:00"/>
    <s v="Gyarmati Viktor - BHMSE"/>
    <x v="0"/>
    <s v="BHMSE"/>
    <x v="1"/>
    <s v="ifjúsági"/>
  </r>
  <r>
    <x v="1"/>
    <n v="2"/>
    <n v="209"/>
    <x v="1"/>
    <s v="Kata, -, 0-160 kg, Ifjúsági (15-16"/>
    <s v="Kata, ifjúsági fiú"/>
    <s v="6"/>
    <s v="8 fős egyenes kiesés + 3. hely"/>
    <s v="4"/>
    <s v="Baranyai Áron"/>
    <x v="17"/>
    <s v="HUN"/>
    <n v="0"/>
    <s v="6 fő esetén első 3 kap pontot"/>
    <s v="Várpalota"/>
    <d v="2026-02-28T00:00:00"/>
    <s v="Baranyai Áron - BHMSE"/>
    <x v="0"/>
    <s v="BHMSE"/>
    <x v="1"/>
    <s v="ifjúsági"/>
  </r>
  <r>
    <x v="1"/>
    <n v="2"/>
    <n v="210"/>
    <x v="1"/>
    <s v="Kata, -, 0-160 kg, Ifjúsági (15-16"/>
    <s v="Kata, ifjúsági fiú"/>
    <s v="6"/>
    <s v="8 fős egyenes kiesés + 3. hely"/>
    <s v="5"/>
    <s v="Lukács Filip"/>
    <x v="17"/>
    <s v="HUN"/>
    <n v="0"/>
    <s v="6 fő esetén első 3 kap pontot"/>
    <s v="Várpalota"/>
    <d v="2026-02-28T00:00:00"/>
    <s v="Lukács Filip - BHMSE"/>
    <x v="0"/>
    <s v="BHMSE"/>
    <x v="1"/>
    <s v="ifjúsági"/>
  </r>
  <r>
    <x v="1"/>
    <n v="2"/>
    <n v="211"/>
    <x v="1"/>
    <s v="Kata, -, 0-160 kg, Ifjúsági (15-16"/>
    <s v="Kata, ifjúsági fiú"/>
    <s v="6"/>
    <s v="8 fős egyenes kiesés + 3. hely"/>
    <s v="7-8"/>
    <s v="Varga Bálint Norbert"/>
    <x v="32"/>
    <s v="HUN"/>
    <n v="0"/>
    <s v="6 fő esetén első 3 kap pontot"/>
    <s v="Várpalota"/>
    <d v="2026-02-28T00:00:00"/>
    <s v="Varga Bálint Norbert - ARSC"/>
    <x v="0"/>
    <s v="ARSC"/>
    <x v="1"/>
    <s v="ifjúsági"/>
  </r>
  <r>
    <x v="1"/>
    <n v="2"/>
    <n v="212"/>
    <x v="0"/>
    <s v="Kumite, -, 0-50 kg, Ifjúsági (15-16"/>
    <s v="Kumite, ifjúsági lány 50 kg"/>
    <s v="3"/>
    <s v="3 fős körmérkőzés"/>
    <s v="1"/>
    <s v="Böcskey Emese "/>
    <x v="39"/>
    <s v="HUN"/>
    <n v="4"/>
    <m/>
    <s v="Várpalota"/>
    <d v="2026-02-28T00:00:00"/>
    <s v="Böcskey Emese  - Nagy Sándor Dojo"/>
    <x v="1"/>
    <s v="Nagy Sándor Dojo"/>
    <x v="1"/>
    <s v="ifjúsági"/>
  </r>
  <r>
    <x v="1"/>
    <n v="2"/>
    <n v="213"/>
    <x v="0"/>
    <s v="Kumite, -, 0-50 kg, Ifjúsági (15-16"/>
    <s v="Kumite, ifjúsági lány 50 kg"/>
    <s v="3"/>
    <s v="3 fős körmérkőzés"/>
    <s v="2"/>
    <s v="Sülyi Luca"/>
    <x v="4"/>
    <s v="HUN"/>
    <n v="3"/>
    <m/>
    <s v="Várpalota"/>
    <d v="2026-02-28T00:00:00"/>
    <s v="Sülyi Luca - Főnix Dojo"/>
    <x v="0"/>
    <s v="Főnix Dojo"/>
    <x v="1"/>
    <s v="ifjúsági"/>
  </r>
  <r>
    <x v="1"/>
    <n v="2"/>
    <n v="214"/>
    <x v="0"/>
    <s v="Kumite, -, 0-50 kg, Ifjúsági (15-16"/>
    <s v="Kumite, ifjúsági lány 50 kg"/>
    <s v="3"/>
    <s v="3 fős körmérkőzés"/>
    <s v="3"/>
    <s v="Aranyosi Nikolett"/>
    <x v="15"/>
    <s v="HUN"/>
    <n v="0"/>
    <s v="nem volt nyertes mérkőzése"/>
    <s v="Várpalota"/>
    <d v="2026-02-28T00:00:00"/>
    <s v="Aranyosi Nikolett - KSE Tarján"/>
    <x v="0"/>
    <s v="KSE Tarján"/>
    <x v="1"/>
    <s v="ifjúsági"/>
  </r>
  <r>
    <x v="1"/>
    <n v="2"/>
    <n v="215"/>
    <x v="0"/>
    <s v="Kumite, -, 50-55 kg, Ifjúsági (15-16"/>
    <s v="Kumite, ifjúsági lány 55 kg"/>
    <s v="3"/>
    <s v="3 fős körmérkőzés"/>
    <s v="1"/>
    <s v="Serfőző Lia Zoé"/>
    <x v="6"/>
    <s v="HUN"/>
    <n v="4"/>
    <m/>
    <s v="Várpalota"/>
    <d v="2026-02-28T00:00:00"/>
    <s v="Serfőző Lia Zoé - Castrum"/>
    <x v="0"/>
    <s v="Castrum"/>
    <x v="1"/>
    <s v="ifjúsági"/>
  </r>
  <r>
    <x v="1"/>
    <n v="2"/>
    <n v="216"/>
    <x v="0"/>
    <s v="Kumite, -, 50-55 kg, Ifjúsági (15-16"/>
    <s v="Kumite, ifjúsági lány 55 kg"/>
    <s v="3"/>
    <s v="3 fős körmérkőzés"/>
    <s v="2"/>
    <s v="Bognár Judit"/>
    <x v="6"/>
    <s v="HUN"/>
    <n v="3"/>
    <m/>
    <s v="Várpalota"/>
    <d v="2026-02-28T00:00:00"/>
    <s v="Bognár Judit - Castrum"/>
    <x v="0"/>
    <s v="Castrum"/>
    <x v="1"/>
    <s v="ifjúsági"/>
  </r>
  <r>
    <x v="1"/>
    <n v="2"/>
    <n v="217"/>
    <x v="0"/>
    <s v="Kumite, -, 50-55 kg, Ifjúsági (15-16"/>
    <s v="Kumite, ifjúsági lány 55 kg"/>
    <s v="3"/>
    <s v="3 fős körmérkőzés"/>
    <s v="3"/>
    <s v="Ható Amanda"/>
    <x v="23"/>
    <s v="HUN"/>
    <n v="0"/>
    <s v="nem volt nyertes mérkőzése"/>
    <s v="Várpalota"/>
    <d v="2026-02-28T00:00:00"/>
    <s v="Ható Amanda - Rakurai"/>
    <x v="0"/>
    <s v="Rakurai"/>
    <x v="1"/>
    <s v="ifjúsági"/>
  </r>
  <r>
    <x v="1"/>
    <n v="2"/>
    <n v="218"/>
    <x v="0"/>
    <s v="Kumite, -, 55-60 kg, Ifjúsági (15-16"/>
    <s v="Kumite, ifjúsági lány 60 kg"/>
    <s v="6"/>
    <s v="6 fős vegyes"/>
    <s v="1"/>
    <s v="Lukács Éva"/>
    <x v="19"/>
    <s v="HUN"/>
    <n v="6"/>
    <m/>
    <s v="Várpalota"/>
    <d v="2026-02-28T00:00:00"/>
    <s v="Lukács Éva - VTSE"/>
    <x v="1"/>
    <s v="VTSE"/>
    <x v="1"/>
    <s v="ifjúsági"/>
  </r>
  <r>
    <x v="1"/>
    <n v="2"/>
    <n v="219"/>
    <x v="0"/>
    <s v="Kumite, -, 55-60 kg, Ifjúsági (15-16"/>
    <s v="Kumite, ifjúsági lány 60 kg"/>
    <s v="6"/>
    <s v="6 fős vegyes"/>
    <s v="2"/>
    <s v="Bognár Boglárka"/>
    <x v="23"/>
    <s v="HUN"/>
    <n v="5"/>
    <m/>
    <s v="Várpalota"/>
    <d v="2026-02-28T00:00:00"/>
    <s v="Bognár Boglárka - Rakurai"/>
    <x v="0"/>
    <s v="Rakurai"/>
    <x v="1"/>
    <s v="ifjúsági"/>
  </r>
  <r>
    <x v="1"/>
    <n v="2"/>
    <n v="220"/>
    <x v="0"/>
    <s v="Kumite, -, 55-60 kg, Ifjúsági (15-16"/>
    <s v="Kumite, ifjúsági lány 60 kg"/>
    <s v="6"/>
    <s v="6 fős vegyes"/>
    <s v="3"/>
    <s v="Demeter Zsófia"/>
    <x v="29"/>
    <s v="HUN"/>
    <n v="3"/>
    <m/>
    <s v="Várpalota"/>
    <d v="2026-02-28T00:00:00"/>
    <s v="Demeter Zsófia - WARRIORS TEAM"/>
    <x v="0"/>
    <s v="WARRIORS TEAM"/>
    <x v="1"/>
    <s v="ifjúsági"/>
  </r>
  <r>
    <x v="1"/>
    <n v="2"/>
    <n v="221"/>
    <x v="0"/>
    <s v="Kumite, -, 65-200 kg, Ifjúsági (15-16"/>
    <s v="Kumite, ifjúsági lány +65 kg"/>
    <s v="5"/>
    <s v="5 fős körmérkőzés"/>
    <s v="1"/>
    <s v="Csonka Kata"/>
    <x v="13"/>
    <s v="HUN"/>
    <n v="8"/>
    <m/>
    <s v="Várpalota"/>
    <d v="2026-02-28T00:00:00"/>
    <s v="Csonka Kata - Kamikaze S"/>
    <x v="0"/>
    <s v="Kamikaze S"/>
    <x v="1"/>
    <s v="ifjúsági"/>
  </r>
  <r>
    <x v="1"/>
    <n v="2"/>
    <n v="222"/>
    <x v="0"/>
    <s v="Kumite, -, 65-200 kg, Ifjúsági (15-16"/>
    <s v="Kumite, ifjúsági lány +65 kg"/>
    <s v="5"/>
    <s v="5 fős körmérkőzés"/>
    <s v="2"/>
    <s v="Szalai Kitti"/>
    <x v="20"/>
    <s v="HUN"/>
    <n v="6"/>
    <m/>
    <s v="Várpalota"/>
    <d v="2026-02-28T00:00:00"/>
    <s v="Szalai Kitti - Griff SE"/>
    <x v="0"/>
    <s v="Griff SE"/>
    <x v="1"/>
    <s v="ifjúsági"/>
  </r>
  <r>
    <x v="1"/>
    <n v="2"/>
    <n v="223"/>
    <x v="0"/>
    <s v="Kumite, -, 65-200 kg, Ifjúsági (15-16"/>
    <s v="Kumite, ifjúsági lány +65 kg"/>
    <s v="5"/>
    <s v="5 fős körmérkőzés"/>
    <s v="3"/>
    <s v="Komondi Veronika Nilla"/>
    <x v="40"/>
    <s v="HUN"/>
    <n v="4"/>
    <m/>
    <s v="Várpalota"/>
    <d v="2026-02-28T00:00:00"/>
    <s v="Komondi Veronika Nilla - Keszth.KKK"/>
    <x v="0"/>
    <s v="Keszth.KKK"/>
    <x v="1"/>
    <s v="ifjúsági"/>
  </r>
  <r>
    <x v="1"/>
    <n v="2"/>
    <n v="223"/>
    <x v="0"/>
    <s v="Kumite, -, 65-200 kg, Ifjúsági (15-16"/>
    <s v="Kumite, ifjúsági lány +65 kg"/>
    <s v="5"/>
    <s v="5 fős körmérkőzés"/>
    <n v="4"/>
    <s v="Bartha Zsuzsanna"/>
    <x v="17"/>
    <s v="HUN"/>
    <n v="3"/>
    <m/>
    <s v="Várpalota"/>
    <d v="2026-02-28T00:00:00"/>
    <s v="Bartha Zsuzsanna - BHMSE"/>
    <x v="0"/>
    <s v="BHMSE"/>
    <x v="1"/>
    <s v="ifjúsági"/>
  </r>
  <r>
    <x v="1"/>
    <n v="2"/>
    <n v="224"/>
    <x v="1"/>
    <s v="Kata, -, 0-160 kg, Ifjúsági (15-16"/>
    <s v="Kata, ifjúsági lány"/>
    <s v="9"/>
    <s v="16 fős egyenes kiesés + 3. hely"/>
    <s v="1"/>
    <s v="Aranyosi Nikolett"/>
    <x v="15"/>
    <s v="HUN"/>
    <n v="6"/>
    <s v="9 fő estén 1-5 helyezett kap pontot"/>
    <s v="Várpalota"/>
    <d v="2026-02-28T00:00:00"/>
    <s v="Aranyosi Nikolett - KSE Tarján"/>
    <x v="0"/>
    <s v="KSE Tarján"/>
    <x v="1"/>
    <s v="ifjúsági"/>
  </r>
  <r>
    <x v="1"/>
    <n v="2"/>
    <n v="225"/>
    <x v="1"/>
    <s v="Kata, -, 0-160 kg, Ifjúsági (15-16"/>
    <s v="Kata, ifjúsági lány"/>
    <s v="9"/>
    <s v="16 fős egyenes kiesés + 3. hely"/>
    <s v="2"/>
    <s v="Nagy Hanna Míra"/>
    <x v="16"/>
    <s v="HUN"/>
    <n v="5"/>
    <s v="9 fő estén 1-5 helyezett kap pontot"/>
    <s v="Várpalota"/>
    <d v="2026-02-28T00:00:00"/>
    <s v="Nagy Hanna Míra - Genbu dojo"/>
    <x v="1"/>
    <s v="Genbu dojo"/>
    <x v="1"/>
    <s v="ifjúsági"/>
  </r>
  <r>
    <x v="1"/>
    <n v="2"/>
    <n v="226"/>
    <x v="1"/>
    <s v="Kata, -, 0-160 kg, Ifjúsági (15-16"/>
    <s v="Kata, ifjúsági lány"/>
    <s v="9"/>
    <s v="16 fős egyenes kiesés + 3. hely"/>
    <s v="3"/>
    <s v="Czakó Natália"/>
    <x v="24"/>
    <s v="HUN"/>
    <n v="3"/>
    <s v="9 fő estén 1-5 helyezett kap pontot"/>
    <s v="Várpalota"/>
    <d v="2026-02-28T00:00:00"/>
    <s v="Czakó Natália - Nagykátai Bushido SE"/>
    <x v="0"/>
    <s v="Nagykátai Bushido SE"/>
    <x v="1"/>
    <s v="ifjúsági"/>
  </r>
  <r>
    <x v="1"/>
    <n v="2"/>
    <n v="227"/>
    <x v="1"/>
    <s v="Kata, -, 0-160 kg, Ifjúsági (15-16"/>
    <s v="Kata, ifjúsági lány"/>
    <s v="9"/>
    <s v="16 fős egyenes kiesés + 3. hely"/>
    <s v="4"/>
    <s v="Timár Alíz"/>
    <x v="17"/>
    <s v="HUN"/>
    <n v="2"/>
    <s v="9 fő estén 1-5 helyezett kap pontot"/>
    <s v="Várpalota"/>
    <d v="2026-02-28T00:00:00"/>
    <s v="Timár Alíz - BHMSE"/>
    <x v="0"/>
    <s v="BHMSE"/>
    <x v="1"/>
    <s v="ifjúsági"/>
  </r>
  <r>
    <x v="1"/>
    <n v="2"/>
    <n v="228"/>
    <x v="1"/>
    <s v="Kata, -, 0-160 kg, Ifjúsági (15-16"/>
    <s v="Kata, ifjúsági lány"/>
    <s v="9"/>
    <s v="16 fős egyenes kiesés + 3. hely"/>
    <s v="5"/>
    <s v="Böcskey Emese "/>
    <x v="39"/>
    <s v="HUN"/>
    <n v="1"/>
    <s v="9 fő estén 1-5 helyezett kap pontot"/>
    <s v="Várpalota"/>
    <d v="2026-02-28T00:00:00"/>
    <s v="Böcskey Emese  - Nagy Sándor Dojo"/>
    <x v="1"/>
    <s v="Nagy Sándor Dojo"/>
    <x v="1"/>
    <s v="ifjúsági"/>
  </r>
  <r>
    <x v="1"/>
    <n v="2"/>
    <n v="229"/>
    <x v="1"/>
    <s v="Kata, -, 0-160 kg, Ifjúsági (15-16"/>
    <s v="Kata, ifjúsági lány"/>
    <s v="9"/>
    <s v="16 fős egyenes kiesés + 3. hely"/>
    <s v="6"/>
    <s v="Varga Réka Orsolya"/>
    <x v="32"/>
    <s v="HUN"/>
    <n v="0"/>
    <s v="9 fő estén 1-5 helyezett kap pontot"/>
    <s v="Várpalota"/>
    <d v="2026-02-28T00:00:00"/>
    <s v="Varga Réka Orsolya - ARSC"/>
    <x v="0"/>
    <s v="ARSC"/>
    <x v="1"/>
    <s v="ifjúsági"/>
  </r>
  <r>
    <x v="1"/>
    <n v="2"/>
    <n v="230"/>
    <x v="1"/>
    <s v="Kata, -, 0-160 kg, Ifjúsági (15-16"/>
    <s v="Kata, ifjúsági lány"/>
    <s v="9"/>
    <s v="16 fős egyenes kiesés + 3. hely"/>
    <s v="7-8"/>
    <s v="Princz Anna"/>
    <x v="32"/>
    <s v="HUN"/>
    <n v="0"/>
    <s v="9 fő estén 1-5 helyezett kap pontot"/>
    <s v="Várpalota"/>
    <d v="2026-02-28T00:00:00"/>
    <s v="Princz Anna - ARSC"/>
    <x v="0"/>
    <s v="ARSC"/>
    <x v="1"/>
    <s v="ifjúsági"/>
  </r>
  <r>
    <x v="1"/>
    <n v="2"/>
    <n v="231"/>
    <x v="1"/>
    <s v="Kata, -, 0-160 kg, Ifjúsági (15-16"/>
    <s v="Kata, ifjúsági lány"/>
    <s v="9"/>
    <s v="16 fős egyenes kiesés + 3. hely"/>
    <s v="7-8"/>
    <s v="Sülyi Luca"/>
    <x v="4"/>
    <s v="HUN"/>
    <n v="0"/>
    <s v="9 fő estén 1-5 helyezett kap pontot"/>
    <s v="Várpalota"/>
    <d v="2026-02-28T00:00:00"/>
    <s v="Sülyi Luca - Főnix Dojo"/>
    <x v="0"/>
    <s v="Főnix Dojo"/>
    <x v="1"/>
    <s v="ifjúsági"/>
  </r>
  <r>
    <x v="1"/>
    <n v="2"/>
    <n v="232"/>
    <x v="1"/>
    <s v="Kata, -, 0-160 kg, Ifjúsági (15-16"/>
    <s v="Kata, ifjúsági lány"/>
    <s v="9"/>
    <s v="16 fős egyenes kiesés + 3. hely"/>
    <s v="11-16"/>
    <s v="Horváth Hanna Barbara"/>
    <x v="17"/>
    <s v="HUN"/>
    <n v="0"/>
    <s v="9 fő estén 1-5 helyezett kap pontot"/>
    <s v="Várpalota"/>
    <d v="2026-02-28T00:00:00"/>
    <s v="Horváth Hanna Barbara - BHMSE"/>
    <x v="0"/>
    <s v="BHMSE"/>
    <x v="1"/>
    <s v="ifjúsági"/>
  </r>
  <r>
    <x v="1"/>
    <n v="2"/>
    <n v="233"/>
    <x v="0"/>
    <s v="Kumite, -, 60-65 kg, Junior DOL (17-19"/>
    <s v="Kumite, junior fiú 65 kg"/>
    <s v="5"/>
    <s v="5 fős körmérkőzés"/>
    <s v="1"/>
    <s v="Danka Hunor"/>
    <x v="24"/>
    <s v="HUN"/>
    <n v="8"/>
    <m/>
    <s v="Várpalota"/>
    <d v="2026-02-28T00:00:00"/>
    <s v="Danka Hunor - Nagykátai Bushido SE"/>
    <x v="0"/>
    <s v="Nagykátai Bushido SE"/>
    <x v="1"/>
    <s v="junior"/>
  </r>
  <r>
    <x v="1"/>
    <n v="2"/>
    <n v="234"/>
    <x v="0"/>
    <s v="Kumite, -, 60-65 kg, Junior DOL (17-19"/>
    <s v="Kumite, junior fiú 65 kg"/>
    <s v="5"/>
    <s v="5 fős körmérkőzés"/>
    <s v="2"/>
    <s v="Balogh András Barnabás"/>
    <x v="1"/>
    <s v="HUN"/>
    <n v="6"/>
    <m/>
    <s v="Várpalota"/>
    <d v="2026-02-28T00:00:00"/>
    <s v="Balogh András Barnabás - Ippon KKSE"/>
    <x v="0"/>
    <s v="Ippon KKSE"/>
    <x v="1"/>
    <s v="junior"/>
  </r>
  <r>
    <x v="1"/>
    <n v="2"/>
    <n v="235"/>
    <x v="0"/>
    <s v="Kumite, -, 60-65 kg, Junior DOL (17-19"/>
    <s v="Kumite, junior fiú 65 kg"/>
    <s v="5"/>
    <s v="5 fős körmérkőzés"/>
    <s v="3"/>
    <s v="Kovácsay Gergely"/>
    <x v="1"/>
    <s v="HUN"/>
    <n v="4"/>
    <m/>
    <s v="Várpalota"/>
    <d v="2026-02-28T00:00:00"/>
    <s v="Kovácsay Gergely - Ippon KKSE"/>
    <x v="0"/>
    <s v="Ippon KKSE"/>
    <x v="1"/>
    <s v="junior"/>
  </r>
  <r>
    <x v="1"/>
    <n v="2"/>
    <n v="235"/>
    <x v="0"/>
    <s v="Kumite, -, 60-65 kg, Junior DOL (17-19"/>
    <s v="Kumite, junior fiú 65 kg"/>
    <s v="5"/>
    <s v="5 fős körmérkőzés"/>
    <n v="4"/>
    <s v="Varga Tamás"/>
    <x v="41"/>
    <s v="HUN"/>
    <n v="3"/>
    <m/>
    <s v="Várpalota"/>
    <d v="2026-02-28T00:00:00"/>
    <s v="Varga Tamás - Goukai KSE"/>
    <x v="0"/>
    <s v="Goukai KSE"/>
    <x v="1"/>
    <s v="junior"/>
  </r>
  <r>
    <x v="1"/>
    <n v="2"/>
    <n v="236"/>
    <x v="0"/>
    <s v="Kumite, -, 65-70 kg, Junior DOL (17-19"/>
    <s v="Kumite, junior fiú 70 kg"/>
    <s v="2"/>
    <s v="2 fős egyenes kiesés"/>
    <s v="1"/>
    <s v="Szente Szabolcs"/>
    <x v="19"/>
    <s v="HUN"/>
    <n v="3"/>
    <m/>
    <s v="Várpalota"/>
    <d v="2026-02-28T00:00:00"/>
    <s v="Szente Szabolcs - VTSE"/>
    <x v="1"/>
    <s v="VTSE"/>
    <x v="1"/>
    <s v="junior"/>
  </r>
  <r>
    <x v="1"/>
    <n v="2"/>
    <n v="237"/>
    <x v="0"/>
    <s v="Kumite, -, 65-70 kg, Junior DOL (17-19"/>
    <s v="Kumite, junior fiú 70 kg"/>
    <s v="2"/>
    <s v="2 fős egyenes kiesés"/>
    <s v="2"/>
    <s v="Nagy Benedek"/>
    <x v="42"/>
    <s v="HUN"/>
    <n v="0"/>
    <m/>
    <s v="Várpalota"/>
    <d v="2026-02-28T00:00:00"/>
    <s v="Nagy Benedek - Tora HSE"/>
    <x v="1"/>
    <s v="Tora HSE"/>
    <x v="1"/>
    <s v="junior"/>
  </r>
  <r>
    <x v="1"/>
    <n v="2"/>
    <n v="240"/>
    <x v="0"/>
    <s v="Kumite, -, 80-200 kg, Junior DOL (17-19"/>
    <s v="Kumite, junior fiú +80 kg"/>
    <s v="4"/>
    <s v="4 fős körmérkőzés"/>
    <s v="1"/>
    <s v="Tengelics Márk"/>
    <x v="43"/>
    <s v="HUN"/>
    <n v="6"/>
    <m/>
    <s v="Várpalota"/>
    <d v="2026-02-28T00:00:00"/>
    <s v="Tengelics Márk - IKIGAI DOJO BÖRCS"/>
    <x v="1"/>
    <s v="IKIGAI DOJO BÖRCS"/>
    <x v="1"/>
    <s v="junior"/>
  </r>
  <r>
    <x v="1"/>
    <n v="2"/>
    <n v="241"/>
    <x v="0"/>
    <s v="Kumite, -, 80-200 kg, Junior DOL (17-19"/>
    <s v="Kumite, junior fiú +80 kg"/>
    <s v="4"/>
    <s v="4 fős körmérkőzés"/>
    <s v="2"/>
    <s v="Kozó Flórián"/>
    <x v="30"/>
    <s v="HUN"/>
    <n v="5"/>
    <m/>
    <s v="Várpalota"/>
    <d v="2026-02-28T00:00:00"/>
    <s v="Kozó Flórián - Shinkyo SE"/>
    <x v="0"/>
    <s v="Shinkyo SE"/>
    <x v="1"/>
    <s v="junior"/>
  </r>
  <r>
    <x v="1"/>
    <n v="2"/>
    <n v="242"/>
    <x v="1"/>
    <s v="Kata, -, 0-170 kg, Junior DOL (17-19"/>
    <s v="Kata, junior fiú"/>
    <s v="3"/>
    <s v="3 fős körmérkőzés"/>
    <s v="1"/>
    <s v="Bűdy Sándor"/>
    <x v="17"/>
    <s v="HUN"/>
    <n v="3"/>
    <s v="3 fő estén 1-2 helyezett kap pontot"/>
    <s v="Várpalota"/>
    <d v="2026-02-28T00:00:00"/>
    <s v="Bűdy Sándor - BHMSE"/>
    <x v="0"/>
    <s v="BHMSE"/>
    <x v="1"/>
    <s v="junior"/>
  </r>
  <r>
    <x v="1"/>
    <n v="2"/>
    <n v="243"/>
    <x v="1"/>
    <s v="Kata, -, 0-170 kg, Junior DOL (17-19"/>
    <s v="Kata, junior fiú"/>
    <s v="3"/>
    <s v="3 fős körmérkőzés"/>
    <s v="2"/>
    <s v="Tengelics Márk"/>
    <x v="43"/>
    <s v="HUN"/>
    <n v="2"/>
    <s v="3 fő estén 1-2 helyezett kap pontot"/>
    <s v="Várpalota"/>
    <d v="2026-02-28T00:00:00"/>
    <s v="Tengelics Márk - IKIGAI DOJO BÖRCS"/>
    <x v="1"/>
    <s v="IKIGAI DOJO BÖRCS"/>
    <x v="1"/>
    <s v="junior"/>
  </r>
  <r>
    <x v="1"/>
    <n v="2"/>
    <n v="262"/>
    <x v="1"/>
    <s v="Kata, -, 0-170 kg, Junior DOL (17-19"/>
    <s v="Kata, junior fiú"/>
    <s v="3"/>
    <s v="3 fős körmérkőzés"/>
    <s v="3"/>
    <s v="Magyar Botond"/>
    <x v="39"/>
    <s v="HUN"/>
    <n v="0"/>
    <s v="3 fő estén 1-2 helyezett kap pontot"/>
    <s v="Várpalota"/>
    <d v="2026-02-28T00:00:00"/>
    <s v="Magyar Botond - Nagy Sándor Dojo"/>
    <x v="1"/>
    <s v="Nagy Sándor Dojo"/>
    <x v="1"/>
    <s v="junior"/>
  </r>
  <r>
    <x v="1"/>
    <n v="2"/>
    <n v="244"/>
    <x v="0"/>
    <s v="Kumite, -, 0-50 kg, Junior DOL (17-19"/>
    <s v="Kumite, junior lány 50 kg"/>
    <s v="3"/>
    <s v="3 fős körmérkőzés"/>
    <s v="1"/>
    <s v="Németh Panka"/>
    <x v="34"/>
    <s v="HUN"/>
    <n v="4"/>
    <m/>
    <s v="Várpalota"/>
    <d v="2026-02-28T00:00:00"/>
    <s v="Németh Panka - Cs.S.E."/>
    <x v="0"/>
    <s v="Cs.S.E."/>
    <x v="1"/>
    <s v="junior"/>
  </r>
  <r>
    <x v="1"/>
    <n v="2"/>
    <n v="245"/>
    <x v="0"/>
    <s v="Kumite, -, 0-50 kg, Junior DOL (17-19"/>
    <s v="Kumite, junior lány 50 kg"/>
    <s v="3"/>
    <s v="3 fős körmérkőzés"/>
    <s v="2"/>
    <s v="Bőzsöny Dorka"/>
    <x v="17"/>
    <s v="HUN"/>
    <n v="3"/>
    <m/>
    <s v="Várpalota"/>
    <d v="2026-02-28T00:00:00"/>
    <s v="Bőzsöny Dorka - BHMSE"/>
    <x v="0"/>
    <s v="BHMSE"/>
    <x v="1"/>
    <s v="junior"/>
  </r>
  <r>
    <x v="1"/>
    <n v="2"/>
    <n v="246"/>
    <x v="0"/>
    <s v="Kumite, -, 0-50 kg, Junior DOL (17-19"/>
    <s v="Kumite, junior lány 50 kg"/>
    <s v="3"/>
    <s v="3 fős körmérkőzés"/>
    <s v="3"/>
    <s v="Egerszegi Rebeka"/>
    <x v="4"/>
    <s v="HUN"/>
    <n v="0"/>
    <s v="nem volt nyertes mérkőzése"/>
    <s v="Várpalota"/>
    <d v="2026-02-28T00:00:00"/>
    <s v="Egerszegi Rebeka - Főnix Dojo"/>
    <x v="0"/>
    <s v="Főnix Dojo"/>
    <x v="1"/>
    <s v="junior"/>
  </r>
  <r>
    <x v="1"/>
    <n v="2"/>
    <n v="247"/>
    <x v="0"/>
    <s v="Kumite, -, 50-55 kg, Junior DOL (17-19"/>
    <s v="Kumite, junior lány 55 kg"/>
    <s v="2"/>
    <s v="2 fős egyenes kiesés"/>
    <s v="1"/>
    <s v="Németh Virág"/>
    <x v="6"/>
    <s v="HUN"/>
    <n v="3"/>
    <m/>
    <s v="Várpalota"/>
    <d v="2026-02-28T00:00:00"/>
    <s v="Németh Virág - Castrum"/>
    <x v="0"/>
    <s v="Castrum"/>
    <x v="1"/>
    <s v="junior"/>
  </r>
  <r>
    <x v="1"/>
    <n v="2"/>
    <n v="248"/>
    <x v="0"/>
    <s v="Kumite, -, 50-55 kg, Junior DOL (17-19"/>
    <s v="Kumite, junior lány 55 kg"/>
    <s v="2"/>
    <s v="2 fős egyenes kiesés"/>
    <s v="2"/>
    <s v="Finta Zelma"/>
    <x v="23"/>
    <s v="HUN"/>
    <n v="0"/>
    <m/>
    <s v="Várpalota"/>
    <d v="2026-02-28T00:00:00"/>
    <s v="Finta Zelma - Rakurai"/>
    <x v="0"/>
    <s v="Rakurai"/>
    <x v="1"/>
    <s v="junior"/>
  </r>
  <r>
    <x v="1"/>
    <n v="2"/>
    <n v="261"/>
    <x v="0"/>
    <s v="Kumite, -, 80-200 kg, Junior DOL (17-19"/>
    <s v="Kumite, junior fiú +80 kg"/>
    <s v="4"/>
    <s v="4 fős körmérkőzés"/>
    <s v="3"/>
    <s v="Spanjevic Dániel"/>
    <x v="17"/>
    <s v="HUN"/>
    <n v="3"/>
    <m/>
    <s v="Várpalota"/>
    <d v="2026-02-28T00:00:00"/>
    <s v="Spanjevic Dániel - BHMSE"/>
    <x v="0"/>
    <s v="BHMSE"/>
    <x v="1"/>
    <s v="junior"/>
  </r>
  <r>
    <x v="1"/>
    <n v="2"/>
    <n v="263"/>
    <x v="0"/>
    <s v="Kumite, -, 55-60 kg, Junior DOL (17-19"/>
    <s v="Kumite, junior lány 60 kg"/>
    <s v="4"/>
    <s v="4 fős körmérkőzés"/>
    <s v="1"/>
    <s v="Kis Mónika"/>
    <x v="4"/>
    <s v="HUN"/>
    <n v="6"/>
    <m/>
    <s v="Várpalota"/>
    <d v="2026-02-28T00:00:00"/>
    <s v="Kis Mónika - Főnix Dojo"/>
    <x v="0"/>
    <s v="Főnix Dojo"/>
    <x v="1"/>
    <s v="junior"/>
  </r>
  <r>
    <x v="1"/>
    <n v="2"/>
    <n v="249"/>
    <x v="0"/>
    <s v="Kumite, -, 55-60 kg, Junior DOL (17-19"/>
    <s v="Kumite, junior lány 60 kg"/>
    <s v="4"/>
    <s v="4 fős körmérkőzés"/>
    <s v="2"/>
    <s v="Reichert Jázmin "/>
    <x v="19"/>
    <s v="HUN"/>
    <n v="5"/>
    <m/>
    <s v="Várpalota"/>
    <d v="2026-02-28T00:00:00"/>
    <s v="Reichert Jázmin  - VTSE"/>
    <x v="1"/>
    <s v="VTSE"/>
    <x v="1"/>
    <s v="junior"/>
  </r>
  <r>
    <x v="1"/>
    <n v="2"/>
    <n v="250"/>
    <x v="0"/>
    <s v="Kumite, -, 55-60 kg, Junior DOL (17-19"/>
    <s v="Kumite, junior lány 60 kg"/>
    <s v="4"/>
    <s v="4 fős körmérkőzés"/>
    <s v="3"/>
    <s v="Bognár Luca"/>
    <x v="23"/>
    <s v="HUN"/>
    <n v="3"/>
    <m/>
    <s v="Várpalota"/>
    <d v="2026-02-28T00:00:00"/>
    <s v="Bognár Luca - Rakurai"/>
    <x v="0"/>
    <s v="Rakurai"/>
    <x v="1"/>
    <s v="junior"/>
  </r>
  <r>
    <x v="1"/>
    <n v="2"/>
    <n v="251"/>
    <x v="0"/>
    <s v="Kumite, -, 60-65 kg, Junior DOL (17-19"/>
    <s v="Kumite, junior lány 65 kg"/>
    <s v="3"/>
    <s v="3 fős körmérkőzés"/>
    <s v="1"/>
    <s v="Lukács Eszter"/>
    <x v="19"/>
    <s v="HUN"/>
    <n v="4"/>
    <m/>
    <s v="Várpalota"/>
    <d v="2026-02-28T00:00:00"/>
    <s v="Lukács Eszter - VTSE"/>
    <x v="1"/>
    <s v="VTSE"/>
    <x v="1"/>
    <s v="junior"/>
  </r>
  <r>
    <x v="1"/>
    <n v="2"/>
    <n v="252"/>
    <x v="0"/>
    <s v="Kumite, -, 60-65 kg, Junior DOL (17-19"/>
    <s v="Kumite, junior lány 65 kg"/>
    <s v="3"/>
    <s v="3 fős körmérkőzés"/>
    <s v="2"/>
    <s v="Spanjevic Emma"/>
    <x v="17"/>
    <s v="HUN"/>
    <n v="3"/>
    <m/>
    <s v="Várpalota"/>
    <d v="2026-02-28T00:00:00"/>
    <s v="Spanjevic Emma - BHMSE"/>
    <x v="0"/>
    <s v="BHMSE"/>
    <x v="1"/>
    <s v="junior"/>
  </r>
  <r>
    <x v="1"/>
    <n v="2"/>
    <n v="253"/>
    <x v="0"/>
    <s v="Kumite, -, 60-65 kg, Junior DOL (17-19"/>
    <s v="Kumite, junior lány 65 kg"/>
    <s v="3"/>
    <s v="3 fős körmérkőzés"/>
    <s v="3"/>
    <s v="Fadgyas Eszter"/>
    <x v="41"/>
    <s v="HUN"/>
    <n v="0"/>
    <s v="nem volt nyertes mérkőzése"/>
    <s v="Várpalota"/>
    <d v="2026-02-28T00:00:00"/>
    <s v="Fadgyas Eszter - Goukai KSE"/>
    <x v="0"/>
    <s v="Goukai KSE"/>
    <x v="1"/>
    <s v="junior"/>
  </r>
  <r>
    <x v="1"/>
    <n v="2"/>
    <n v="264"/>
    <x v="1"/>
    <s v="Kata, -, 0-170 kg, Junior DOL (17-19"/>
    <s v="Kata, junior lány"/>
    <s v="10"/>
    <s v="16 fős egyenes kiesés + 3. hely"/>
    <s v="1"/>
    <s v="Imre Zoé Julianna"/>
    <x v="15"/>
    <s v="HUN"/>
    <n v="6"/>
    <s v="10 fő estén 1-6 helyezett kap pontot"/>
    <s v="Várpalota"/>
    <d v="2026-02-28T00:00:00"/>
    <s v="Imre Zoé Julianna - KSE Tarján"/>
    <x v="0"/>
    <s v="KSE Tarján"/>
    <x v="1"/>
    <s v="junior"/>
  </r>
  <r>
    <x v="1"/>
    <n v="2"/>
    <n v="254"/>
    <x v="1"/>
    <s v="Kata, -, 0-170 kg, Junior DOL (17-19"/>
    <s v="Kata, junior lány"/>
    <s v="10"/>
    <s v="16 fős egyenes kiesés + 3. hely"/>
    <s v="2"/>
    <s v="Bognár Luca"/>
    <x v="23"/>
    <s v="HUN"/>
    <n v="5"/>
    <s v="10 fő estén 1-6 helyezett kap pontot"/>
    <s v="Várpalota"/>
    <d v="2026-02-28T00:00:00"/>
    <s v="Bognár Luca - Rakurai"/>
    <x v="0"/>
    <s v="Rakurai"/>
    <x v="1"/>
    <s v="junior"/>
  </r>
  <r>
    <x v="1"/>
    <n v="2"/>
    <n v="265"/>
    <x v="1"/>
    <s v="Kata, -, 0-170 kg, Junior DOL (17-19"/>
    <s v="Kata, junior lány"/>
    <s v="10"/>
    <s v="16 fős egyenes kiesés + 3. hely"/>
    <s v="3"/>
    <s v="Kis Mónika"/>
    <x v="4"/>
    <s v="HUN"/>
    <n v="3"/>
    <s v="10 fő estén 1-6 helyezett kap pontot"/>
    <s v="Várpalota"/>
    <d v="2026-02-28T00:00:00"/>
    <s v="Kis Mónika - Főnix Dojo"/>
    <x v="0"/>
    <s v="Főnix Dojo"/>
    <x v="1"/>
    <s v="junior"/>
  </r>
  <r>
    <x v="1"/>
    <n v="2"/>
    <n v="255"/>
    <x v="1"/>
    <s v="Kata, -, 0-170 kg, Junior DOL (17-19"/>
    <s v="Kata, junior lány"/>
    <s v="10"/>
    <s v="16 fős egyenes kiesés + 3. hely"/>
    <s v="4"/>
    <s v="Németh Panka"/>
    <x v="34"/>
    <s v="HUN"/>
    <n v="2"/>
    <s v="10 fő estén 1-6 helyezett kap pontot"/>
    <s v="Várpalota"/>
    <d v="2026-02-28T00:00:00"/>
    <s v="Németh Panka - Cs.S.E."/>
    <x v="0"/>
    <s v="Cs.S.E."/>
    <x v="1"/>
    <s v="junior"/>
  </r>
  <r>
    <x v="1"/>
    <n v="2"/>
    <n v="256"/>
    <x v="1"/>
    <s v="Kata, -, 0-170 kg, Junior DOL (17-19"/>
    <s v="Kata, junior lány"/>
    <s v="10"/>
    <s v="16 fős egyenes kiesés + 3. hely"/>
    <s v="5"/>
    <s v="Viza Dorottya Anna"/>
    <x v="32"/>
    <s v="HUN"/>
    <n v="1"/>
    <s v="10 fő estén 1-6 helyezett kap pontot"/>
    <s v="Várpalota"/>
    <d v="2026-02-28T00:00:00"/>
    <s v="Viza Dorottya Anna - ARSC"/>
    <x v="0"/>
    <s v="ARSC"/>
    <x v="1"/>
    <s v="junior"/>
  </r>
  <r>
    <x v="1"/>
    <n v="2"/>
    <n v="266"/>
    <x v="1"/>
    <s v="Kata, -, 0-170 kg, Junior DOL (17-19"/>
    <s v="Kata, junior lány"/>
    <s v="10"/>
    <s v="16 fős egyenes kiesés + 3. hely"/>
    <s v="6"/>
    <s v="Farkas Regina"/>
    <x v="30"/>
    <s v="HUN"/>
    <n v="1"/>
    <s v="10 fő estén 1-6 helyezett kap pontot"/>
    <s v="Várpalota"/>
    <d v="2026-02-28T00:00:00"/>
    <s v="Farkas Regina - Shinkyo SE"/>
    <x v="0"/>
    <s v="Shinkyo SE"/>
    <x v="1"/>
    <s v="junior"/>
  </r>
  <r>
    <x v="1"/>
    <n v="2"/>
    <n v="257"/>
    <x v="1"/>
    <s v="Kata, -, 0-170 kg, Junior DOL (17-19"/>
    <s v="Kata, junior lány"/>
    <s v="10"/>
    <s v="16 fős egyenes kiesés + 3. hely"/>
    <s v="7-8"/>
    <s v="Kisdeák Emma"/>
    <x v="22"/>
    <s v="HUN"/>
    <n v="0"/>
    <s v="10 fő estén 1-6 helyezett kap pontot"/>
    <s v="Várpalota"/>
    <d v="2026-02-28T00:00:00"/>
    <s v="Kisdeák Emma - Siófok KSE"/>
    <x v="0"/>
    <s v="Siófok KSE"/>
    <x v="1"/>
    <s v="junior"/>
  </r>
  <r>
    <x v="1"/>
    <n v="2"/>
    <n v="267"/>
    <x v="1"/>
    <s v="Kata, -, 0-170 kg, Junior DOL (17-19"/>
    <s v="Kata, junior lány"/>
    <s v="10"/>
    <s v="16 fős egyenes kiesés + 3. hely"/>
    <s v="7-8"/>
    <s v="Nádi Viktória"/>
    <x v="32"/>
    <s v="HUN"/>
    <n v="0"/>
    <s v="10 fő estén 1-6 helyezett kap pontot"/>
    <s v="Várpalota"/>
    <d v="2026-02-28T00:00:00"/>
    <s v="Nádi Viktória - ARSC"/>
    <x v="0"/>
    <s v="ARSC"/>
    <x v="1"/>
    <s v="junior"/>
  </r>
  <r>
    <x v="1"/>
    <n v="2"/>
    <n v="258"/>
    <x v="1"/>
    <s v="Kata, -, 0-170 kg, Junior DOL (17-19"/>
    <s v="Kata, junior lány"/>
    <s v="10"/>
    <s v="16 fős egyenes kiesés + 3. hely"/>
    <s v="11-16"/>
    <s v="Soós Panka"/>
    <x v="42"/>
    <s v="HUN"/>
    <n v="0"/>
    <s v="10 fő estén 1-6 helyezett kap pontot"/>
    <s v="Várpalota"/>
    <d v="2026-02-28T00:00:00"/>
    <s v="Soós Panka - Tora HSE"/>
    <x v="1"/>
    <s v="Tora HSE"/>
    <x v="1"/>
    <s v="junior"/>
  </r>
  <r>
    <x v="1"/>
    <n v="2"/>
    <n v="259"/>
    <x v="1"/>
    <s v="Kata, -, 0-170 kg, Junior DOL (17-19"/>
    <s v="Kata, junior lány"/>
    <s v="10"/>
    <s v="16 fős egyenes kiesés + 3. hely"/>
    <s v="11-16"/>
    <s v="Molnár Emese"/>
    <x v="44"/>
    <s v="HUN"/>
    <n v="0"/>
    <s v="10 fő estén 1-6 helyezett kap pontot"/>
    <s v="Várpalota"/>
    <d v="2026-02-28T00:00:00"/>
    <s v="Molnár Emese - Kihaku SE"/>
    <x v="0"/>
    <s v="Kihaku SE"/>
    <x v="1"/>
    <s v="junior"/>
  </r>
  <r>
    <x v="2"/>
    <n v="2"/>
    <n v="269"/>
    <x v="0"/>
    <s v="Kumite, -, 0-30 kg, Gyerek 1. (9-10"/>
    <s v="Kumite, gyerek 1. fiú 30 kg"/>
    <s v="6"/>
    <s v="6 fős vegyes"/>
    <s v="1"/>
    <s v="Szlivka Botond Csaba"/>
    <x v="3"/>
    <s v="HUN"/>
    <n v="6"/>
    <m/>
    <s v="Gyöngyös"/>
    <d v="2026-03-07T00:00:00"/>
    <s v="Szlivka Botond Csaba - Shogun"/>
    <x v="0"/>
    <s v="Shogun"/>
    <x v="1"/>
    <s v="gyerek"/>
  </r>
  <r>
    <x v="2"/>
    <n v="2"/>
    <n v="270"/>
    <x v="0"/>
    <s v="Kumite, -, 0-30 kg, Gyerek 1. (9-10"/>
    <s v="Kumite, gyerek 1. fiú 30 kg"/>
    <s v="6"/>
    <s v="6 fős vegyes"/>
    <s v="2"/>
    <s v="Aldubai Mohamed Hamzah"/>
    <x v="0"/>
    <s v="HUN"/>
    <n v="5"/>
    <m/>
    <s v="Gyöngyös"/>
    <d v="2026-03-07T00:00:00"/>
    <s v="Aldubai Mohamed Hamzah - Victory"/>
    <x v="0"/>
    <s v="Victory"/>
    <x v="1"/>
    <s v="gyerek"/>
  </r>
  <r>
    <x v="2"/>
    <n v="2"/>
    <n v="271"/>
    <x v="0"/>
    <s v="Kumite, -, 0-30 kg, Gyerek 1. (9-10"/>
    <s v="Kumite, gyerek 1. fiú 30 kg"/>
    <s v="6"/>
    <s v="6 fős vegyes"/>
    <s v="3"/>
    <s v="Huszti Dániel"/>
    <x v="3"/>
    <s v="HUN"/>
    <n v="3"/>
    <m/>
    <s v="Gyöngyös"/>
    <d v="2026-03-07T00:00:00"/>
    <s v="Huszti Dániel - Shogun"/>
    <x v="0"/>
    <s v="Shogun"/>
    <x v="1"/>
    <s v="gyerek"/>
  </r>
  <r>
    <x v="2"/>
    <n v="2"/>
    <n v="272"/>
    <x v="0"/>
    <s v="Kumite, -, 30-35 kg, Gyerek 1. (9-10"/>
    <s v="Kumite, gyerek 1. fiú 35 kg"/>
    <s v="7"/>
    <s v="8 fős egyenes kiesés"/>
    <s v="1"/>
    <s v="Marjai Sándor"/>
    <x v="45"/>
    <s v="HUN"/>
    <n v="6"/>
    <m/>
    <s v="Gyöngyös"/>
    <d v="2026-03-07T00:00:00"/>
    <s v="Marjai Sándor - Kelemen-Team"/>
    <x v="0"/>
    <s v="Kelemen-Team"/>
    <x v="1"/>
    <s v="gyerek"/>
  </r>
  <r>
    <x v="2"/>
    <n v="2"/>
    <n v="273"/>
    <x v="0"/>
    <s v="Kumite, -, 30-35 kg, Gyerek 1. (9-10"/>
    <s v="Kumite, gyerek 1. fiú 35 kg"/>
    <s v="7"/>
    <s v="8 fős egyenes kiesés"/>
    <s v="2"/>
    <s v="Mohácsi DOminik"/>
    <x v="0"/>
    <s v="HUN"/>
    <n v="5"/>
    <m/>
    <s v="Gyöngyös"/>
    <d v="2026-03-07T00:00:00"/>
    <s v="Mohácsi DOminik - Victory"/>
    <x v="0"/>
    <s v="Victory"/>
    <x v="1"/>
    <s v="gyerek"/>
  </r>
  <r>
    <x v="2"/>
    <n v="2"/>
    <n v="274"/>
    <x v="0"/>
    <s v="Kumite, -, 30-35 kg, Gyerek 1. (9-10"/>
    <s v="Kumite, gyerek 1. fiú 35 kg"/>
    <s v="7"/>
    <s v="8 fős egyenes kiesés"/>
    <s v="3"/>
    <s v="Rózsa Benett"/>
    <x v="46"/>
    <s v="HUN"/>
    <n v="3"/>
    <m/>
    <s v="Gyöngyös"/>
    <d v="2026-03-07T00:00:00"/>
    <s v="Rózsa Benett - Kemecse SE"/>
    <x v="0"/>
    <s v="Kemecse SE"/>
    <x v="1"/>
    <s v="gyerek"/>
  </r>
  <r>
    <x v="2"/>
    <n v="2"/>
    <n v="275"/>
    <x v="0"/>
    <s v="Kumite, -, 30-35 kg, Gyerek 1. (9-10"/>
    <s v="Kumite, gyerek 1. fiú 35 kg"/>
    <s v="7"/>
    <s v="8 fős egyenes kiesés"/>
    <s v="3"/>
    <s v="Blokhin Alexei"/>
    <x v="0"/>
    <s v="HUN"/>
    <n v="3"/>
    <m/>
    <s v="Gyöngyös"/>
    <d v="2026-03-07T00:00:00"/>
    <s v="Blokhin Alexei - Victory"/>
    <x v="0"/>
    <s v="Victory"/>
    <x v="1"/>
    <s v="gyerek"/>
  </r>
  <r>
    <x v="2"/>
    <n v="2"/>
    <n v="276"/>
    <x v="0"/>
    <s v="Kumite, -, 30-35 kg, Gyerek 1. (9-10"/>
    <s v="Kumite, gyerek 1. fiú 35 kg"/>
    <s v="7"/>
    <s v="8 fős egyenes kiesés"/>
    <s v="6"/>
    <s v="Papp László"/>
    <x v="45"/>
    <s v="HUN"/>
    <n v="0"/>
    <m/>
    <s v="Gyöngyös"/>
    <d v="2026-03-07T00:00:00"/>
    <s v="Papp László - Kelemen-Team"/>
    <x v="0"/>
    <s v="Kelemen-Team"/>
    <x v="1"/>
    <s v="gyerek"/>
  </r>
  <r>
    <x v="2"/>
    <n v="2"/>
    <n v="277"/>
    <x v="0"/>
    <s v="Kumite, -, 30-35 kg, Gyerek 1. (9-10"/>
    <s v="Kumite, gyerek 1. fiú 35 kg"/>
    <s v="7"/>
    <s v="8 fős egyenes kiesés"/>
    <s v="7-8"/>
    <s v="Oszlánczi Zente"/>
    <x v="47"/>
    <s v="HUN"/>
    <n v="0"/>
    <m/>
    <s v="Gyöngyös"/>
    <d v="2026-03-07T00:00:00"/>
    <s v="Oszlánczi Zente - KYO Fighter SE"/>
    <x v="0"/>
    <s v="KYO Fighter SE"/>
    <x v="1"/>
    <s v="gyerek"/>
  </r>
  <r>
    <x v="2"/>
    <n v="2"/>
    <n v="278"/>
    <x v="0"/>
    <s v="Kumite, -, 30-35 kg, Gyerek 1. (9-10"/>
    <s v="Kumite, gyerek 1. fiú 35 kg"/>
    <s v="7"/>
    <s v="8 fős egyenes kiesés"/>
    <s v="7-8"/>
    <s v="Dániel Bence"/>
    <x v="3"/>
    <s v="HUN"/>
    <n v="0"/>
    <m/>
    <s v="Gyöngyös"/>
    <d v="2026-03-07T00:00:00"/>
    <s v="Dániel Bence - Shogun"/>
    <x v="0"/>
    <s v="Shogun"/>
    <x v="1"/>
    <s v="gyerek"/>
  </r>
  <r>
    <x v="2"/>
    <n v="2"/>
    <n v="279"/>
    <x v="0"/>
    <s v="Kumite, -, 35-99 kg, Gyerek 1. (9-10"/>
    <s v="Kumite, gyerek 1. fiú +35 kg"/>
    <s v="5"/>
    <s v="5 fős körmérkőzés"/>
    <s v="1"/>
    <s v="Petrohai Dávid"/>
    <x v="3"/>
    <s v="HUN"/>
    <n v="8"/>
    <m/>
    <s v="Gyöngyös"/>
    <d v="2026-03-07T00:00:00"/>
    <s v="Petrohai Dávid - Shogun"/>
    <x v="0"/>
    <s v="Shogun"/>
    <x v="1"/>
    <s v="gyerek"/>
  </r>
  <r>
    <x v="2"/>
    <n v="2"/>
    <n v="280"/>
    <x v="0"/>
    <s v="Kumite, -, 35-99 kg, Gyerek 1. (9-10"/>
    <s v="Kumite, gyerek 1. fiú +35 kg"/>
    <s v="5"/>
    <s v="5 fős körmérkőzés"/>
    <s v="2"/>
    <s v="Dudás Benedek"/>
    <x v="12"/>
    <s v="HUN"/>
    <n v="6"/>
    <m/>
    <s v="Gyöngyös"/>
    <d v="2026-03-07T00:00:00"/>
    <s v="Dudás Benedek - Bendiák Dojo"/>
    <x v="0"/>
    <s v="Bendiák Dojo"/>
    <x v="1"/>
    <s v="gyerek"/>
  </r>
  <r>
    <x v="2"/>
    <n v="2"/>
    <n v="281"/>
    <x v="0"/>
    <s v="Kumite, -, 35-99 kg, Gyerek 1. (9-10"/>
    <s v="Kumite, gyerek 1. fiú +35 kg"/>
    <s v="5"/>
    <s v="5 fős körmérkőzés"/>
    <s v="3"/>
    <s v="Dócs Nándor"/>
    <x v="14"/>
    <s v="HUN"/>
    <n v="4"/>
    <m/>
    <s v="Gyöngyös"/>
    <d v="2026-03-07T00:00:00"/>
    <s v="Dócs Nándor - Nozomu Dojo"/>
    <x v="0"/>
    <s v="Nozomu Dojo"/>
    <x v="1"/>
    <s v="gyerek"/>
  </r>
  <r>
    <x v="2"/>
    <n v="2"/>
    <n v="281"/>
    <x v="0"/>
    <s v="Kumite, -, 35-99 kg, Gyerek 1. (9-10"/>
    <s v="Kumite, gyerek 1. fiú +35 kg"/>
    <s v="5"/>
    <s v="5 fős körmérkőzés"/>
    <n v="4"/>
    <s v="Máté Lénárd"/>
    <x v="45"/>
    <s v="HUN"/>
    <n v="3"/>
    <m/>
    <s v="Gyöngyös"/>
    <d v="2026-03-07T00:00:00"/>
    <s v="Máté Lénárd - Kelemen-Team"/>
    <x v="0"/>
    <s v="Kelemen-Team"/>
    <x v="1"/>
    <s v="gyerek"/>
  </r>
  <r>
    <x v="2"/>
    <n v="2"/>
    <n v="282"/>
    <x v="1"/>
    <s v="Kata, -, 0-100 kg, Gyerek 1. (9-10"/>
    <s v="Kata, gyerek 1. fiú"/>
    <s v="10"/>
    <s v="16 fős egyenes kiesés"/>
    <s v="1"/>
    <s v="Mohácsi DOminik"/>
    <x v="0"/>
    <s v="HUN"/>
    <n v="6"/>
    <m/>
    <s v="Gyöngyös"/>
    <d v="2026-03-07T00:00:00"/>
    <s v="Mohácsi DOminik - Victory"/>
    <x v="0"/>
    <s v="Victory"/>
    <x v="1"/>
    <s v="gyerek"/>
  </r>
  <r>
    <x v="2"/>
    <n v="2"/>
    <n v="283"/>
    <x v="1"/>
    <s v="Kata, -, 0-100 kg, Gyerek 1. (9-10"/>
    <s v="Kata, gyerek 1. fiú"/>
    <s v="10"/>
    <s v="16 fős egyenes kiesés"/>
    <s v="2"/>
    <s v="Petrohai Dávid"/>
    <x v="3"/>
    <s v="HUN"/>
    <n v="5"/>
    <m/>
    <s v="Gyöngyös"/>
    <d v="2026-03-07T00:00:00"/>
    <s v="Petrohai Dávid - Shogun"/>
    <x v="0"/>
    <s v="Shogun"/>
    <x v="1"/>
    <s v="gyerek"/>
  </r>
  <r>
    <x v="2"/>
    <n v="2"/>
    <n v="284"/>
    <x v="1"/>
    <s v="Kata, -, 0-100 kg, Gyerek 1. (9-10"/>
    <s v="Kata, gyerek 1. fiú"/>
    <s v="10"/>
    <s v="16 fős egyenes kiesés"/>
    <s v="3"/>
    <s v="Sárközi Bence"/>
    <x v="3"/>
    <s v="HUN"/>
    <n v="3"/>
    <m/>
    <s v="Gyöngyös"/>
    <d v="2026-03-07T00:00:00"/>
    <s v="Sárközi Bence - Shogun"/>
    <x v="0"/>
    <s v="Shogun"/>
    <x v="1"/>
    <s v="gyerek"/>
  </r>
  <r>
    <x v="2"/>
    <n v="2"/>
    <n v="285"/>
    <x v="1"/>
    <s v="Kata, -, 0-100 kg, Gyerek 1. (9-10"/>
    <s v="Kata, gyerek 1. fiú"/>
    <s v="10"/>
    <s v="16 fős egyenes kiesés"/>
    <s v="3"/>
    <s v="Dániel Bence"/>
    <x v="3"/>
    <s v="HUN"/>
    <n v="3"/>
    <m/>
    <s v="Gyöngyös"/>
    <d v="2026-03-07T00:00:00"/>
    <s v="Dániel Bence - Shogun"/>
    <x v="0"/>
    <s v="Shogun"/>
    <x v="1"/>
    <s v="gyerek"/>
  </r>
  <r>
    <x v="2"/>
    <n v="2"/>
    <n v="286"/>
    <x v="1"/>
    <s v="Kata, -, 0-100 kg, Gyerek 1. (9-10"/>
    <s v="Kata, gyerek 1. fiú"/>
    <s v="10"/>
    <s v="16 fős egyenes kiesés"/>
    <s v="5"/>
    <s v="Huszti Dániel"/>
    <x v="3"/>
    <s v="HUN"/>
    <n v="0"/>
    <s v="nem volt nyertes mérkőzése"/>
    <s v="Gyöngyös"/>
    <d v="2026-03-07T00:00:00"/>
    <s v="Huszti Dániel - Shogun"/>
    <x v="0"/>
    <s v="Shogun"/>
    <x v="1"/>
    <s v="gyerek"/>
  </r>
  <r>
    <x v="2"/>
    <n v="2"/>
    <n v="287"/>
    <x v="1"/>
    <s v="Kata, -, 0-100 kg, Gyerek 1. (9-10"/>
    <s v="Kata, gyerek 1. fiú"/>
    <s v="10"/>
    <s v="16 fős egyenes kiesés"/>
    <s v="6"/>
    <s v="Tóth Máté"/>
    <x v="12"/>
    <s v="HUN"/>
    <n v="0"/>
    <s v="nem volt nyertes mérkőzése"/>
    <s v="Gyöngyös"/>
    <d v="2026-03-07T00:00:00"/>
    <s v="Tóth Máté - Bendiák Dojo"/>
    <x v="0"/>
    <s v="Bendiák Dojo"/>
    <x v="1"/>
    <s v="gyerek"/>
  </r>
  <r>
    <x v="2"/>
    <n v="2"/>
    <n v="288"/>
    <x v="1"/>
    <s v="Kata, -, 0-100 kg, Gyerek 1. (9-10"/>
    <s v="Kata, gyerek 1. fiú"/>
    <s v="10"/>
    <s v="16 fős egyenes kiesés"/>
    <s v="7-8"/>
    <s v="Szlivka Botond Csaba"/>
    <x v="3"/>
    <s v="HUN"/>
    <n v="0"/>
    <s v="nem volt nyertes mérkőzése"/>
    <s v="Gyöngyös"/>
    <d v="2026-03-07T00:00:00"/>
    <s v="Szlivka Botond Csaba - Shogun"/>
    <x v="0"/>
    <s v="Shogun"/>
    <x v="1"/>
    <s v="gyerek"/>
  </r>
  <r>
    <x v="2"/>
    <n v="2"/>
    <n v="289"/>
    <x v="1"/>
    <s v="Kata, -, 0-100 kg, Gyerek 1. (9-10"/>
    <s v="Kata, gyerek 1. fiú"/>
    <s v="10"/>
    <s v="16 fős egyenes kiesés"/>
    <s v="7-8"/>
    <s v="Blokhin Alexei"/>
    <x v="0"/>
    <s v="HUN"/>
    <n v="1"/>
    <m/>
    <s v="Gyöngyös"/>
    <d v="2026-03-07T00:00:00"/>
    <s v="Blokhin Alexei - Victory"/>
    <x v="0"/>
    <s v="Victory"/>
    <x v="1"/>
    <s v="gyerek"/>
  </r>
  <r>
    <x v="2"/>
    <n v="2"/>
    <n v="290"/>
    <x v="1"/>
    <s v="Kata, -, 0-100 kg, Gyerek 1. (9-10"/>
    <s v="Kata, gyerek 1. fiú"/>
    <s v="10"/>
    <s v="16 fős egyenes kiesés"/>
    <s v="9"/>
    <s v="Rózsa Benett"/>
    <x v="46"/>
    <s v="HUN"/>
    <n v="0"/>
    <m/>
    <s v="Gyöngyös"/>
    <d v="2026-03-07T00:00:00"/>
    <s v="Rózsa Benett - Kemecse SE"/>
    <x v="0"/>
    <s v="Kemecse SE"/>
    <x v="1"/>
    <s v="gyerek"/>
  </r>
  <r>
    <x v="2"/>
    <n v="2"/>
    <n v="291"/>
    <x v="1"/>
    <s v="Kata, -, 0-100 kg, Gyerek 1. (9-10"/>
    <s v="Kata, gyerek 1. fiú"/>
    <s v="10"/>
    <s v="16 fős egyenes kiesés"/>
    <s v="11-16"/>
    <s v="Kiss Attila"/>
    <x v="45"/>
    <s v="HUN"/>
    <n v="0"/>
    <m/>
    <s v="Gyöngyös"/>
    <d v="2026-03-07T00:00:00"/>
    <s v="Kiss Attila - Kelemen-Team"/>
    <x v="0"/>
    <s v="Kelemen-Team"/>
    <x v="1"/>
    <s v="gyerek"/>
  </r>
  <r>
    <x v="2"/>
    <n v="2"/>
    <n v="292"/>
    <x v="0"/>
    <s v="Kumite, -, 30-35 kg, Gyerek 1. (9-10"/>
    <s v="Kumite, gyerek 1. lány 35 kg"/>
    <s v="4"/>
    <s v="4 fős körmérkőzés"/>
    <s v="1"/>
    <s v="Zeke Kata"/>
    <x v="45"/>
    <s v="HUN"/>
    <n v="6"/>
    <m/>
    <s v="Gyöngyös"/>
    <d v="2026-03-07T00:00:00"/>
    <s v="Zeke Kata - Kelemen-Team"/>
    <x v="0"/>
    <s v="Kelemen-Team"/>
    <x v="1"/>
    <s v="gyerek"/>
  </r>
  <r>
    <x v="2"/>
    <n v="2"/>
    <n v="293"/>
    <x v="0"/>
    <s v="Kumite, -, 30-35 kg, Gyerek 1. (9-10"/>
    <s v="Kumite, gyerek 1. lány 35 kg"/>
    <s v="4"/>
    <s v="4 fős körmérkőzés"/>
    <s v="2"/>
    <s v="Bácsmegi Luca"/>
    <x v="45"/>
    <s v="HUN"/>
    <n v="5"/>
    <m/>
    <s v="Gyöngyös"/>
    <d v="2026-03-07T00:00:00"/>
    <s v="Bácsmegi Luca - Kelemen-Team"/>
    <x v="0"/>
    <s v="Kelemen-Team"/>
    <x v="1"/>
    <s v="gyerek"/>
  </r>
  <r>
    <x v="2"/>
    <n v="2"/>
    <n v="294"/>
    <x v="0"/>
    <s v="Kumite, -, 30-35 kg, Gyerek 1. (9-10"/>
    <s v="Kumite, gyerek 1. lány 35 kg"/>
    <s v="4"/>
    <s v="4 fős körmérkőzés"/>
    <s v="3"/>
    <s v="Fekete Alíz"/>
    <x v="3"/>
    <s v="HUN"/>
    <n v="3"/>
    <m/>
    <s v="Gyöngyös"/>
    <d v="2026-03-07T00:00:00"/>
    <s v="Fekete Alíz - Shogun"/>
    <x v="0"/>
    <s v="Shogun"/>
    <x v="1"/>
    <s v="gyerek"/>
  </r>
  <r>
    <x v="2"/>
    <n v="2"/>
    <n v="295"/>
    <x v="1"/>
    <s v="Kata, -, 0-100 kg, Gyerek 1. (9-10"/>
    <s v="Kata, gyerek 1. lány"/>
    <s v="4"/>
    <s v="4 fős egyenes kiesés + 3. hely"/>
    <s v="1"/>
    <s v="Banyák Léna"/>
    <x v="47"/>
    <s v="HUN"/>
    <n v="5"/>
    <m/>
    <s v="Gyöngyös"/>
    <d v="2026-03-07T00:00:00"/>
    <s v="Banyák Léna - KYO Fighter SE"/>
    <x v="0"/>
    <s v="KYO Fighter SE"/>
    <x v="1"/>
    <s v="gyerek"/>
  </r>
  <r>
    <x v="2"/>
    <n v="2"/>
    <n v="296"/>
    <x v="1"/>
    <s v="Kata, -, 0-100 kg, Gyerek 1. (9-10"/>
    <s v="Kata, gyerek 1. lány"/>
    <s v="4"/>
    <s v="4 fős egyenes kiesés + 3. hely"/>
    <s v="2"/>
    <s v="Nándori Leona"/>
    <x v="46"/>
    <s v="HUN"/>
    <n v="4"/>
    <m/>
    <s v="Gyöngyös"/>
    <d v="2026-03-07T00:00:00"/>
    <s v="Nándori Leona - Kemecse SE"/>
    <x v="0"/>
    <s v="Kemecse SE"/>
    <x v="1"/>
    <s v="gyerek"/>
  </r>
  <r>
    <x v="2"/>
    <n v="2"/>
    <n v="297"/>
    <x v="1"/>
    <s v="Kata, -, 0-100 kg, Gyerek 1. (9-10"/>
    <s v="Kata, gyerek 1. lány"/>
    <s v="4"/>
    <s v="4 fős egyenes kiesés + 3. hely"/>
    <s v="3"/>
    <s v="Geiger Uzonyi Lilla"/>
    <x v="45"/>
    <s v="HUN"/>
    <n v="2"/>
    <m/>
    <s v="Gyöngyös"/>
    <d v="2026-03-07T00:00:00"/>
    <s v="Geiger Uzonyi Lilla - Kelemen-Team"/>
    <x v="0"/>
    <s v="Kelemen-Team"/>
    <x v="1"/>
    <s v="gyerek"/>
  </r>
  <r>
    <x v="2"/>
    <n v="2"/>
    <n v="298"/>
    <x v="1"/>
    <s v="Kata, -, 0-100 kg, Gyerek 1. (9-10"/>
    <s v="Kata, gyerek 1. lány"/>
    <s v="4"/>
    <s v="4 fős egyenes kiesés + 3. hely"/>
    <s v="4"/>
    <s v="Fekete Alíz"/>
    <x v="3"/>
    <s v="HUN"/>
    <n v="0"/>
    <m/>
    <s v="Gyöngyös"/>
    <d v="2026-03-07T00:00:00"/>
    <s v="Fekete Alíz - Shogun"/>
    <x v="0"/>
    <s v="Shogun"/>
    <x v="1"/>
    <s v="gyerek"/>
  </r>
  <r>
    <x v="2"/>
    <n v="2"/>
    <n v="300"/>
    <x v="0"/>
    <s v="Kumite, -, 0-35 kg, Gyerek 2. (11-12"/>
    <s v="Kumite, gyerek 2. fiú 35 kg"/>
    <s v="11"/>
    <s v="16 fős egyenes kiesés"/>
    <s v="1"/>
    <s v="Szabó Alex Dominik"/>
    <x v="3"/>
    <s v="HUN"/>
    <n v="8"/>
    <m/>
    <s v="Gyöngyös"/>
    <d v="2026-03-07T00:00:00"/>
    <s v="Szabó Alex Dominik - Shogun"/>
    <x v="0"/>
    <s v="Shogun"/>
    <x v="1"/>
    <s v="gyerek"/>
  </r>
  <r>
    <x v="2"/>
    <n v="2"/>
    <n v="301"/>
    <x v="0"/>
    <s v="Kumite, -, 0-35 kg, Gyerek 2. (11-12"/>
    <s v="Kumite, gyerek 2. fiú 35 kg"/>
    <s v="11"/>
    <s v="16 fős egyenes kiesés"/>
    <s v="2"/>
    <s v="Tarr Bence"/>
    <x v="3"/>
    <s v="HUN"/>
    <n v="6"/>
    <m/>
    <s v="Gyöngyös"/>
    <d v="2026-03-07T00:00:00"/>
    <s v="Tarr Bence - Shogun"/>
    <x v="0"/>
    <s v="Shogun"/>
    <x v="1"/>
    <s v="gyerek"/>
  </r>
  <r>
    <x v="2"/>
    <n v="2"/>
    <n v="302"/>
    <x v="0"/>
    <s v="Kumite, -, 0-35 kg, Gyerek 2. (11-12"/>
    <s v="Kumite, gyerek 2. fiú 35 kg"/>
    <s v="11"/>
    <s v="16 fős egyenes kiesés"/>
    <s v="3"/>
    <s v="Szűcs Norbert"/>
    <x v="3"/>
    <s v="HUN"/>
    <n v="4"/>
    <m/>
    <s v="Gyöngyös"/>
    <d v="2026-03-07T00:00:00"/>
    <s v="Szűcs Norbert - Shogun"/>
    <x v="0"/>
    <s v="Shogun"/>
    <x v="1"/>
    <s v="gyerek"/>
  </r>
  <r>
    <x v="2"/>
    <n v="2"/>
    <n v="303"/>
    <x v="0"/>
    <s v="Kumite, -, 0-35 kg, Gyerek 2. (11-12"/>
    <s v="Kumite, gyerek 2. fiú 35 kg"/>
    <s v="11"/>
    <s v="16 fős egyenes kiesés"/>
    <s v="3"/>
    <s v="Makai Mór"/>
    <x v="0"/>
    <s v="HUN"/>
    <n v="4"/>
    <m/>
    <s v="Gyöngyös"/>
    <d v="2026-03-07T00:00:00"/>
    <s v="Makai Mór - Victory"/>
    <x v="0"/>
    <s v="Victory"/>
    <x v="1"/>
    <s v="gyerek"/>
  </r>
  <r>
    <x v="2"/>
    <n v="2"/>
    <n v="304"/>
    <x v="0"/>
    <s v="Kumite, -, 0-35 kg, Gyerek 2. (11-12"/>
    <s v="Kumite, gyerek 2. fiú 35 kg"/>
    <s v="11"/>
    <s v="16 fős egyenes kiesés"/>
    <s v="5"/>
    <s v="Kis Olivér"/>
    <x v="47"/>
    <s v="HUN"/>
    <n v="2"/>
    <m/>
    <s v="Gyöngyös"/>
    <d v="2026-03-07T00:00:00"/>
    <s v="Kis Olivér - KYO Fighter SE"/>
    <x v="0"/>
    <s v="KYO Fighter SE"/>
    <x v="1"/>
    <s v="gyerek"/>
  </r>
  <r>
    <x v="2"/>
    <n v="2"/>
    <n v="305"/>
    <x v="0"/>
    <s v="Kumite, -, 0-35 kg, Gyerek 2. (11-12"/>
    <s v="Kumite, gyerek 2. fiú 35 kg"/>
    <s v="11"/>
    <s v="16 fős egyenes kiesés"/>
    <s v="6"/>
    <s v="Berényi Milán"/>
    <x v="3"/>
    <s v="HUN"/>
    <n v="0"/>
    <s v="nem volt nyertes mérkőzése"/>
    <s v="Gyöngyös"/>
    <d v="2026-03-07T00:00:00"/>
    <s v="Berényi Milán - Shogun"/>
    <x v="0"/>
    <s v="Shogun"/>
    <x v="1"/>
    <s v="gyerek"/>
  </r>
  <r>
    <x v="2"/>
    <n v="2"/>
    <n v="306"/>
    <x v="0"/>
    <s v="Kumite, -, 0-35 kg, Gyerek 2. (11-12"/>
    <s v="Kumite, gyerek 2. fiú 35 kg"/>
    <s v="11"/>
    <s v="16 fős egyenes kiesés"/>
    <s v="7-8"/>
    <s v="Pajkos Dominik"/>
    <x v="3"/>
    <s v="HUN"/>
    <n v="0"/>
    <s v="nem volt nyertes mérkőzése"/>
    <s v="Gyöngyös"/>
    <d v="2026-03-07T00:00:00"/>
    <s v="Pajkos Dominik - Shogun"/>
    <x v="0"/>
    <s v="Shogun"/>
    <x v="1"/>
    <s v="gyerek"/>
  </r>
  <r>
    <x v="2"/>
    <n v="2"/>
    <n v="307"/>
    <x v="0"/>
    <s v="Kumite, -, 0-35 kg, Gyerek 2. (11-12"/>
    <s v="Kumite, gyerek 2. fiú 35 kg"/>
    <s v="11"/>
    <s v="16 fős egyenes kiesés"/>
    <s v="7-8"/>
    <s v="Ungai Csaba"/>
    <x v="48"/>
    <s v="HUN"/>
    <n v="2"/>
    <m/>
    <s v="Gyöngyös"/>
    <d v="2026-03-07T00:00:00"/>
    <s v="Ungai Csaba - Hajdúszoboszló"/>
    <x v="0"/>
    <s v="Hajdúszoboszló"/>
    <x v="1"/>
    <s v="gyerek"/>
  </r>
  <r>
    <x v="2"/>
    <n v="2"/>
    <n v="308"/>
    <x v="0"/>
    <s v="Kumite, -, 0-35 kg, Gyerek 2. (11-12"/>
    <s v="Kumite, gyerek 2. fiú 35 kg"/>
    <s v="11"/>
    <s v="16 fős egyenes kiesés"/>
    <s v="11-16"/>
    <s v="Török Márton Ignác"/>
    <x v="45"/>
    <s v="HUN"/>
    <n v="0"/>
    <m/>
    <s v="Gyöngyös"/>
    <d v="2026-03-07T00:00:00"/>
    <s v="Török Márton Ignác - Kelemen-Team"/>
    <x v="0"/>
    <s v="Kelemen-Team"/>
    <x v="1"/>
    <s v="gyerek"/>
  </r>
  <r>
    <x v="2"/>
    <n v="2"/>
    <n v="309"/>
    <x v="0"/>
    <s v="Kumite, -, 0-35 kg, Gyerek 2. (11-12"/>
    <s v="Kumite, gyerek 2. fiú 35 kg"/>
    <s v="11"/>
    <s v="16 fős egyenes kiesés"/>
    <s v="11-16"/>
    <s v="Gulya Mátyás János"/>
    <x v="45"/>
    <s v="HUN"/>
    <n v="0"/>
    <m/>
    <s v="Gyöngyös"/>
    <d v="2026-03-07T00:00:00"/>
    <s v="Gulya Mátyás János - Kelemen-Team"/>
    <x v="0"/>
    <s v="Kelemen-Team"/>
    <x v="1"/>
    <s v="gyerek"/>
  </r>
  <r>
    <x v="2"/>
    <n v="2"/>
    <n v="310"/>
    <x v="0"/>
    <s v="Kumite, -, 0-35 kg, Gyerek 2. (11-12"/>
    <s v="Kumite, gyerek 2. fiú 35 kg"/>
    <s v="11"/>
    <s v="16 fős egyenes kiesés"/>
    <s v="11-16"/>
    <s v="Jaksa György"/>
    <x v="0"/>
    <s v="HUN"/>
    <n v="0"/>
    <m/>
    <s v="Gyöngyös"/>
    <d v="2026-03-07T00:00:00"/>
    <s v="Jaksa György - Victory"/>
    <x v="0"/>
    <s v="Victory"/>
    <x v="1"/>
    <s v="gyerek"/>
  </r>
  <r>
    <x v="2"/>
    <n v="2"/>
    <n v="311"/>
    <x v="0"/>
    <s v="Kumite, -, 35-40 kg, Gyerek 2. (11-12"/>
    <s v="Kumite, gyerek 2. fiú 40 kg"/>
    <s v="5"/>
    <s v="5 fős körmérkőzés"/>
    <s v="1"/>
    <s v="Sádt Zénó"/>
    <x v="49"/>
    <s v="HUN"/>
    <n v="8"/>
    <m/>
    <s v="Gyöngyös"/>
    <d v="2026-03-07T00:00:00"/>
    <s v="Sádt Zénó - Buke Reikon HRSE"/>
    <x v="0"/>
    <s v="Buke Reikon HRSE"/>
    <x v="1"/>
    <s v="gyerek"/>
  </r>
  <r>
    <x v="2"/>
    <n v="2"/>
    <n v="313"/>
    <x v="0"/>
    <s v="Kumite, -, 35-40 kg, Gyerek 2. (11-12"/>
    <s v="Kumite, gyerek 2. fiú 40 kg"/>
    <s v="5"/>
    <s v="5 fős körmérkőzés"/>
    <n v="2"/>
    <s v="Eszenyi Barnabás"/>
    <x v="3"/>
    <s v="HUN"/>
    <n v="6"/>
    <m/>
    <s v="Gyöngyös"/>
    <d v="2026-03-07T00:00:00"/>
    <s v="Eszenyi Barnabás - Shogun"/>
    <x v="0"/>
    <s v="Shogun"/>
    <x v="1"/>
    <s v="gyerek"/>
  </r>
  <r>
    <x v="2"/>
    <n v="2"/>
    <n v="312"/>
    <x v="0"/>
    <s v="Kumite, -, 35-40 kg, Gyerek 2. (11-12"/>
    <s v="Kumite, gyerek 2. fiú 40 kg"/>
    <s v="5"/>
    <s v="5 fős körmérkőzés"/>
    <n v="3"/>
    <s v="Héder Patrik"/>
    <x v="18"/>
    <s v="HUN"/>
    <n v="4"/>
    <m/>
    <s v="Gyöngyös"/>
    <d v="2026-03-07T00:00:00"/>
    <s v="Héder Patrik - Bátor KSE"/>
    <x v="0"/>
    <s v="Bátor KSE"/>
    <x v="1"/>
    <s v="gyerek"/>
  </r>
  <r>
    <x v="2"/>
    <n v="2"/>
    <n v="313"/>
    <x v="0"/>
    <s v="Kumite, -, 35-40 kg, Gyerek 2. (11-12"/>
    <s v="Kumite, gyerek 2. fiú 40 kg"/>
    <s v="5"/>
    <s v="5 fős körmérkőzés"/>
    <n v="4"/>
    <s v="Kiss Adrián"/>
    <x v="50"/>
    <s v="HUN"/>
    <n v="3"/>
    <m/>
    <s v="Gyöngyös"/>
    <d v="2026-03-07T00:00:00"/>
    <s v="Kiss Adrián - Keizoku SE"/>
    <x v="0"/>
    <s v="Keizoku SE"/>
    <x v="1"/>
    <s v="gyerek"/>
  </r>
  <r>
    <x v="2"/>
    <n v="2"/>
    <n v="313"/>
    <x v="0"/>
    <s v="Kumite, -, 35-40 kg, Gyerek 2. (11-12"/>
    <s v="Kumite, gyerek 2. fiú 40 kg"/>
    <s v="5"/>
    <s v="5 fős körmérkőzés"/>
    <n v="5"/>
    <s v="Hegedűs Botond"/>
    <x v="50"/>
    <s v="HUN"/>
    <n v="2"/>
    <m/>
    <s v="Gyöngyös"/>
    <d v="2026-03-07T00:00:00"/>
    <s v="Hegedűs Botond - Keizoku SE"/>
    <x v="0"/>
    <s v="Keizoku SE"/>
    <x v="1"/>
    <s v="gyerek"/>
  </r>
  <r>
    <x v="2"/>
    <n v="2"/>
    <n v="314"/>
    <x v="0"/>
    <s v="Kumite, -, 45-55 kg, Gyerek 2. (11-12"/>
    <s v="Kumite, gyerek 2. fiú 55 kg"/>
    <s v="11"/>
    <s v="16 fős egyenes kiesés"/>
    <s v="1"/>
    <s v="Zeke Dávid"/>
    <x v="45"/>
    <s v="HUN"/>
    <n v="8"/>
    <m/>
    <s v="Gyöngyös"/>
    <d v="2026-03-07T00:00:00"/>
    <s v="Zeke Dávid - Kelemen-Team"/>
    <x v="0"/>
    <s v="Kelemen-Team"/>
    <x v="1"/>
    <s v="gyerek"/>
  </r>
  <r>
    <x v="2"/>
    <n v="2"/>
    <n v="315"/>
    <x v="0"/>
    <s v="Kumite, -, 45-55 kg, Gyerek 2. (11-12"/>
    <s v="Kumite, gyerek 2. fiú 55 kg"/>
    <s v="11"/>
    <s v="16 fős egyenes kiesés"/>
    <s v="2"/>
    <s v="Némethy Balázs"/>
    <x v="3"/>
    <s v="HUN"/>
    <n v="6"/>
    <m/>
    <s v="Gyöngyös"/>
    <d v="2026-03-07T00:00:00"/>
    <s v="Némethy Balázs - Shogun"/>
    <x v="0"/>
    <s v="Shogun"/>
    <x v="1"/>
    <s v="gyerek"/>
  </r>
  <r>
    <x v="2"/>
    <n v="2"/>
    <n v="316"/>
    <x v="0"/>
    <s v="Kumite, -, 45-55 kg, Gyerek 2. (11-12"/>
    <s v="Kumite, gyerek 2. fiú 55 kg"/>
    <s v="11"/>
    <s v="16 fős egyenes kiesés"/>
    <s v="3"/>
    <s v="Farkas Kristóf"/>
    <x v="49"/>
    <s v="HUN"/>
    <n v="4"/>
    <m/>
    <s v="Gyöngyös"/>
    <d v="2026-03-07T00:00:00"/>
    <s v="Farkas Kristóf - Buke Reikon HRSE"/>
    <x v="0"/>
    <s v="Buke Reikon HRSE"/>
    <x v="1"/>
    <s v="gyerek"/>
  </r>
  <r>
    <x v="2"/>
    <n v="2"/>
    <n v="317"/>
    <x v="0"/>
    <s v="Kumite, -, 45-55 kg, Gyerek 2. (11-12"/>
    <s v="Kumite, gyerek 2. fiú 55 kg"/>
    <s v="11"/>
    <s v="16 fős egyenes kiesés"/>
    <s v="3"/>
    <s v="Szabó Zsombor"/>
    <x v="49"/>
    <s v="HUN"/>
    <n v="4"/>
    <m/>
    <s v="Gyöngyös"/>
    <d v="2026-03-07T00:00:00"/>
    <s v="Szabó Zsombor - Buke Reikon HRSE"/>
    <x v="0"/>
    <s v="Buke Reikon HRSE"/>
    <x v="1"/>
    <s v="gyerek"/>
  </r>
  <r>
    <x v="2"/>
    <n v="2"/>
    <n v="318"/>
    <x v="0"/>
    <s v="Kumite, -, 45-55 kg, Gyerek 2. (11-12"/>
    <s v="Kumite, gyerek 2. fiú 55 kg"/>
    <s v="11"/>
    <s v="16 fős egyenes kiesés"/>
    <s v="5"/>
    <s v="Zádori Zénó "/>
    <x v="49"/>
    <s v="HUN"/>
    <n v="0"/>
    <s v="nem volt nyertes mérkőzése"/>
    <s v="Gyöngyös"/>
    <d v="2026-03-07T00:00:00"/>
    <s v="Zádori Zénó  - Buke Reikon HRSE"/>
    <x v="0"/>
    <s v="Buke Reikon HRSE"/>
    <x v="1"/>
    <s v="gyerek"/>
  </r>
  <r>
    <x v="2"/>
    <n v="2"/>
    <n v="319"/>
    <x v="0"/>
    <s v="Kumite, -, 45-55 kg, Gyerek 2. (11-12"/>
    <s v="Kumite, gyerek 2. fiú 55 kg"/>
    <s v="11"/>
    <s v="16 fős egyenes kiesés"/>
    <s v="6"/>
    <s v="Sztarek Benett"/>
    <x v="49"/>
    <s v="HUN"/>
    <n v="0"/>
    <s v="nem volt nyertes mérkőzése"/>
    <s v="Gyöngyös"/>
    <d v="2026-03-07T00:00:00"/>
    <s v="Sztarek Benett - Buke Reikon HRSE"/>
    <x v="0"/>
    <s v="Buke Reikon HRSE"/>
    <x v="1"/>
    <s v="gyerek"/>
  </r>
  <r>
    <x v="2"/>
    <n v="2"/>
    <n v="320"/>
    <x v="0"/>
    <s v="Kumite, -, 45-55 kg, Gyerek 2. (11-12"/>
    <s v="Kumite, gyerek 2. fiú 55 kg"/>
    <s v="11"/>
    <s v="16 fős egyenes kiesés"/>
    <s v="7-8"/>
    <s v="Kiss István"/>
    <x v="51"/>
    <s v="HUN"/>
    <n v="0"/>
    <s v="nem volt nyertes mérkőzése"/>
    <s v="Gyöngyös"/>
    <d v="2026-03-07T00:00:00"/>
    <s v="Kiss István - Derecske BUDO"/>
    <x v="0"/>
    <s v="Derecske BUDO"/>
    <x v="1"/>
    <s v="gyerek"/>
  </r>
  <r>
    <x v="2"/>
    <n v="2"/>
    <n v="321"/>
    <x v="0"/>
    <s v="Kumite, -, 45-55 kg, Gyerek 2. (11-12"/>
    <s v="Kumite, gyerek 2. fiú 55 kg"/>
    <s v="11"/>
    <s v="16 fős egyenes kiesés"/>
    <s v="7-8"/>
    <s v="Kiss Levente"/>
    <x v="51"/>
    <s v="HUN"/>
    <n v="2"/>
    <m/>
    <s v="Gyöngyös"/>
    <d v="2026-03-07T00:00:00"/>
    <s v="Kiss Levente - Derecske BUDO"/>
    <x v="0"/>
    <s v="Derecske BUDO"/>
    <x v="1"/>
    <s v="gyerek"/>
  </r>
  <r>
    <x v="2"/>
    <n v="2"/>
    <n v="322"/>
    <x v="0"/>
    <s v="Kumite, -, 45-55 kg, Gyerek 2. (11-12"/>
    <s v="Kumite, gyerek 2. fiú 55 kg"/>
    <s v="11"/>
    <s v="16 fős egyenes kiesés"/>
    <s v="9"/>
    <s v="Gaál Botond Kolos"/>
    <x v="18"/>
    <s v="HUN"/>
    <n v="0"/>
    <m/>
    <s v="Gyöngyös"/>
    <d v="2026-03-07T00:00:00"/>
    <s v="Gaál Botond Kolos - Bátor KSE"/>
    <x v="0"/>
    <s v="Bátor KSE"/>
    <x v="1"/>
    <s v="gyerek"/>
  </r>
  <r>
    <x v="2"/>
    <n v="2"/>
    <n v="323"/>
    <x v="0"/>
    <s v="Kumite, -, 45-55 kg, Gyerek 2. (11-12"/>
    <s v="Kumite, gyerek 2. fiú 55 kg"/>
    <s v="11"/>
    <s v="16 fős egyenes kiesés"/>
    <s v="10"/>
    <s v="Simon Titusz"/>
    <x v="49"/>
    <s v="HUN"/>
    <n v="0"/>
    <m/>
    <s v="Gyöngyös"/>
    <d v="2026-03-07T00:00:00"/>
    <s v="Simon Titusz - Buke Reikon HRSE"/>
    <x v="0"/>
    <s v="Buke Reikon HRSE"/>
    <x v="1"/>
    <s v="gyerek"/>
  </r>
  <r>
    <x v="2"/>
    <n v="2"/>
    <n v="324"/>
    <x v="0"/>
    <s v="Kumite, -, 45-55 kg, Gyerek 2. (11-12"/>
    <s v="Kumite, gyerek 2. fiú 55 kg"/>
    <s v="11"/>
    <s v="16 fős egyenes kiesés"/>
    <s v="11-16"/>
    <s v="Eszenyi Tamás Zsolt"/>
    <x v="18"/>
    <s v="HUN"/>
    <n v="0"/>
    <m/>
    <s v="Gyöngyös"/>
    <d v="2026-03-07T00:00:00"/>
    <s v="Eszenyi Tamás Zsolt - Bátor KSE"/>
    <x v="0"/>
    <s v="Bátor KSE"/>
    <x v="1"/>
    <s v="gyerek"/>
  </r>
  <r>
    <x v="2"/>
    <n v="2"/>
    <n v="325"/>
    <x v="0"/>
    <s v="Kumite, -, 55-999 kg, Gyerek 2. (11-12"/>
    <s v="Kumite, gyerek 2. fiú +55 kg"/>
    <s v="9"/>
    <s v="16 fős egyenes kiesés"/>
    <s v="1"/>
    <s v="Rajmon Tamás"/>
    <x v="0"/>
    <s v="HUN"/>
    <n v="8"/>
    <m/>
    <s v="Gyöngyös"/>
    <d v="2026-03-07T00:00:00"/>
    <s v="Rajmon Tamás - Victory"/>
    <x v="0"/>
    <s v="Victory"/>
    <x v="1"/>
    <s v="gyerek"/>
  </r>
  <r>
    <x v="2"/>
    <n v="2"/>
    <n v="326"/>
    <x v="0"/>
    <s v="Kumite, -, 55-999 kg, Gyerek 2. (11-12"/>
    <s v="Kumite, gyerek 2. fiú +55 kg"/>
    <s v="9"/>
    <s v="16 fős egyenes kiesés"/>
    <s v="2"/>
    <s v="Petróczki Farkas"/>
    <x v="18"/>
    <s v="HUN"/>
    <n v="6"/>
    <m/>
    <s v="Gyöngyös"/>
    <d v="2026-03-07T00:00:00"/>
    <s v="Petróczki Farkas - Bátor KSE"/>
    <x v="0"/>
    <s v="Bátor KSE"/>
    <x v="1"/>
    <s v="gyerek"/>
  </r>
  <r>
    <x v="2"/>
    <n v="2"/>
    <n v="327"/>
    <x v="0"/>
    <s v="Kumite, -, 55-999 kg, Gyerek 2. (11-12"/>
    <s v="Kumite, gyerek 2. fiú +55 kg"/>
    <s v="9"/>
    <s v="16 fős egyenes kiesés"/>
    <s v="3"/>
    <s v="Bervanger Bálint"/>
    <x v="3"/>
    <s v="HUN"/>
    <n v="4"/>
    <m/>
    <s v="Gyöngyös"/>
    <d v="2026-03-07T00:00:00"/>
    <s v="Bervanger Bálint - Shogun"/>
    <x v="0"/>
    <s v="Shogun"/>
    <x v="1"/>
    <s v="gyerek"/>
  </r>
  <r>
    <x v="2"/>
    <n v="2"/>
    <n v="328"/>
    <x v="0"/>
    <s v="Kumite, -, 55-999 kg, Gyerek 2. (11-12"/>
    <s v="Kumite, gyerek 2. fiú +55 kg"/>
    <s v="9"/>
    <s v="16 fős egyenes kiesés"/>
    <s v="3"/>
    <s v="Gyuricska Benedek"/>
    <x v="3"/>
    <s v="HUN"/>
    <n v="4"/>
    <m/>
    <s v="Gyöngyös"/>
    <d v="2026-03-07T00:00:00"/>
    <s v="Gyuricska Benedek - Shogun"/>
    <x v="0"/>
    <s v="Shogun"/>
    <x v="1"/>
    <s v="gyerek"/>
  </r>
  <r>
    <x v="2"/>
    <n v="2"/>
    <n v="329"/>
    <x v="0"/>
    <s v="Kumite, -, 55-999 kg, Gyerek 2. (11-12"/>
    <s v="Kumite, gyerek 2. fiú +55 kg"/>
    <s v="9"/>
    <s v="16 fős egyenes kiesés"/>
    <s v="5"/>
    <s v="Berki Tamás"/>
    <x v="0"/>
    <s v="HUN"/>
    <n v="0"/>
    <s v="nem volt nyertes mérkőzése"/>
    <s v="Gyöngyös"/>
    <d v="2026-03-07T00:00:00"/>
    <s v="Berki Tamás - Victory"/>
    <x v="0"/>
    <s v="Victory"/>
    <x v="1"/>
    <s v="gyerek"/>
  </r>
  <r>
    <x v="2"/>
    <n v="2"/>
    <n v="330"/>
    <x v="0"/>
    <s v="Kumite, -, 55-999 kg, Gyerek 2. (11-12"/>
    <s v="Kumite, gyerek 2. fiú +55 kg"/>
    <s v="9"/>
    <s v="16 fős egyenes kiesés"/>
    <s v="6"/>
    <s v="Tóth Marcell Kevin"/>
    <x v="14"/>
    <s v="HUN"/>
    <n v="2"/>
    <m/>
    <s v="Gyöngyös"/>
    <d v="2026-03-07T00:00:00"/>
    <s v="Tóth Marcell Kevin - Nozomu Dojo"/>
    <x v="0"/>
    <s v="Nozomu Dojo"/>
    <x v="1"/>
    <s v="gyerek"/>
  </r>
  <r>
    <x v="2"/>
    <n v="2"/>
    <n v="331"/>
    <x v="0"/>
    <s v="Kumite, -, 55-999 kg, Gyerek 2. (11-12"/>
    <s v="Kumite, gyerek 2. fiú +55 kg"/>
    <s v="9"/>
    <s v="16 fős egyenes kiesés"/>
    <s v="7-8"/>
    <s v="Szabó Bence"/>
    <x v="3"/>
    <s v="HUN"/>
    <n v="0"/>
    <s v="nem volt nyertes mérkőzése"/>
    <s v="Gyöngyös"/>
    <d v="2026-03-07T00:00:00"/>
    <s v="Szabó Bence - Shogun"/>
    <x v="0"/>
    <s v="Shogun"/>
    <x v="1"/>
    <s v="gyerek"/>
  </r>
  <r>
    <x v="2"/>
    <n v="2"/>
    <n v="332"/>
    <x v="0"/>
    <s v="Kumite, -, 55-999 kg, Gyerek 2. (11-12"/>
    <s v="Kumite, gyerek 2. fiú +55 kg"/>
    <s v="9"/>
    <s v="16 fős egyenes kiesés"/>
    <s v="7-8"/>
    <s v="Jagyugy Zalán"/>
    <x v="45"/>
    <s v="HUN"/>
    <n v="0"/>
    <s v="nem volt nyertes mérkőzése"/>
    <s v="Gyöngyös"/>
    <d v="2026-03-07T00:00:00"/>
    <s v="Jagyugy Zalán - Kelemen-Team"/>
    <x v="0"/>
    <s v="Kelemen-Team"/>
    <x v="1"/>
    <s v="gyerek"/>
  </r>
  <r>
    <x v="2"/>
    <n v="2"/>
    <n v="333"/>
    <x v="0"/>
    <s v="Kumite, -, 55-999 kg, Gyerek 2. (11-12"/>
    <s v="Kumite, gyerek 2. fiú +55 kg"/>
    <s v="9"/>
    <s v="16 fős egyenes kiesés"/>
    <s v="11-16"/>
    <s v="Kurucz Árpád Soma"/>
    <x v="0"/>
    <s v="HUN"/>
    <n v="0"/>
    <m/>
    <s v="Gyöngyös"/>
    <d v="2026-03-07T00:00:00"/>
    <s v="Kurucz Árpád Soma - Victory"/>
    <x v="0"/>
    <s v="Victory"/>
    <x v="1"/>
    <s v="gyerek"/>
  </r>
  <r>
    <x v="2"/>
    <n v="2"/>
    <n v="334"/>
    <x v="1"/>
    <s v="Kata, -, 0-100 kg, Gyerek 2. (11-12"/>
    <s v="Kata, gyerek 2. fiú"/>
    <s v="17"/>
    <s v="32 fős egyenes kiesés"/>
    <s v="1"/>
    <s v="Tarr Bence"/>
    <x v="3"/>
    <s v="HUN"/>
    <n v="8"/>
    <m/>
    <s v="Gyöngyös"/>
    <d v="2026-03-07T00:00:00"/>
    <s v="Tarr Bence - Shogun"/>
    <x v="0"/>
    <s v="Shogun"/>
    <x v="1"/>
    <s v="gyerek"/>
  </r>
  <r>
    <x v="2"/>
    <n v="2"/>
    <n v="335"/>
    <x v="1"/>
    <s v="Kata, -, 0-100 kg, Gyerek 2. (11-12"/>
    <s v="Kata, gyerek 2. fiú"/>
    <s v="17"/>
    <s v="32 fős egyenes kiesés"/>
    <s v="2"/>
    <s v="Hegedűs Botond"/>
    <x v="50"/>
    <s v="HUN"/>
    <n v="6"/>
    <m/>
    <s v="Gyöngyös"/>
    <d v="2026-03-07T00:00:00"/>
    <s v="Hegedűs Botond - Keizoku SE"/>
    <x v="0"/>
    <s v="Keizoku SE"/>
    <x v="1"/>
    <s v="gyerek"/>
  </r>
  <r>
    <x v="2"/>
    <n v="2"/>
    <n v="336"/>
    <x v="1"/>
    <s v="Kata, -, 0-100 kg, Gyerek 2. (11-12"/>
    <s v="Kata, gyerek 2. fiú"/>
    <s v="17"/>
    <s v="32 fős egyenes kiesés"/>
    <s v="3"/>
    <s v="Eszenyi Barnabás"/>
    <x v="3"/>
    <s v="HUN"/>
    <n v="4"/>
    <m/>
    <s v="Gyöngyös"/>
    <d v="2026-03-07T00:00:00"/>
    <s v="Eszenyi Barnabás - Shogun"/>
    <x v="0"/>
    <s v="Shogun"/>
    <x v="1"/>
    <s v="gyerek"/>
  </r>
  <r>
    <x v="2"/>
    <n v="2"/>
    <n v="337"/>
    <x v="1"/>
    <s v="Kata, -, 0-100 kg, Gyerek 2. (11-12"/>
    <s v="Kata, gyerek 2. fiú"/>
    <s v="17"/>
    <s v="32 fős egyenes kiesés"/>
    <s v="3"/>
    <s v="Bervanger Bálint"/>
    <x v="3"/>
    <s v="HUN"/>
    <n v="4"/>
    <m/>
    <s v="Gyöngyös"/>
    <d v="2026-03-07T00:00:00"/>
    <s v="Bervanger Bálint - Shogun"/>
    <x v="0"/>
    <s v="Shogun"/>
    <x v="1"/>
    <s v="gyerek"/>
  </r>
  <r>
    <x v="2"/>
    <n v="2"/>
    <n v="338"/>
    <x v="1"/>
    <s v="Kata, -, 0-100 kg, Gyerek 2. (11-12"/>
    <s v="Kata, gyerek 2. fiú"/>
    <s v="17"/>
    <s v="32 fős egyenes kiesés"/>
    <s v="5"/>
    <s v="Szűcs Norbert"/>
    <x v="3"/>
    <s v="HUN"/>
    <n v="2"/>
    <m/>
    <s v="Gyöngyös"/>
    <d v="2026-03-07T00:00:00"/>
    <s v="Szűcs Norbert - Shogun"/>
    <x v="0"/>
    <s v="Shogun"/>
    <x v="1"/>
    <s v="gyerek"/>
  </r>
  <r>
    <x v="2"/>
    <n v="2"/>
    <n v="339"/>
    <x v="1"/>
    <s v="Kata, -, 0-100 kg, Gyerek 2. (11-12"/>
    <s v="Kata, gyerek 2. fiú"/>
    <s v="17"/>
    <s v="32 fős egyenes kiesés"/>
    <s v="6"/>
    <s v="Berényi Milán"/>
    <x v="3"/>
    <s v="HUN"/>
    <n v="2"/>
    <m/>
    <s v="Gyöngyös"/>
    <d v="2026-03-07T00:00:00"/>
    <s v="Berényi Milán - Shogun"/>
    <x v="0"/>
    <s v="Shogun"/>
    <x v="1"/>
    <s v="gyerek"/>
  </r>
  <r>
    <x v="2"/>
    <n v="2"/>
    <n v="340"/>
    <x v="1"/>
    <s v="Kata, -, 0-100 kg, Gyerek 2. (11-12"/>
    <s v="Kata, gyerek 2. fiú"/>
    <s v="17"/>
    <s v="32 fős egyenes kiesés"/>
    <s v="7-8"/>
    <s v="Pajkos Dominik"/>
    <x v="3"/>
    <s v="HUN"/>
    <n v="2"/>
    <m/>
    <s v="Gyöngyös"/>
    <d v="2026-03-07T00:00:00"/>
    <s v="Pajkos Dominik - Shogun"/>
    <x v="0"/>
    <s v="Shogun"/>
    <x v="1"/>
    <s v="gyerek"/>
  </r>
  <r>
    <x v="2"/>
    <n v="2"/>
    <n v="341"/>
    <x v="1"/>
    <s v="Kata, -, 0-100 kg, Gyerek 2. (11-12"/>
    <s v="Kata, gyerek 2. fiú"/>
    <s v="17"/>
    <s v="32 fős egyenes kiesés"/>
    <s v="7-8"/>
    <s v="Némethy Balázs"/>
    <x v="3"/>
    <s v="HUN"/>
    <n v="2"/>
    <m/>
    <s v="Gyöngyös"/>
    <d v="2026-03-07T00:00:00"/>
    <s v="Némethy Balázs - Shogun"/>
    <x v="0"/>
    <s v="Shogun"/>
    <x v="1"/>
    <s v="gyerek"/>
  </r>
  <r>
    <x v="2"/>
    <n v="2"/>
    <n v="342"/>
    <x v="1"/>
    <s v="Kata, -, 0-100 kg, Gyerek 2. (11-12"/>
    <s v="Kata, gyerek 2. fiú"/>
    <s v="17"/>
    <s v="32 fős egyenes kiesés"/>
    <s v="9"/>
    <s v="Kiss Adrián"/>
    <x v="50"/>
    <s v="HUN"/>
    <n v="0"/>
    <m/>
    <s v="Gyöngyös"/>
    <d v="2026-03-07T00:00:00"/>
    <s v="Kiss Adrián - Keizoku SE"/>
    <x v="0"/>
    <s v="Keizoku SE"/>
    <x v="1"/>
    <s v="gyerek"/>
  </r>
  <r>
    <x v="2"/>
    <n v="2"/>
    <n v="343"/>
    <x v="1"/>
    <s v="Kata, -, 0-100 kg, Gyerek 2. (11-12"/>
    <s v="Kata, gyerek 2. fiú"/>
    <s v="17"/>
    <s v="32 fős egyenes kiesés"/>
    <s v="10"/>
    <s v="Remenyik Péter"/>
    <x v="3"/>
    <s v="HUN"/>
    <n v="0"/>
    <m/>
    <s v="Gyöngyös"/>
    <d v="2026-03-07T00:00:00"/>
    <s v="Remenyik Péter - Shogun"/>
    <x v="0"/>
    <s v="Shogun"/>
    <x v="1"/>
    <s v="gyerek"/>
  </r>
  <r>
    <x v="2"/>
    <n v="2"/>
    <n v="344"/>
    <x v="1"/>
    <s v="Kata, -, 0-100 kg, Gyerek 2. (11-12"/>
    <s v="Kata, gyerek 2. fiú"/>
    <s v="17"/>
    <s v="32 fős egyenes kiesés"/>
    <s v="11-16"/>
    <s v="Ádám Mátyás Richárd"/>
    <x v="12"/>
    <s v="HUN"/>
    <n v="0"/>
    <m/>
    <s v="Gyöngyös"/>
    <d v="2026-03-07T00:00:00"/>
    <s v="Ádám Mátyás Richárd - Bendiák Dojo"/>
    <x v="0"/>
    <s v="Bendiák Dojo"/>
    <x v="1"/>
    <s v="gyerek"/>
  </r>
  <r>
    <x v="2"/>
    <n v="2"/>
    <n v="345"/>
    <x v="1"/>
    <s v="Kata, -, 0-100 kg, Gyerek 2. (11-12"/>
    <s v="Kata, gyerek 2. fiú"/>
    <s v="17"/>
    <s v="32 fős egyenes kiesés"/>
    <s v="11-16"/>
    <s v="Kis Olivér"/>
    <x v="47"/>
    <s v="HUN"/>
    <n v="0"/>
    <m/>
    <s v="Gyöngyös"/>
    <d v="2026-03-07T00:00:00"/>
    <s v="Kis Olivér - KYO Fighter SE"/>
    <x v="0"/>
    <s v="KYO Fighter SE"/>
    <x v="1"/>
    <s v="gyerek"/>
  </r>
  <r>
    <x v="2"/>
    <n v="2"/>
    <n v="346"/>
    <x v="1"/>
    <s v="Kata, -, 0-100 kg, Gyerek 2. (11-12"/>
    <s v="Kata, gyerek 2. fiú"/>
    <s v="17"/>
    <s v="32 fős egyenes kiesés"/>
    <s v="11-16"/>
    <s v="Makai Mór"/>
    <x v="0"/>
    <s v="HUN"/>
    <n v="0"/>
    <m/>
    <s v="Gyöngyös"/>
    <d v="2026-03-07T00:00:00"/>
    <s v="Makai Mór - Victory"/>
    <x v="0"/>
    <s v="Victory"/>
    <x v="1"/>
    <s v="gyerek"/>
  </r>
  <r>
    <x v="2"/>
    <n v="2"/>
    <n v="347"/>
    <x v="1"/>
    <s v="Kata, -, 0-100 kg, Gyerek 2. (11-12"/>
    <s v="Kata, gyerek 2. fiú"/>
    <s v="17"/>
    <s v="32 fős egyenes kiesés"/>
    <s v="11-16"/>
    <s v="Jaksa György"/>
    <x v="0"/>
    <s v="HUN"/>
    <n v="0"/>
    <m/>
    <s v="Gyöngyös"/>
    <d v="2026-03-07T00:00:00"/>
    <s v="Jaksa György - Victory"/>
    <x v="0"/>
    <s v="Victory"/>
    <x v="1"/>
    <s v="gyerek"/>
  </r>
  <r>
    <x v="2"/>
    <n v="2"/>
    <n v="348"/>
    <x v="1"/>
    <s v="Kata, -, 0-100 kg, Gyerek 2. (11-12"/>
    <s v="Kata, gyerek 2. fiú"/>
    <s v="17"/>
    <s v="32 fős egyenes kiesés"/>
    <s v="11-16"/>
    <s v="Tóth Gergő"/>
    <x v="52"/>
    <s v="HUN"/>
    <n v="0"/>
    <m/>
    <s v="Gyöngyös"/>
    <d v="2026-03-07T00:00:00"/>
    <s v="Tóth Gergő - SONGOKU SE"/>
    <x v="0"/>
    <s v="SONGOKU SE"/>
    <x v="1"/>
    <s v="gyerek"/>
  </r>
  <r>
    <x v="2"/>
    <n v="2"/>
    <n v="349"/>
    <x v="1"/>
    <s v="Kata, -, 0-100 kg, Gyerek 2. (11-12"/>
    <s v="Kata, gyerek 2. fiú"/>
    <s v="17"/>
    <s v="32 fős egyenes kiesés"/>
    <s v="11-16"/>
    <s v="Berki Tamás"/>
    <x v="0"/>
    <s v="HUN"/>
    <n v="0"/>
    <m/>
    <s v="Gyöngyös"/>
    <d v="2026-03-07T00:00:00"/>
    <s v="Berki Tamás - Victory"/>
    <x v="0"/>
    <s v="Victory"/>
    <x v="1"/>
    <s v="gyerek"/>
  </r>
  <r>
    <x v="2"/>
    <n v="2"/>
    <n v="350"/>
    <x v="0"/>
    <s v="Kumite, -, 0-35 kg, Gyerek 2. (11-12"/>
    <s v="Kumite, gyerek 2. lány 35 kg"/>
    <s v="6"/>
    <s v="6 fős vegyes"/>
    <s v="1"/>
    <s v="Ungai Eszter"/>
    <x v="48"/>
    <s v="HUN"/>
    <n v="6"/>
    <m/>
    <s v="Gyöngyös"/>
    <d v="2026-03-07T00:00:00"/>
    <s v="Ungai Eszter - Hajdúszoboszló"/>
    <x v="0"/>
    <s v="Hajdúszoboszló"/>
    <x v="1"/>
    <s v="gyerek"/>
  </r>
  <r>
    <x v="2"/>
    <n v="2"/>
    <n v="351"/>
    <x v="0"/>
    <s v="Kumite, -, 0-35 kg, Gyerek 2. (11-12"/>
    <s v="Kumite, gyerek 2. lány 35 kg"/>
    <s v="6"/>
    <s v="6 fős vegyes"/>
    <s v="2"/>
    <s v="Kigó Boróka"/>
    <x v="0"/>
    <s v="HUN"/>
    <n v="5"/>
    <m/>
    <s v="Gyöngyös"/>
    <d v="2026-03-07T00:00:00"/>
    <s v="Kigó Boróka - Victory"/>
    <x v="0"/>
    <s v="Victory"/>
    <x v="1"/>
    <s v="gyerek"/>
  </r>
  <r>
    <x v="2"/>
    <n v="2"/>
    <n v="352"/>
    <x v="0"/>
    <s v="Kumite, -, 0-35 kg, Gyerek 2. (11-12"/>
    <s v="Kumite, gyerek 2. lány 35 kg"/>
    <s v="6"/>
    <s v="6 fős vegyes"/>
    <s v="3"/>
    <s v="Fürjesi Eszter"/>
    <x v="3"/>
    <s v="HUN"/>
    <n v="3"/>
    <m/>
    <s v="Gyöngyös"/>
    <d v="2026-03-07T00:00:00"/>
    <s v="Fürjesi Eszter - Shogun"/>
    <x v="0"/>
    <s v="Shogun"/>
    <x v="1"/>
    <s v="gyerek"/>
  </r>
  <r>
    <x v="2"/>
    <n v="2"/>
    <n v="353"/>
    <x v="0"/>
    <s v="Kumite, -, 35-40 kg, Gyerek 2. (11-12"/>
    <s v="Kumite, gyerek 2. fiú 40 kg"/>
    <s v="2"/>
    <s v="2 fős egyenes kiesés"/>
    <s v="1"/>
    <s v="Fagbola Esther"/>
    <x v="0"/>
    <s v="HUN"/>
    <n v="3"/>
    <m/>
    <s v="Gyöngyös"/>
    <d v="2026-03-07T00:00:00"/>
    <s v="Fagbola Esther - Victory"/>
    <x v="0"/>
    <s v="Victory"/>
    <x v="1"/>
    <s v="gyerek"/>
  </r>
  <r>
    <x v="2"/>
    <n v="2"/>
    <n v="354"/>
    <x v="0"/>
    <s v="Kumite, -, 35-40 kg, Gyerek 2. (11-12"/>
    <s v="Kumite, gyerek 2. fiú 40 kg"/>
    <s v="2"/>
    <s v="2 fős egyenes kiesés"/>
    <s v="2"/>
    <s v="Téglási Kamilla"/>
    <x v="2"/>
    <s v="HUN"/>
    <n v="0"/>
    <m/>
    <s v="Gyöngyös"/>
    <d v="2026-03-07T00:00:00"/>
    <s v="Téglási Kamilla - Kisvárda KKDOSC"/>
    <x v="0"/>
    <s v="Kisvárda KKDOSC"/>
    <x v="1"/>
    <s v="gyerek"/>
  </r>
  <r>
    <x v="2"/>
    <n v="2"/>
    <n v="355"/>
    <x v="0"/>
    <s v="Kumite, -, 45-200 kg, Gyerek 2. (11-12"/>
    <s v="Kumite, gyerek 2. lány +45 kg"/>
    <s v="6"/>
    <s v="6 fős vegyes"/>
    <s v="1"/>
    <s v="Marjai Boglárka"/>
    <x v="45"/>
    <s v="HUN"/>
    <n v="6"/>
    <m/>
    <s v="Gyöngyös"/>
    <d v="2026-03-07T00:00:00"/>
    <s v="Marjai Boglárka - Kelemen-Team"/>
    <x v="0"/>
    <s v="Kelemen-Team"/>
    <x v="1"/>
    <s v="gyerek"/>
  </r>
  <r>
    <x v="2"/>
    <n v="2"/>
    <n v="356"/>
    <x v="0"/>
    <s v="Kumite, -, 45-200 kg, Gyerek 2. (11-12"/>
    <s v="Kumite, gyerek 2. lány +45 kg"/>
    <s v="6"/>
    <s v="6 fős vegyes"/>
    <s v="2"/>
    <s v="Szabó Lilla"/>
    <x v="53"/>
    <s v="HUN"/>
    <n v="5"/>
    <m/>
    <s v="Gyöngyös"/>
    <d v="2026-03-07T00:00:00"/>
    <s v="Szabó Lilla - ShinzóDojo"/>
    <x v="0"/>
    <s v="ShinzóDojo"/>
    <x v="1"/>
    <s v="gyerek"/>
  </r>
  <r>
    <x v="2"/>
    <n v="2"/>
    <n v="357"/>
    <x v="0"/>
    <s v="Kumite, -, 45-200 kg, Gyerek 2. (11-12"/>
    <s v="Kumite, gyerek 2. lány +45 kg"/>
    <s v="6"/>
    <s v="6 fős vegyes"/>
    <s v="3"/>
    <s v="Dászkál Dorottya"/>
    <x v="3"/>
    <s v="HUN"/>
    <n v="3"/>
    <m/>
    <s v="Gyöngyös"/>
    <d v="2026-03-07T00:00:00"/>
    <s v="Dászkál Dorottya - Shogun"/>
    <x v="0"/>
    <s v="Shogun"/>
    <x v="1"/>
    <s v="gyerek"/>
  </r>
  <r>
    <x v="2"/>
    <n v="2"/>
    <n v="358"/>
    <x v="1"/>
    <s v="Kata, -, 0-100 kg, Gyerek 2. (11-12"/>
    <s v="Kata, gyerek 2. lány"/>
    <s v="14"/>
    <s v="16 fős egyenes kiesés"/>
    <s v="1"/>
    <s v="Damu Zsanett"/>
    <x v="21"/>
    <s v="HUN"/>
    <n v="6"/>
    <m/>
    <s v="Gyöngyös"/>
    <d v="2026-03-07T00:00:00"/>
    <s v="Damu Zsanett - Kagami"/>
    <x v="0"/>
    <s v="Kagami"/>
    <x v="1"/>
    <s v="gyerek"/>
  </r>
  <r>
    <x v="2"/>
    <n v="2"/>
    <n v="359"/>
    <x v="1"/>
    <s v="Kata, -, 0-100 kg, Gyerek 2. (11-12"/>
    <s v="Kata, gyerek 2. lány"/>
    <s v="14"/>
    <s v="16 fős egyenes kiesés"/>
    <s v="2"/>
    <s v="MOLNÁR MINKA"/>
    <x v="0"/>
    <s v="HUN"/>
    <n v="5"/>
    <m/>
    <s v="Gyöngyös"/>
    <d v="2026-03-07T00:00:00"/>
    <s v="MOLNÁR MINKA - Victory"/>
    <x v="0"/>
    <s v="Victory"/>
    <x v="1"/>
    <s v="gyerek"/>
  </r>
  <r>
    <x v="2"/>
    <n v="2"/>
    <n v="360"/>
    <x v="1"/>
    <s v="Kata, -, 0-100 kg, Gyerek 2. (11-12"/>
    <s v="Kata, gyerek 2. lány"/>
    <s v="14"/>
    <s v="16 fős egyenes kiesés"/>
    <s v="3"/>
    <s v="Huszár Hanna"/>
    <x v="46"/>
    <s v="HUN"/>
    <n v="3"/>
    <m/>
    <s v="Gyöngyös"/>
    <d v="2026-03-07T00:00:00"/>
    <s v="Huszár Hanna - Kemecse SE"/>
    <x v="0"/>
    <s v="Kemecse SE"/>
    <x v="1"/>
    <s v="gyerek"/>
  </r>
  <r>
    <x v="2"/>
    <n v="2"/>
    <n v="361"/>
    <x v="1"/>
    <s v="Kata, -, 0-100 kg, Gyerek 2. (11-12"/>
    <s v="Kata, gyerek 2. lány"/>
    <s v="14"/>
    <s v="16 fős egyenes kiesés"/>
    <s v="3"/>
    <s v="Fagbola Esther"/>
    <x v="0"/>
    <s v="HUN"/>
    <n v="3"/>
    <m/>
    <s v="Gyöngyös"/>
    <d v="2026-03-07T00:00:00"/>
    <s v="Fagbola Esther - Victory"/>
    <x v="0"/>
    <s v="Victory"/>
    <x v="1"/>
    <s v="gyerek"/>
  </r>
  <r>
    <x v="2"/>
    <n v="2"/>
    <n v="362"/>
    <x v="1"/>
    <s v="Kata, -, 0-100 kg, Gyerek 2. (11-12"/>
    <s v="Kata, gyerek 2. lány"/>
    <s v="14"/>
    <s v="16 fős egyenes kiesés"/>
    <s v="5"/>
    <s v="Kis Emma"/>
    <x v="3"/>
    <s v="HUN"/>
    <n v="1"/>
    <m/>
    <s v="Gyöngyös"/>
    <d v="2026-03-07T00:00:00"/>
    <s v="Kis Emma - Shogun"/>
    <x v="0"/>
    <s v="Shogun"/>
    <x v="1"/>
    <s v="gyerek"/>
  </r>
  <r>
    <x v="2"/>
    <n v="2"/>
    <n v="363"/>
    <x v="1"/>
    <s v="Kata, -, 0-100 kg, Gyerek 2. (11-12"/>
    <s v="Kata, gyerek 2. lány"/>
    <s v="14"/>
    <s v="16 fős egyenes kiesés"/>
    <s v="6"/>
    <s v="Téglási Kamilla"/>
    <x v="2"/>
    <s v="HUN"/>
    <n v="1"/>
    <m/>
    <s v="Gyöngyös"/>
    <d v="2026-03-07T00:00:00"/>
    <s v="Téglási Kamilla - Kisvárda KKDOSC"/>
    <x v="0"/>
    <s v="Kisvárda KKDOSC"/>
    <x v="1"/>
    <s v="gyerek"/>
  </r>
  <r>
    <x v="2"/>
    <n v="2"/>
    <n v="364"/>
    <x v="1"/>
    <s v="Kata, -, 0-100 kg, Gyerek 2. (11-12"/>
    <s v="Kata, gyerek 2. lány"/>
    <s v="14"/>
    <s v="16 fős egyenes kiesés"/>
    <s v="7-8"/>
    <s v="Cserép Nóra"/>
    <x v="45"/>
    <s v="HUN"/>
    <n v="0"/>
    <s v="nem volt nyertes mérkőzése"/>
    <s v="Gyöngyös"/>
    <d v="2026-03-07T00:00:00"/>
    <s v="Cserép Nóra - Kelemen-Team"/>
    <x v="0"/>
    <s v="Kelemen-Team"/>
    <x v="1"/>
    <s v="gyerek"/>
  </r>
  <r>
    <x v="2"/>
    <n v="2"/>
    <n v="299"/>
    <x v="1"/>
    <s v="Kata, -, 0-100 kg, Gyerek 2. (11-12"/>
    <s v="Kata, gyerek 2. lány"/>
    <s v="14"/>
    <s v="16 fős egyenes kiesés"/>
    <s v="7-8"/>
    <s v="Pista Nóra"/>
    <x v="12"/>
    <s v="HUN"/>
    <n v="0"/>
    <s v="nem volt nyertes mérkőzése"/>
    <s v="Gyöngyös"/>
    <d v="2026-03-07T00:00:00"/>
    <s v="Pista Nóra - Bendiák Dojo"/>
    <x v="0"/>
    <s v="Bendiák Dojo"/>
    <x v="1"/>
    <s v="gyerek"/>
  </r>
  <r>
    <x v="2"/>
    <n v="2"/>
    <n v="365"/>
    <x v="1"/>
    <s v="Kata, -, 0-100 kg, Gyerek 2. (11-12"/>
    <s v="Kata, gyerek 2. lány"/>
    <s v="14"/>
    <s v="16 fős egyenes kiesés"/>
    <s v="9"/>
    <s v="Varga Zoé"/>
    <x v="46"/>
    <s v="HUN"/>
    <n v="0"/>
    <m/>
    <s v="Gyöngyös"/>
    <d v="2026-03-07T00:00:00"/>
    <s v="Varga Zoé - Kemecse SE"/>
    <x v="0"/>
    <s v="Kemecse SE"/>
    <x v="1"/>
    <s v="gyerek"/>
  </r>
  <r>
    <x v="2"/>
    <n v="2"/>
    <n v="366"/>
    <x v="1"/>
    <s v="Kata, -, 0-100 kg, Gyerek 2. (11-12"/>
    <s v="Kata, gyerek 2. lány"/>
    <s v="14"/>
    <s v="16 fős egyenes kiesés"/>
    <s v="10"/>
    <s v="Fürjesi Eszter"/>
    <x v="3"/>
    <s v="HUN"/>
    <n v="0"/>
    <m/>
    <s v="Gyöngyös"/>
    <d v="2026-03-07T00:00:00"/>
    <s v="Fürjesi Eszter - Shogun"/>
    <x v="0"/>
    <s v="Shogun"/>
    <x v="1"/>
    <s v="gyerek"/>
  </r>
  <r>
    <x v="2"/>
    <n v="2"/>
    <n v="367"/>
    <x v="1"/>
    <s v="Kata, -, 0-100 kg, Gyerek 2. (11-12"/>
    <s v="Kata, gyerek 2. lány"/>
    <s v="14"/>
    <s v="16 fős egyenes kiesés"/>
    <s v="11-16"/>
    <s v="Sárközi Nóra"/>
    <x v="3"/>
    <s v="HUN"/>
    <n v="0"/>
    <m/>
    <s v="Gyöngyös"/>
    <d v="2026-03-07T00:00:00"/>
    <s v="Sárközi Nóra - Shogun"/>
    <x v="0"/>
    <s v="Shogun"/>
    <x v="1"/>
    <s v="gyerek"/>
  </r>
  <r>
    <x v="2"/>
    <n v="2"/>
    <n v="368"/>
    <x v="1"/>
    <s v="Kata, -, 0-100 kg, Gyerek 2. (11-12"/>
    <s v="Kata, gyerek 2. lány"/>
    <s v="14"/>
    <s v="16 fős egyenes kiesés"/>
    <s v="11-16"/>
    <s v="Kigó Boróka"/>
    <x v="0"/>
    <s v="HUN"/>
    <n v="0"/>
    <m/>
    <s v="Gyöngyös"/>
    <d v="2026-03-07T00:00:00"/>
    <s v="Kigó Boróka - Victory"/>
    <x v="0"/>
    <s v="Victory"/>
    <x v="1"/>
    <s v="gyerek"/>
  </r>
  <r>
    <x v="2"/>
    <n v="2"/>
    <n v="369"/>
    <x v="1"/>
    <s v="Kata, -, 0-100 kg, Gyerek 2. (11-12"/>
    <s v="Kata, gyerek 2. lány"/>
    <s v="14"/>
    <s v="16 fős egyenes kiesés"/>
    <s v="11-16"/>
    <s v="Szabó Lilla"/>
    <x v="53"/>
    <s v="HUN"/>
    <n v="0"/>
    <m/>
    <s v="Gyöngyös"/>
    <d v="2026-03-07T00:00:00"/>
    <s v="Szabó Lilla - ShinzóDojo"/>
    <x v="0"/>
    <s v="ShinzóDojo"/>
    <x v="1"/>
    <s v="gyerek"/>
  </r>
  <r>
    <x v="2"/>
    <n v="2"/>
    <n v="370"/>
    <x v="1"/>
    <s v="Kata, -, 0-100 kg, Gyerek 2. (11-12"/>
    <s v="Kata, gyerek 2. lány"/>
    <s v="14"/>
    <s v="16 fős egyenes kiesés"/>
    <s v="11-16"/>
    <s v="Dászkál Dorottya"/>
    <x v="3"/>
    <s v="HUN"/>
    <n v="0"/>
    <m/>
    <s v="Gyöngyös"/>
    <d v="2026-03-07T00:00:00"/>
    <s v="Dászkál Dorottya - Shogun"/>
    <x v="0"/>
    <s v="Shogun"/>
    <x v="1"/>
    <s v="gyerek"/>
  </r>
  <r>
    <x v="2"/>
    <n v="2"/>
    <n v="371"/>
    <x v="0"/>
    <s v="Kumite, -, 0-40 kg, Serdülő (13-14"/>
    <s v="Kumite, serdülő fiú 40 kg"/>
    <s v="5"/>
    <s v="5 fős körmérkőzés"/>
    <s v="1"/>
    <s v="Veress Dávid"/>
    <x v="7"/>
    <s v="HUN"/>
    <n v="8"/>
    <m/>
    <s v="Gyöngyös"/>
    <d v="2026-03-07T00:00:00"/>
    <s v="Veress Dávid - KHSE"/>
    <x v="0"/>
    <s v="KHSE"/>
    <x v="1"/>
    <s v="serdülő"/>
  </r>
  <r>
    <x v="2"/>
    <n v="2"/>
    <n v="372"/>
    <x v="0"/>
    <s v="Kumite, -, 0-40 kg, Serdülő (13-14"/>
    <s v="Kumite, serdülő fiú 40 kg"/>
    <s v="5"/>
    <s v="5 fős körmérkőzés"/>
    <s v="2"/>
    <s v="Melczner Márk"/>
    <x v="0"/>
    <s v="HUN"/>
    <n v="6"/>
    <m/>
    <s v="Gyöngyös"/>
    <d v="2026-03-07T00:00:00"/>
    <s v="Melczner Márk - Victory"/>
    <x v="0"/>
    <s v="Victory"/>
    <x v="1"/>
    <s v="serdülő"/>
  </r>
  <r>
    <x v="2"/>
    <n v="2"/>
    <n v="373"/>
    <x v="0"/>
    <s v="Kumite, -, 0-40 kg, Serdülő (13-14"/>
    <s v="Kumite, serdülő fiú 40 kg"/>
    <s v="5"/>
    <s v="5 fős körmérkőzés"/>
    <s v="3"/>
    <s v="Kis Ádám Zsolt"/>
    <x v="47"/>
    <s v="HUN"/>
    <n v="4"/>
    <m/>
    <s v="Gyöngyös"/>
    <d v="2026-03-07T00:00:00"/>
    <s v="Kis Ádám Zsolt - KYO Fighter SE"/>
    <x v="0"/>
    <s v="KYO Fighter SE"/>
    <x v="1"/>
    <s v="serdülő"/>
  </r>
  <r>
    <x v="2"/>
    <n v="2"/>
    <n v="373"/>
    <x v="0"/>
    <s v="Kumite, -, 0-40 kg, Serdülő (13-14"/>
    <s v="Kumite, serdülő fiú 40 kg"/>
    <s v="5"/>
    <s v="5 fős körmérkőzés"/>
    <n v="4"/>
    <s v="Andrési Balázs"/>
    <x v="7"/>
    <s v="HUN"/>
    <n v="3"/>
    <m/>
    <s v="Gyöngyös"/>
    <d v="2026-03-07T00:00:00"/>
    <s v="Andrési Balázs - KHSE"/>
    <x v="0"/>
    <s v="KHSE"/>
    <x v="1"/>
    <s v="serdülő"/>
  </r>
  <r>
    <x v="2"/>
    <n v="2"/>
    <n v="374"/>
    <x v="0"/>
    <s v="Kumite, -, 40-45 kg, Serdülő (13-14"/>
    <s v="Kumite, serdülő fiú 45 kg"/>
    <s v="4"/>
    <s v="4 fős körmérkőzés"/>
    <s v="1"/>
    <s v="Békési Nándor István"/>
    <x v="3"/>
    <s v="HUN"/>
    <n v="6"/>
    <m/>
    <s v="Gyöngyös"/>
    <d v="2026-03-07T00:00:00"/>
    <s v="Békési Nándor István - Shogun"/>
    <x v="0"/>
    <s v="Shogun"/>
    <x v="1"/>
    <s v="serdülő"/>
  </r>
  <r>
    <x v="2"/>
    <n v="2"/>
    <n v="375"/>
    <x v="0"/>
    <s v="Kumite, -, 40-45 kg, Serdülő (13-14"/>
    <s v="Kumite, serdülő fiú 45 kg"/>
    <s v="4"/>
    <s v="4 fős körmérkőzés"/>
    <s v="2"/>
    <s v="Takács Sárkány Balázs"/>
    <x v="7"/>
    <s v="HUN"/>
    <n v="5"/>
    <m/>
    <s v="Gyöngyös"/>
    <d v="2026-03-07T00:00:00"/>
    <s v="Takács Sárkány Balázs - KHSE"/>
    <x v="0"/>
    <s v="KHSE"/>
    <x v="1"/>
    <s v="serdülő"/>
  </r>
  <r>
    <x v="2"/>
    <n v="2"/>
    <n v="376"/>
    <x v="0"/>
    <s v="Kumite, -, 40-45 kg, Serdülő (13-14"/>
    <s v="Kumite, serdülő fiú 45 kg"/>
    <s v="4"/>
    <s v="4 fős körmérkőzés"/>
    <s v="3"/>
    <s v="Kurucz Tamás Timuzsin"/>
    <x v="3"/>
    <s v="HUN"/>
    <n v="3"/>
    <m/>
    <s v="Gyöngyös"/>
    <d v="2026-03-07T00:00:00"/>
    <s v="Kurucz Tamás Timuzsin - Shogun"/>
    <x v="0"/>
    <s v="Shogun"/>
    <x v="1"/>
    <s v="serdülő"/>
  </r>
  <r>
    <x v="2"/>
    <n v="2"/>
    <n v="377"/>
    <x v="0"/>
    <s v="Kumite, -, 45-50 kg, Serdülő (13-14"/>
    <s v="Kumite, serdülő fiú 50 kg"/>
    <s v="4"/>
    <s v="4 fős körmérkőzés"/>
    <s v="1"/>
    <s v="Pista Áron"/>
    <x v="12"/>
    <s v="HUN"/>
    <n v="6"/>
    <m/>
    <s v="Gyöngyös"/>
    <d v="2026-03-07T00:00:00"/>
    <s v="Pista Áron - Bendiák Dojo"/>
    <x v="0"/>
    <s v="Bendiák Dojo"/>
    <x v="1"/>
    <s v="serdülő"/>
  </r>
  <r>
    <x v="2"/>
    <n v="2"/>
    <n v="378"/>
    <x v="0"/>
    <s v="Kumite, -, 45-50 kg, Serdülő (13-14"/>
    <s v="Kumite, serdülő fiú 50 kg"/>
    <s v="4"/>
    <s v="4 fős körmérkőzés"/>
    <s v="2"/>
    <s v="Remenyik Dániel"/>
    <x v="3"/>
    <s v="HUN"/>
    <n v="5"/>
    <m/>
    <s v="Gyöngyös"/>
    <d v="2026-03-07T00:00:00"/>
    <s v="Remenyik Dániel - Shogun"/>
    <x v="0"/>
    <s v="Shogun"/>
    <x v="1"/>
    <s v="serdülő"/>
  </r>
  <r>
    <x v="2"/>
    <n v="2"/>
    <n v="379"/>
    <x v="0"/>
    <s v="Kumite, -, 45-50 kg, Serdülő (13-14"/>
    <s v="Kumite, serdülő fiú 50 kg"/>
    <s v="4"/>
    <s v="4 fős körmérkőzés"/>
    <s v="3"/>
    <s v="Turcsán Barnabás"/>
    <x v="54"/>
    <s v="HUN"/>
    <n v="3"/>
    <m/>
    <s v="Gyöngyös"/>
    <d v="2026-03-07T00:00:00"/>
    <s v="Turcsán Barnabás - Borza Dojo"/>
    <x v="1"/>
    <s v="Borza Dojo"/>
    <x v="1"/>
    <s v="serdülő"/>
  </r>
  <r>
    <x v="2"/>
    <n v="2"/>
    <n v="379"/>
    <x v="0"/>
    <s v="Kumite, -, 45-50 kg, Serdülő (13-14"/>
    <s v="Kumite, serdülő fiú 50 kg"/>
    <s v="4"/>
    <s v="4 fős körmérkőzés"/>
    <n v="4"/>
    <s v="Szymon Fraczek"/>
    <x v="18"/>
    <s v="HUN"/>
    <n v="2"/>
    <s v="volt nyertes mérkőzése"/>
    <s v="Gyöngyös"/>
    <d v="2026-03-07T00:00:00"/>
    <s v="Szymon Fraczek - Bátor KSE"/>
    <x v="0"/>
    <s v="Bátor KSE"/>
    <x v="1"/>
    <s v="serdülő"/>
  </r>
  <r>
    <x v="2"/>
    <n v="2"/>
    <n v="380"/>
    <x v="0"/>
    <s v="Kumite, -, 50-60 kg, Serdülő (13-14"/>
    <s v="Kumite, serdülő fiú 60 kg"/>
    <s v="4"/>
    <s v="4 fős körmérkőzés"/>
    <s v="1"/>
    <s v="Sádt Zétény"/>
    <x v="49"/>
    <s v="HUN"/>
    <n v="6"/>
    <m/>
    <s v="Gyöngyös"/>
    <d v="2026-03-07T00:00:00"/>
    <s v="Sádt Zétény - Buke Reikon HRSE"/>
    <x v="0"/>
    <s v="Buke Reikon HRSE"/>
    <x v="1"/>
    <s v="serdülő"/>
  </r>
  <r>
    <x v="2"/>
    <n v="2"/>
    <n v="381"/>
    <x v="0"/>
    <s v="Kumite, -, 50-60 kg, Serdülő (13-14"/>
    <s v="Kumite, serdülő fiú 60 kg"/>
    <s v="4"/>
    <s v="4 fős körmérkőzés"/>
    <s v="2"/>
    <s v="Tángyes Ricardo"/>
    <x v="2"/>
    <s v="HUN"/>
    <n v="5"/>
    <m/>
    <s v="Gyöngyös"/>
    <d v="2026-03-07T00:00:00"/>
    <s v="Tángyes Ricardo - Kisvárda KKDOSC"/>
    <x v="0"/>
    <s v="Kisvárda KKDOSC"/>
    <x v="1"/>
    <s v="serdülő"/>
  </r>
  <r>
    <x v="2"/>
    <n v="2"/>
    <n v="382"/>
    <x v="0"/>
    <s v="Kumite, -, 50-60 kg, Serdülő (13-14"/>
    <s v="Kumite, serdülő fiú 60 kg"/>
    <s v="4"/>
    <s v="4 fős körmérkőzés"/>
    <s v="3"/>
    <s v="Szutor Levente"/>
    <x v="3"/>
    <s v="HUN"/>
    <n v="3"/>
    <m/>
    <s v="Gyöngyös"/>
    <d v="2026-03-07T00:00:00"/>
    <s v="Szutor Levente - Shogun"/>
    <x v="0"/>
    <s v="Shogun"/>
    <x v="1"/>
    <s v="serdülő"/>
  </r>
  <r>
    <x v="2"/>
    <n v="2"/>
    <n v="383"/>
    <x v="0"/>
    <s v="Kumite, -, 70-999 kg, Serdülő (13-14"/>
    <s v="Kumite, serdülő fiú +70 kg"/>
    <s v="4"/>
    <s v="4 fős körmérkőzés"/>
    <s v="1"/>
    <s v="Elek János"/>
    <x v="7"/>
    <s v="HUN"/>
    <n v="6"/>
    <m/>
    <s v="Gyöngyös"/>
    <d v="2026-03-07T00:00:00"/>
    <s v="Elek János - KHSE"/>
    <x v="0"/>
    <s v="KHSE"/>
    <x v="1"/>
    <s v="serdülő"/>
  </r>
  <r>
    <x v="2"/>
    <n v="2"/>
    <n v="384"/>
    <x v="0"/>
    <s v="Kumite, -, 70-999 kg, Serdülő (13-14"/>
    <s v="Kumite, serdülő fiú +70 kg"/>
    <s v="4"/>
    <s v="4 fős körmérkőzés"/>
    <s v="2"/>
    <s v="Riczu Bendegúz"/>
    <x v="14"/>
    <s v="HUN"/>
    <n v="5"/>
    <m/>
    <s v="Gyöngyös"/>
    <d v="2026-03-07T00:00:00"/>
    <s v="Riczu Bendegúz - Nozomu Dojo"/>
    <x v="0"/>
    <s v="Nozomu Dojo"/>
    <x v="1"/>
    <s v="serdülő"/>
  </r>
  <r>
    <x v="2"/>
    <n v="2"/>
    <n v="385"/>
    <x v="0"/>
    <s v="Kumite, -, 70-999 kg, Serdülő (13-14"/>
    <s v="Kumite, serdülő fiú +70 kg"/>
    <s v="4"/>
    <s v="4 fős körmérkőzés"/>
    <s v="3"/>
    <s v="Virág Marcell Máté"/>
    <x v="7"/>
    <s v="HUN"/>
    <n v="3"/>
    <m/>
    <s v="Gyöngyös"/>
    <d v="2026-03-07T00:00:00"/>
    <s v="Virág Marcell Máté - KHSE"/>
    <x v="0"/>
    <s v="KHSE"/>
    <x v="1"/>
    <s v="serdülő"/>
  </r>
  <r>
    <x v="2"/>
    <n v="2"/>
    <n v="386"/>
    <x v="0"/>
    <s v="Kumite, -, 60-70 kg, Serdülő (13-14"/>
    <s v="Kumite, serdülő fiú 70 kg"/>
    <s v="4"/>
    <s v="4 fős körmérkőzés"/>
    <s v="1"/>
    <s v="Száraz Zsombor"/>
    <x v="51"/>
    <s v="HUN"/>
    <n v="6"/>
    <m/>
    <s v="Gyöngyös"/>
    <d v="2026-03-07T00:00:00"/>
    <s v="Száraz Zsombor - Derecske BUDO"/>
    <x v="0"/>
    <s v="Derecske BUDO"/>
    <x v="1"/>
    <s v="serdülő"/>
  </r>
  <r>
    <x v="2"/>
    <n v="2"/>
    <n v="387"/>
    <x v="0"/>
    <s v="Kumite, -, 60-70 kg, Serdülő (13-14"/>
    <s v="Kumite, serdülő fiú 70 kg"/>
    <s v="4"/>
    <s v="4 fős körmérkőzés"/>
    <s v="2"/>
    <s v="Kovács Máté Noel"/>
    <x v="18"/>
    <s v="HUN"/>
    <n v="5"/>
    <s v="körbeverés "/>
    <s v="Gyöngyös"/>
    <d v="2026-03-07T00:00:00"/>
    <s v="Kovács Máté Noel - Bátor KSE"/>
    <x v="0"/>
    <s v="Bátor KSE"/>
    <x v="1"/>
    <s v="serdülő"/>
  </r>
  <r>
    <x v="2"/>
    <n v="2"/>
    <n v="388"/>
    <x v="0"/>
    <s v="Kumite, -, 60-70 kg, Serdülő (13-14"/>
    <s v="Kumite, serdülő fiú 70 kg"/>
    <s v="4"/>
    <s v="4 fős körmérkőzés"/>
    <s v="2"/>
    <s v="Tokaji Bocsárd Norbert"/>
    <x v="7"/>
    <s v="HUN"/>
    <n v="5"/>
    <s v="körbeverés "/>
    <s v="Gyöngyös"/>
    <d v="2026-03-07T00:00:00"/>
    <s v="Tokaji Bocsárd Norbert - KHSE"/>
    <x v="0"/>
    <s v="KHSE"/>
    <x v="1"/>
    <s v="serdülő"/>
  </r>
  <r>
    <x v="2"/>
    <n v="2"/>
    <n v="389"/>
    <x v="0"/>
    <s v="Kumite, -, 60-70 kg, Serdülő (13-14"/>
    <s v="Kumite, serdülő fiú 70 kg"/>
    <s v="4"/>
    <s v="4 fős körmérkőzés"/>
    <s v="3"/>
    <s v="Farkas Álmos"/>
    <x v="47"/>
    <s v="HUN"/>
    <n v="3"/>
    <s v="körbeverés "/>
    <s v="Gyöngyös"/>
    <d v="2026-03-07T00:00:00"/>
    <s v="Farkas Álmos - KYO Fighter SE"/>
    <x v="0"/>
    <s v="KYO Fighter SE"/>
    <x v="1"/>
    <s v="serdülő"/>
  </r>
  <r>
    <x v="2"/>
    <n v="2"/>
    <n v="390"/>
    <x v="1"/>
    <s v="Kata, -, 0-150 kg, Serdülő (13-14"/>
    <s v="Kata, serdülő fiú"/>
    <s v="11"/>
    <s v="16 fős egyenes kiesés"/>
    <s v="1"/>
    <s v="Remenyik Dániel"/>
    <x v="3"/>
    <s v="HUN"/>
    <n v="6"/>
    <m/>
    <s v="Gyöngyös"/>
    <d v="2026-03-07T00:00:00"/>
    <s v="Remenyik Dániel - Shogun"/>
    <x v="0"/>
    <s v="Shogun"/>
    <x v="1"/>
    <s v="serdülő"/>
  </r>
  <r>
    <x v="2"/>
    <n v="2"/>
    <n v="391"/>
    <x v="1"/>
    <s v="Kata, -, 0-150 kg, Serdülő (13-14"/>
    <s v="Kata, serdülő fiú"/>
    <s v="11"/>
    <s v="16 fős egyenes kiesés"/>
    <s v="2"/>
    <s v="Kis Ádám Zsolt"/>
    <x v="47"/>
    <s v="HUN"/>
    <n v="5"/>
    <m/>
    <s v="Gyöngyös"/>
    <d v="2026-03-07T00:00:00"/>
    <s v="Kis Ádám Zsolt - KYO Fighter SE"/>
    <x v="0"/>
    <s v="KYO Fighter SE"/>
    <x v="1"/>
    <s v="serdülő"/>
  </r>
  <r>
    <x v="2"/>
    <n v="2"/>
    <n v="392"/>
    <x v="1"/>
    <s v="Kata, -, 0-150 kg, Serdülő (13-14"/>
    <s v="Kata, serdülő fiú"/>
    <s v="11"/>
    <s v="16 fős egyenes kiesés"/>
    <s v="3"/>
    <s v="Turcsán Barnabás"/>
    <x v="54"/>
    <s v="HUN"/>
    <n v="3"/>
    <m/>
    <s v="Gyöngyös"/>
    <d v="2026-03-07T00:00:00"/>
    <s v="Turcsán Barnabás - Borza Dojo"/>
    <x v="1"/>
    <s v="Borza Dojo"/>
    <x v="1"/>
    <s v="serdülő"/>
  </r>
  <r>
    <x v="2"/>
    <n v="2"/>
    <n v="393"/>
    <x v="1"/>
    <s v="Kata, -, 0-150 kg, Serdülő (13-14"/>
    <s v="Kata, serdülő fiú"/>
    <s v="11"/>
    <s v="16 fős egyenes kiesés"/>
    <s v="3"/>
    <s v="Avramov Dávid"/>
    <x v="5"/>
    <s v="HUN"/>
    <n v="3"/>
    <m/>
    <s v="Gyöngyös"/>
    <d v="2026-03-07T00:00:00"/>
    <s v="Avramov Dávid - TADASHII "/>
    <x v="1"/>
    <s v="TADASHII "/>
    <x v="1"/>
    <s v="serdülő"/>
  </r>
  <r>
    <x v="2"/>
    <n v="2"/>
    <n v="394"/>
    <x v="1"/>
    <s v="Kata, -, 0-150 kg, Serdülő (13-14"/>
    <s v="Kata, serdülő fiú"/>
    <s v="11"/>
    <s v="16 fős egyenes kiesés"/>
    <s v="5"/>
    <s v="Székely Lázár"/>
    <x v="47"/>
    <s v="HUN"/>
    <n v="1"/>
    <m/>
    <s v="Gyöngyös"/>
    <d v="2026-03-07T00:00:00"/>
    <s v="Székely Lázár - KYO Fighter SE"/>
    <x v="0"/>
    <s v="KYO Fighter SE"/>
    <x v="1"/>
    <s v="serdülő"/>
  </r>
  <r>
    <x v="2"/>
    <n v="2"/>
    <n v="395"/>
    <x v="1"/>
    <s v="Kata, -, 0-150 kg, Serdülő (13-14"/>
    <s v="Kata, serdülő fiú"/>
    <s v="11"/>
    <s v="16 fős egyenes kiesés"/>
    <s v="6"/>
    <s v="Berényi Bence"/>
    <x v="3"/>
    <s v="HUN"/>
    <n v="0"/>
    <s v="nem volt nyertes mérkőzése"/>
    <s v="Gyöngyös"/>
    <d v="2026-03-07T00:00:00"/>
    <s v="Berényi Bence - Shogun"/>
    <x v="0"/>
    <s v="Shogun"/>
    <x v="1"/>
    <s v="serdülő"/>
  </r>
  <r>
    <x v="2"/>
    <n v="2"/>
    <n v="396"/>
    <x v="1"/>
    <s v="Kata, -, 0-150 kg, Serdülő (13-14"/>
    <s v="Kata, serdülő fiú"/>
    <s v="11"/>
    <s v="16 fős egyenes kiesés"/>
    <s v="7-8"/>
    <s v="Kurucz Tamás Timuzsin"/>
    <x v="3"/>
    <s v="HUN"/>
    <n v="0"/>
    <s v="nem volt nyertes mérkőzése"/>
    <s v="Gyöngyös"/>
    <d v="2026-03-07T00:00:00"/>
    <s v="Kurucz Tamás Timuzsin - Shogun"/>
    <x v="0"/>
    <s v="Shogun"/>
    <x v="1"/>
    <s v="serdülő"/>
  </r>
  <r>
    <x v="2"/>
    <n v="2"/>
    <n v="397"/>
    <x v="1"/>
    <s v="Kata, -, 0-150 kg, Serdülő (13-14"/>
    <s v="Kata, serdülő fiú"/>
    <s v="11"/>
    <s v="16 fős egyenes kiesés"/>
    <s v="7-8"/>
    <s v="Maklaga Norbert"/>
    <x v="21"/>
    <s v="HUN"/>
    <n v="0"/>
    <s v="nem volt nyertes mérkőzése"/>
    <s v="Gyöngyös"/>
    <d v="2026-03-07T00:00:00"/>
    <s v="Maklaga Norbert - Kagami"/>
    <x v="0"/>
    <s v="Kagami"/>
    <x v="1"/>
    <s v="serdülő"/>
  </r>
  <r>
    <x v="2"/>
    <n v="2"/>
    <n v="398"/>
    <x v="1"/>
    <s v="Kata, -, 0-150 kg, Serdülő (13-14"/>
    <s v="Kata, serdülő fiú"/>
    <s v="11"/>
    <s v="16 fős egyenes kiesés"/>
    <s v="10"/>
    <s v="Patai Dávid"/>
    <x v="53"/>
    <s v="HUN"/>
    <n v="0"/>
    <m/>
    <s v="Gyöngyös"/>
    <d v="2026-03-07T00:00:00"/>
    <s v="Patai Dávid - ShinzóDojo"/>
    <x v="0"/>
    <s v="ShinzóDojo"/>
    <x v="1"/>
    <s v="serdülő"/>
  </r>
  <r>
    <x v="2"/>
    <n v="2"/>
    <n v="399"/>
    <x v="1"/>
    <s v="Kata, -, 0-150 kg, Serdülő (13-14"/>
    <s v="Kata, serdülő fiú"/>
    <s v="11"/>
    <s v="16 fős egyenes kiesés"/>
    <s v="11-16"/>
    <s v="Botlik Tibor"/>
    <x v="10"/>
    <s v="HUN"/>
    <n v="0"/>
    <m/>
    <s v="Gyöngyös"/>
    <d v="2026-03-07T00:00:00"/>
    <s v="Botlik Tibor - Nintai KKSE"/>
    <x v="1"/>
    <s v="Nintai KKSE"/>
    <x v="1"/>
    <s v="serdülő"/>
  </r>
  <r>
    <x v="2"/>
    <n v="2"/>
    <n v="400"/>
    <x v="1"/>
    <s v="Kata, -, 0-150 kg, Serdülő (13-14"/>
    <s v="Kata, serdülő fiú"/>
    <s v="11"/>
    <s v="16 fős egyenes kiesés"/>
    <s v="11-16"/>
    <s v="Kovács Mihály Ágoston"/>
    <x v="54"/>
    <s v="HUN"/>
    <n v="0"/>
    <m/>
    <s v="Gyöngyös"/>
    <d v="2026-03-07T00:00:00"/>
    <s v="Kovács Mihály Ágoston - Borza Dojo"/>
    <x v="1"/>
    <s v="Borza Dojo"/>
    <x v="1"/>
    <s v="serdülő"/>
  </r>
  <r>
    <x v="2"/>
    <n v="2"/>
    <n v="401"/>
    <x v="0"/>
    <s v="Kumite, -, 45-55 kg, Serdülő (13-14"/>
    <s v="Kumite, serdülő lány 55 kg"/>
    <s v="6"/>
    <s v="6 fős vegyes"/>
    <s v="1"/>
    <s v="Sóskuti Lili"/>
    <x v="50"/>
    <s v="HUN"/>
    <n v="6"/>
    <m/>
    <s v="Gyöngyös"/>
    <d v="2026-03-07T00:00:00"/>
    <s v="Sóskuti Lili - Keizoku SE"/>
    <x v="0"/>
    <s v="Keizoku SE"/>
    <x v="1"/>
    <s v="serdülő"/>
  </r>
  <r>
    <x v="2"/>
    <n v="2"/>
    <n v="402"/>
    <x v="0"/>
    <s v="Kumite, -, 45-55 kg, Serdülő (13-14"/>
    <s v="Kumite, serdülő lány 55 kg"/>
    <s v="6"/>
    <s v="6 fős vegyes"/>
    <s v="2"/>
    <s v="Galyas Edit"/>
    <x v="55"/>
    <s v="HUN"/>
    <n v="5"/>
    <m/>
    <s v="Gyöngyös"/>
    <d v="2026-03-07T00:00:00"/>
    <s v="Galyas Edit - Nyíradonyi KKE"/>
    <x v="0"/>
    <s v="Nyíradonyi KKE"/>
    <x v="1"/>
    <s v="serdülő"/>
  </r>
  <r>
    <x v="2"/>
    <n v="2"/>
    <n v="403"/>
    <x v="0"/>
    <s v="Kumite, -, 45-55 kg, Serdülő (13-14"/>
    <s v="Kumite, serdülő lány 55 kg"/>
    <s v="6"/>
    <s v="6 fős vegyes"/>
    <s v="3"/>
    <s v="Gonda Lea"/>
    <x v="45"/>
    <s v="HUN"/>
    <n v="3"/>
    <m/>
    <s v="Gyöngyös"/>
    <d v="2026-03-07T00:00:00"/>
    <s v="Gonda Lea - Kelemen-Team"/>
    <x v="0"/>
    <s v="Kelemen-Team"/>
    <x v="1"/>
    <s v="serdülő"/>
  </r>
  <r>
    <x v="2"/>
    <n v="2"/>
    <n v="404"/>
    <x v="0"/>
    <s v="Kumite, -, 55-65 kg, Serdülő (13-14"/>
    <s v="Kumite, serdülő lány 65 kg"/>
    <s v="2"/>
    <s v="2 fős egyenes kiesés"/>
    <s v="1"/>
    <s v="Nándori Emma"/>
    <x v="46"/>
    <s v="HUN"/>
    <n v="3"/>
    <m/>
    <s v="Gyöngyös"/>
    <d v="2026-03-07T00:00:00"/>
    <s v="Nándori Emma - Kemecse SE"/>
    <x v="0"/>
    <s v="Kemecse SE"/>
    <x v="1"/>
    <s v="serdülő"/>
  </r>
  <r>
    <x v="2"/>
    <n v="2"/>
    <n v="405"/>
    <x v="0"/>
    <s v="Kumite, -, 55-65 kg, Serdülő (13-14"/>
    <s v="Kumite, serdülő lány 65 kg"/>
    <s v="2"/>
    <s v="2 fős egyenes kiesés"/>
    <s v="2"/>
    <s v="Szabó Zsófi"/>
    <x v="53"/>
    <s v="HUN"/>
    <n v="0"/>
    <m/>
    <s v="Gyöngyös"/>
    <d v="2026-03-07T00:00:00"/>
    <s v="Szabó Zsófi - ShinzóDojo"/>
    <x v="0"/>
    <s v="ShinzóDojo"/>
    <x v="1"/>
    <s v="serdülő"/>
  </r>
  <r>
    <x v="2"/>
    <n v="2"/>
    <n v="406"/>
    <x v="0"/>
    <s v="Kumite, -, 40-45 kg, Serdülő (13-14"/>
    <s v="Kumite, serdülő lány 45 kg"/>
    <s v="4"/>
    <s v="4 fős körmérkőzés"/>
    <s v="1"/>
    <s v="Csató Réka"/>
    <x v="50"/>
    <s v="HUN"/>
    <n v="6"/>
    <m/>
    <s v="Gyöngyös"/>
    <d v="2026-03-07T00:00:00"/>
    <s v="Csató Réka - Keizoku SE"/>
    <x v="0"/>
    <s v="Keizoku SE"/>
    <x v="1"/>
    <s v="serdülő"/>
  </r>
  <r>
    <x v="2"/>
    <n v="2"/>
    <n v="407"/>
    <x v="0"/>
    <s v="Kumite, -, 40-45 kg, Serdülő (13-14"/>
    <s v="Kumite, serdülő lány 45 kg"/>
    <s v="4"/>
    <s v="4 fős körmérkőzés"/>
    <s v="2"/>
    <s v="Koszorus Brigitta"/>
    <x v="52"/>
    <s v="HUN"/>
    <n v="5"/>
    <m/>
    <s v="Gyöngyös"/>
    <d v="2026-03-07T00:00:00"/>
    <s v="Koszorus Brigitta - SONGOKU SE"/>
    <x v="0"/>
    <s v="SONGOKU SE"/>
    <x v="1"/>
    <s v="serdülő"/>
  </r>
  <r>
    <x v="2"/>
    <n v="2"/>
    <n v="408"/>
    <x v="0"/>
    <s v="Kumite, -, 40-45 kg, Serdülő (13-14"/>
    <s v="Kumite, serdülő lány 45 kg"/>
    <s v="4"/>
    <s v="4 fős körmérkőzés"/>
    <s v="3"/>
    <s v="Almási Petra"/>
    <x v="7"/>
    <s v="HUN"/>
    <n v="3"/>
    <m/>
    <s v="Gyöngyös"/>
    <d v="2026-03-07T00:00:00"/>
    <s v="Almási Petra - KHSE"/>
    <x v="0"/>
    <s v="KHSE"/>
    <x v="1"/>
    <s v="serdülő"/>
  </r>
  <r>
    <x v="2"/>
    <n v="2"/>
    <n v="409"/>
    <x v="1"/>
    <s v="Kata, -, 0-150 kg, Serdülő (13-14"/>
    <s v="Kata, serdülő lány"/>
    <s v="7"/>
    <s v="8 fős egyenes kiesés"/>
    <s v="1"/>
    <s v="Szabó Zsófi"/>
    <x v="53"/>
    <s v="HUN"/>
    <n v="5"/>
    <m/>
    <s v="Gyöngyös"/>
    <d v="2026-03-07T00:00:00"/>
    <s v="Szabó Zsófi - ShinzóDojo"/>
    <x v="0"/>
    <s v="ShinzóDojo"/>
    <x v="1"/>
    <s v="serdülő"/>
  </r>
  <r>
    <x v="2"/>
    <n v="2"/>
    <n v="410"/>
    <x v="1"/>
    <s v="Kata, -, 0-150 kg, Serdülő (13-14"/>
    <s v="Kata, serdülő lány"/>
    <s v="7"/>
    <s v="8 fős egyenes kiesés"/>
    <s v="2"/>
    <s v="Nándori Emma"/>
    <x v="46"/>
    <s v="HUN"/>
    <n v="4"/>
    <m/>
    <s v="Gyöngyös"/>
    <d v="2026-03-07T00:00:00"/>
    <s v="Nándori Emma - Kemecse SE"/>
    <x v="0"/>
    <s v="Kemecse SE"/>
    <x v="1"/>
    <s v="serdülő"/>
  </r>
  <r>
    <x v="2"/>
    <n v="2"/>
    <n v="411"/>
    <x v="1"/>
    <s v="Kata, -, 0-150 kg, Serdülő (13-14"/>
    <s v="Kata, serdülő lány"/>
    <s v="7"/>
    <s v="8 fős egyenes kiesés"/>
    <s v="3"/>
    <s v="Kiss Jázmin"/>
    <x v="5"/>
    <s v="HUN"/>
    <n v="2"/>
    <m/>
    <s v="Gyöngyös"/>
    <d v="2026-03-07T00:00:00"/>
    <s v="Kiss Jázmin - TADASHII "/>
    <x v="1"/>
    <s v="TADASHII "/>
    <x v="1"/>
    <s v="serdülő"/>
  </r>
  <r>
    <x v="2"/>
    <n v="2"/>
    <n v="412"/>
    <x v="1"/>
    <s v="Kata, -, 0-150 kg, Serdülő (13-14"/>
    <s v="Kata, serdülő lány"/>
    <s v="7"/>
    <s v="8 fős egyenes kiesés"/>
    <s v="3"/>
    <s v="Novák Noémi"/>
    <x v="12"/>
    <s v="HUN"/>
    <n v="2"/>
    <m/>
    <s v="Gyöngyös"/>
    <d v="2026-03-07T00:00:00"/>
    <s v="Novák Noémi - Bendiák Dojo"/>
    <x v="0"/>
    <s v="Bendiák Dojo"/>
    <x v="1"/>
    <s v="serdülő"/>
  </r>
  <r>
    <x v="2"/>
    <n v="2"/>
    <n v="413"/>
    <x v="1"/>
    <s v="Kata, -, 0-150 kg, Serdülő (13-14"/>
    <s v="Kata, serdülő lány"/>
    <s v="7"/>
    <s v="8 fős egyenes kiesés"/>
    <s v="5"/>
    <s v="Csató Réka"/>
    <x v="50"/>
    <s v="HUN"/>
    <n v="0"/>
    <m/>
    <s v="Gyöngyös"/>
    <d v="2026-03-07T00:00:00"/>
    <s v="Csató Réka - Keizoku SE"/>
    <x v="0"/>
    <s v="Keizoku SE"/>
    <x v="1"/>
    <s v="serdülő"/>
  </r>
  <r>
    <x v="2"/>
    <n v="2"/>
    <n v="414"/>
    <x v="1"/>
    <s v="Kata, -, 0-150 kg, Serdülő (13-14"/>
    <s v="Kata, serdülő lány"/>
    <s v="7"/>
    <s v="8 fős egyenes kiesés"/>
    <s v="7-8"/>
    <s v="Bakó Panna"/>
    <x v="46"/>
    <s v="HUN"/>
    <n v="0"/>
    <m/>
    <s v="Gyöngyös"/>
    <d v="2026-03-07T00:00:00"/>
    <s v="Bakó Panna - Kemecse SE"/>
    <x v="0"/>
    <s v="Kemecse SE"/>
    <x v="1"/>
    <s v="serdülő"/>
  </r>
  <r>
    <x v="2"/>
    <n v="2"/>
    <n v="415"/>
    <x v="1"/>
    <s v="Kata, -, 0-150 kg, Serdülő (13-14"/>
    <s v="Kata, serdülő lány"/>
    <s v="7"/>
    <s v="8 fős egyenes kiesés"/>
    <s v="7-8"/>
    <s v="Nagy Blanka"/>
    <x v="3"/>
    <s v="HUN"/>
    <n v="0"/>
    <m/>
    <s v="Gyöngyös"/>
    <d v="2026-03-07T00:00:00"/>
    <s v="Nagy Blanka - Shogun"/>
    <x v="0"/>
    <s v="Shogun"/>
    <x v="1"/>
    <s v="serdülő"/>
  </r>
  <r>
    <x v="2"/>
    <n v="2"/>
    <n v="416"/>
    <x v="0"/>
    <s v="Kumite, -, 0-50 kg, Ifjúsági (15-16"/>
    <s v="Kumite, ifjúsági fiú 50 kg"/>
    <s v="6"/>
    <s v="6 fős vegyes"/>
    <s v="1"/>
    <s v="Dorka Zalán"/>
    <x v="7"/>
    <s v="HUN"/>
    <n v="6"/>
    <m/>
    <s v="Gyöngyös"/>
    <d v="2026-03-07T00:00:00"/>
    <s v="Dorka Zalán - KHSE"/>
    <x v="0"/>
    <s v="KHSE"/>
    <x v="1"/>
    <s v="ifjúsági"/>
  </r>
  <r>
    <x v="2"/>
    <n v="2"/>
    <n v="417"/>
    <x v="0"/>
    <s v="Kumite, -, 0-50 kg, Ifjúsági (15-16"/>
    <s v="Kumite, ifjúsági fiú 50 kg"/>
    <s v="6"/>
    <s v="6 fős vegyes"/>
    <s v="2"/>
    <s v="Stoffán Ádám Vilmos"/>
    <x v="0"/>
    <s v="HUN"/>
    <n v="5"/>
    <m/>
    <s v="Gyöngyös"/>
    <d v="2026-03-07T00:00:00"/>
    <s v="Stoffán Ádám Vilmos - Victory"/>
    <x v="0"/>
    <s v="Victory"/>
    <x v="1"/>
    <s v="ifjúsági"/>
  </r>
  <r>
    <x v="2"/>
    <n v="2"/>
    <n v="418"/>
    <x v="0"/>
    <s v="Kumite, -, 0-50 kg, Ifjúsági (15-16"/>
    <s v="Kumite, ifjúsági fiú 50 kg"/>
    <s v="6"/>
    <s v="6 fős vegyes"/>
    <s v="3"/>
    <s v="Zhang Dávid"/>
    <x v="7"/>
    <s v="HUN"/>
    <n v="3"/>
    <m/>
    <s v="Gyöngyös"/>
    <d v="2026-03-07T00:00:00"/>
    <s v="Zhang Dávid - KHSE"/>
    <x v="0"/>
    <s v="KHSE"/>
    <x v="1"/>
    <s v="ifjúsági"/>
  </r>
  <r>
    <x v="2"/>
    <n v="2"/>
    <n v="419"/>
    <x v="0"/>
    <s v="Kumite, -, 50-55 kg, Ifjúsági (15-16"/>
    <s v="Kumite, ifjúsági fiú 55 kg"/>
    <s v="5"/>
    <s v="5 fős körmérkőzés"/>
    <s v="1"/>
    <s v="Berényi Imre Márk"/>
    <x v="3"/>
    <s v="HUN"/>
    <n v="8"/>
    <m/>
    <s v="Gyöngyös"/>
    <d v="2026-03-07T00:00:00"/>
    <s v="Berényi Imre Márk - Shogun"/>
    <x v="0"/>
    <s v="Shogun"/>
    <x v="1"/>
    <s v="ifjúsági"/>
  </r>
  <r>
    <x v="2"/>
    <n v="2"/>
    <n v="420"/>
    <x v="0"/>
    <s v="Kumite, -, 50-55 kg, Ifjúsági (15-16"/>
    <s v="Kumite, ifjúsági fiú 55 kg"/>
    <s v="5"/>
    <s v="5 fős körmérkőzés"/>
    <s v="2"/>
    <s v="Balázs Máté"/>
    <x v="7"/>
    <s v="HUN"/>
    <n v="6"/>
    <m/>
    <s v="Gyöngyös"/>
    <d v="2026-03-07T00:00:00"/>
    <s v="Balázs Máté - KHSE"/>
    <x v="0"/>
    <s v="KHSE"/>
    <x v="1"/>
    <s v="ifjúsági"/>
  </r>
  <r>
    <x v="2"/>
    <n v="2"/>
    <n v="421"/>
    <x v="0"/>
    <s v="Kumite, -, 50-55 kg, Ifjúsági (15-16"/>
    <s v="Kumite, ifjúsági fiú 55 kg"/>
    <s v="5"/>
    <s v="5 fős körmérkőzés"/>
    <s v="3"/>
    <s v="Dániel László"/>
    <x v="45"/>
    <s v="HUN"/>
    <n v="4"/>
    <m/>
    <s v="Gyöngyös"/>
    <d v="2026-03-07T00:00:00"/>
    <s v="Dániel László - Kelemen-Team"/>
    <x v="0"/>
    <s v="Kelemen-Team"/>
    <x v="1"/>
    <s v="ifjúsági"/>
  </r>
  <r>
    <x v="2"/>
    <n v="2"/>
    <n v="421"/>
    <x v="0"/>
    <s v="Kumite, -, 50-55 kg, Ifjúsági (15-16"/>
    <s v="Kumite, ifjúsági fiú 55 kg"/>
    <s v="5"/>
    <s v="5 fős körmérkőzés"/>
    <n v="4"/>
    <s v="Dürgő Máté"/>
    <x v="0"/>
    <s v="HUN"/>
    <n v="3"/>
    <m/>
    <s v="Gyöngyös"/>
    <d v="2026-03-07T00:00:00"/>
    <s v="Dürgő Máté - Victory"/>
    <x v="0"/>
    <s v="Victory"/>
    <x v="1"/>
    <s v="ifjúsági"/>
  </r>
  <r>
    <x v="2"/>
    <n v="2"/>
    <n v="422"/>
    <x v="0"/>
    <s v="Kumite, -, 55-60 kg, Ifjúsági (15-16"/>
    <s v="Kumite, ifjúsági fiú 60 kg"/>
    <s v="4"/>
    <s v="4 fős körmérkőzés"/>
    <s v="1"/>
    <s v="Ménes Milán"/>
    <x v="7"/>
    <s v="HUN"/>
    <n v="6"/>
    <m/>
    <s v="Gyöngyös"/>
    <d v="2026-03-07T00:00:00"/>
    <s v="Ménes Milán - KHSE"/>
    <x v="0"/>
    <s v="KHSE"/>
    <x v="1"/>
    <s v="ifjúsági"/>
  </r>
  <r>
    <x v="2"/>
    <n v="2"/>
    <n v="423"/>
    <x v="0"/>
    <s v="Kumite, -, 55-60 kg, Ifjúsági (15-16"/>
    <s v="Kumite, ifjúsági fiú 60 kg"/>
    <s v="4"/>
    <s v="4 fős körmérkőzés"/>
    <s v="2"/>
    <s v="Banka Boldizsár"/>
    <x v="47"/>
    <s v="HUN"/>
    <n v="5"/>
    <m/>
    <s v="Gyöngyös"/>
    <d v="2026-03-07T00:00:00"/>
    <s v="Banka Boldizsár - KYO Fighter SE"/>
    <x v="0"/>
    <s v="KYO Fighter SE"/>
    <x v="1"/>
    <s v="ifjúsági"/>
  </r>
  <r>
    <x v="2"/>
    <n v="2"/>
    <n v="424"/>
    <x v="0"/>
    <s v="Kumite, -, 55-60 kg, Ifjúsági (15-16"/>
    <s v="Kumite, ifjúsági fiú 60 kg"/>
    <s v="4"/>
    <s v="4 fős körmérkőzés"/>
    <s v="3"/>
    <s v="Bartus Marcell"/>
    <x v="47"/>
    <s v="HUN"/>
    <n v="3"/>
    <m/>
    <s v="Gyöngyös"/>
    <d v="2026-03-07T00:00:00"/>
    <s v="Bartus Marcell - KYO Fighter SE"/>
    <x v="0"/>
    <s v="KYO Fighter SE"/>
    <x v="1"/>
    <s v="ifjúsági"/>
  </r>
  <r>
    <x v="2"/>
    <n v="2"/>
    <n v="425"/>
    <x v="0"/>
    <s v="Kumite, -, 60-65 kg, Ifjúsági (15-16"/>
    <s v="Kumite, ifjúsági fiú 65 kg"/>
    <s v="4"/>
    <s v="4 fős körmérkőzés"/>
    <s v="1"/>
    <s v="Balogh Levente"/>
    <x v="56"/>
    <s v="HUN"/>
    <n v="6"/>
    <m/>
    <s v="Gyöngyös"/>
    <d v="2026-03-07T00:00:00"/>
    <s v="Balogh Levente - Wheelmaker dojo SE"/>
    <x v="1"/>
    <s v="Wheelmaker dojo SE"/>
    <x v="1"/>
    <s v="ifjúsági"/>
  </r>
  <r>
    <x v="2"/>
    <n v="2"/>
    <n v="426"/>
    <x v="0"/>
    <s v="Kumite, -, 60-65 kg, Ifjúsági (15-16"/>
    <s v="Kumite, ifjúsági fiú 65 kg"/>
    <s v="4"/>
    <s v="4 fős körmérkőzés"/>
    <s v="2"/>
    <s v="Tarsoly Norbert"/>
    <x v="10"/>
    <s v="HUN"/>
    <n v="5"/>
    <m/>
    <s v="Gyöngyös"/>
    <d v="2026-03-07T00:00:00"/>
    <s v="Tarsoly Norbert - Nintai KKSE"/>
    <x v="1"/>
    <s v="Nintai KKSE"/>
    <x v="1"/>
    <s v="ifjúsági"/>
  </r>
  <r>
    <x v="2"/>
    <n v="2"/>
    <n v="427"/>
    <x v="0"/>
    <s v="Kumite, -, 60-65 kg, Ifjúsági (15-16"/>
    <s v="Kumite, ifjúsági fiú 65 kg"/>
    <s v="4"/>
    <s v="4 fős körmérkőzés"/>
    <s v="3"/>
    <s v="Tutor Barnabás "/>
    <x v="51"/>
    <s v="HUN"/>
    <n v="3"/>
    <m/>
    <s v="Gyöngyös"/>
    <d v="2026-03-07T00:00:00"/>
    <s v="Tutor Barnabás  - Derecske BUDO"/>
    <x v="0"/>
    <s v="Derecske BUDO"/>
    <x v="1"/>
    <s v="ifjúsági"/>
  </r>
  <r>
    <x v="2"/>
    <n v="2"/>
    <n v="428"/>
    <x v="0"/>
    <s v="Kumite, -, 65-70 kg, Ifjúsági (15-16"/>
    <s v="Kumite, ifjúsági fiú 70 kg"/>
    <s v="3"/>
    <s v="3 fős körmérkőzés"/>
    <s v="1"/>
    <s v="Kurucz Gergő"/>
    <x v="0"/>
    <s v="HUN"/>
    <n v="4"/>
    <m/>
    <s v="Gyöngyös"/>
    <d v="2026-03-07T00:00:00"/>
    <s v="Kurucz Gergő - Victory"/>
    <x v="0"/>
    <s v="Victory"/>
    <x v="1"/>
    <s v="ifjúsági"/>
  </r>
  <r>
    <x v="2"/>
    <n v="2"/>
    <n v="429"/>
    <x v="0"/>
    <s v="Kumite, -, 65-70 kg, Ifjúsági (15-16"/>
    <s v="Kumite, ifjúsági fiú 70 kg"/>
    <s v="3"/>
    <s v="3 fős körmérkőzés"/>
    <s v="2"/>
    <s v="Dezső Norbert"/>
    <x v="57"/>
    <s v="HUN"/>
    <n v="3"/>
    <m/>
    <s v="Gyöngyös"/>
    <d v="2026-03-07T00:00:00"/>
    <s v="Dezső Norbert - Magna Dojo"/>
    <x v="0"/>
    <s v="Magna Dojo"/>
    <x v="1"/>
    <s v="ifjúsági"/>
  </r>
  <r>
    <x v="2"/>
    <n v="2"/>
    <n v="430"/>
    <x v="0"/>
    <s v="Kumite, -, 65-70 kg, Ifjúsági (15-16"/>
    <s v="Kumite, ifjúsági fiú 70 kg"/>
    <s v="3"/>
    <s v="3 fős körmérkőzés"/>
    <s v="3"/>
    <s v="Novák Balázs"/>
    <x v="12"/>
    <s v="HUN"/>
    <n v="0"/>
    <s v="nem volt nyertes mérkőzése"/>
    <s v="Gyöngyös"/>
    <d v="2026-03-07T00:00:00"/>
    <s v="Novák Balázs - Bendiák Dojo"/>
    <x v="0"/>
    <s v="Bendiák Dojo"/>
    <x v="1"/>
    <s v="ifjúsági"/>
  </r>
  <r>
    <x v="2"/>
    <n v="2"/>
    <n v="431"/>
    <x v="0"/>
    <s v="Kumite, -, 70-75 kg, Ifjúsági (15-16"/>
    <s v="Kumite, ifjúsági fiú 75 kg"/>
    <s v="4"/>
    <s v="4 fős körmérkőzés"/>
    <s v="1"/>
    <s v="Ágoston Bence"/>
    <x v="7"/>
    <s v="HUN"/>
    <n v="6"/>
    <m/>
    <s v="Gyöngyös"/>
    <d v="2026-03-07T00:00:00"/>
    <s v="Ágoston Bence - KHSE"/>
    <x v="0"/>
    <s v="KHSE"/>
    <x v="1"/>
    <s v="ifjúsági"/>
  </r>
  <r>
    <x v="2"/>
    <n v="2"/>
    <n v="432"/>
    <x v="0"/>
    <s v="Kumite, -, 70-75 kg, Ifjúsági (15-16"/>
    <s v="Kumite, ifjúsági fiú 75 kg"/>
    <s v="4"/>
    <s v="4 fős körmérkőzés"/>
    <s v="2"/>
    <s v="Vancsó Kornél"/>
    <x v="12"/>
    <s v="HUN"/>
    <n v="5"/>
    <m/>
    <s v="Gyöngyös"/>
    <d v="2026-03-07T00:00:00"/>
    <s v="Vancsó Kornél - Bendiák Dojo"/>
    <x v="0"/>
    <s v="Bendiák Dojo"/>
    <x v="1"/>
    <s v="ifjúsági"/>
  </r>
  <r>
    <x v="2"/>
    <n v="2"/>
    <n v="433"/>
    <x v="0"/>
    <s v="Kumite, -, 70-75 kg, Ifjúsági (15-16"/>
    <s v="Kumite, ifjúsági fiú 75 kg"/>
    <s v="4"/>
    <s v="4 fős körmérkőzés"/>
    <s v="3"/>
    <s v="Vass Noel"/>
    <x v="7"/>
    <s v="HUN"/>
    <n v="3"/>
    <m/>
    <s v="Gyöngyös"/>
    <d v="2026-03-07T00:00:00"/>
    <s v="Vass Noel - KHSE"/>
    <x v="0"/>
    <s v="KHSE"/>
    <x v="1"/>
    <s v="ifjúsági"/>
  </r>
  <r>
    <x v="2"/>
    <n v="2"/>
    <n v="434"/>
    <x v="0"/>
    <s v="Kumite, -, 75-999 kg, Ifjúsági (15-16"/>
    <s v="Kumite, ifjúsági fiú +75 kg"/>
    <s v="3"/>
    <s v="3 fős körmérkőzés"/>
    <s v="1"/>
    <s v="Szalai Brendon"/>
    <x v="10"/>
    <s v="HUN"/>
    <n v="4"/>
    <m/>
    <s v="Gyöngyös"/>
    <d v="2026-03-07T00:00:00"/>
    <s v="Szalai Brendon - Nintai KKSE"/>
    <x v="1"/>
    <s v="Nintai KKSE"/>
    <x v="1"/>
    <s v="ifjúsági"/>
  </r>
  <r>
    <x v="2"/>
    <n v="2"/>
    <n v="435"/>
    <x v="0"/>
    <s v="Kumite, -, 75-999 kg, Ifjúsági (15-16"/>
    <s v="Kumite, ifjúsági fiú +75 kg"/>
    <s v="3"/>
    <s v="3 fős körmérkőzés"/>
    <s v="2"/>
    <s v="Novák Máté"/>
    <x v="12"/>
    <s v="HUN"/>
    <n v="3"/>
    <m/>
    <s v="Gyöngyös"/>
    <d v="2026-03-07T00:00:00"/>
    <s v="Novák Máté - Bendiák Dojo"/>
    <x v="0"/>
    <s v="Bendiák Dojo"/>
    <x v="1"/>
    <s v="ifjúsági"/>
  </r>
  <r>
    <x v="2"/>
    <n v="2"/>
    <n v="436"/>
    <x v="0"/>
    <s v="Kumite, -, 75-999 kg, Ifjúsági (15-16"/>
    <s v="Kumite, ifjúsági fiú +75 kg"/>
    <s v="3"/>
    <s v="3 fős körmérkőzés"/>
    <s v="3"/>
    <s v="Vida Péter"/>
    <x v="49"/>
    <s v="HUN"/>
    <n v="0"/>
    <s v="nem volt nyertes mérkőzése"/>
    <s v="Gyöngyös"/>
    <d v="2026-03-07T00:00:00"/>
    <s v="Vida Péter - Buke Reikon HRSE"/>
    <x v="0"/>
    <s v="Buke Reikon HRSE"/>
    <x v="1"/>
    <s v="ifjúsági"/>
  </r>
  <r>
    <x v="2"/>
    <n v="2"/>
    <n v="437"/>
    <x v="1"/>
    <s v="Kata, -, 0-160 kg, Ifjúsági (15-16"/>
    <s v="Kata, ifjúsági fiú"/>
    <s v="7"/>
    <s v="8 fős egyenes kiesés + 3. hely"/>
    <s v="1"/>
    <s v="Ungvári Levente"/>
    <x v="3"/>
    <s v="HUN"/>
    <n v="5"/>
    <s v="7 fő esetén az 1-4 kap pontot"/>
    <s v="Gyöngyös"/>
    <d v="2026-03-07T00:00:00"/>
    <s v="Ungvári Levente - Shogun"/>
    <x v="0"/>
    <s v="Shogun"/>
    <x v="1"/>
    <s v="ifjúsági"/>
  </r>
  <r>
    <x v="2"/>
    <n v="2"/>
    <n v="438"/>
    <x v="1"/>
    <s v="Kata, -, 0-160 kg, Ifjúsági (15-16"/>
    <s v="Kata, ifjúsági fiú"/>
    <s v="7"/>
    <s v="8 fős egyenes kiesés + 3. hely"/>
    <s v="2"/>
    <s v="Lóránt Varga Milán"/>
    <x v="3"/>
    <s v="HUN"/>
    <n v="4"/>
    <s v="7 fő esetén az 1-4 kap pontot"/>
    <s v="Gyöngyös"/>
    <d v="2026-03-07T00:00:00"/>
    <s v="Lóránt Varga Milán - Shogun"/>
    <x v="0"/>
    <s v="Shogun"/>
    <x v="1"/>
    <s v="ifjúsági"/>
  </r>
  <r>
    <x v="2"/>
    <n v="2"/>
    <n v="439"/>
    <x v="1"/>
    <s v="Kata, -, 0-160 kg, Ifjúsági (15-16"/>
    <s v="Kata, ifjúsági fiú"/>
    <s v="7"/>
    <s v="8 fős egyenes kiesés + 3. hely"/>
    <s v="3"/>
    <s v="Berényi Imre Márk"/>
    <x v="3"/>
    <s v="HUN"/>
    <n v="2"/>
    <s v="7 fő esetén az 1-4 kap pontot"/>
    <s v="Gyöngyös"/>
    <d v="2026-03-07T00:00:00"/>
    <s v="Berényi Imre Márk - Shogun"/>
    <x v="0"/>
    <s v="Shogun"/>
    <x v="1"/>
    <s v="ifjúsági"/>
  </r>
  <r>
    <x v="2"/>
    <n v="2"/>
    <n v="440"/>
    <x v="1"/>
    <s v="Kata, -, 0-160 kg, Ifjúsági (15-16"/>
    <s v="Kata, ifjúsági fiú"/>
    <s v="7"/>
    <s v="8 fős egyenes kiesés + 3. hely"/>
    <s v="4"/>
    <s v="MOLNÁR MARCELL"/>
    <x v="0"/>
    <s v="HUN"/>
    <n v="1"/>
    <s v="7 fő esetén az 1-4 kap pontot"/>
    <s v="Gyöngyös"/>
    <d v="2026-03-07T00:00:00"/>
    <s v="MOLNÁR MARCELL - Victory"/>
    <x v="0"/>
    <s v="Victory"/>
    <x v="1"/>
    <s v="ifjúsági"/>
  </r>
  <r>
    <x v="2"/>
    <n v="2"/>
    <n v="441"/>
    <x v="1"/>
    <s v="Kata, -, 0-160 kg, Ifjúsági (15-16"/>
    <s v="Kata, ifjúsági fiú"/>
    <s v="7"/>
    <s v="8 fős egyenes kiesés + 3. hely"/>
    <s v="5"/>
    <s v="Banka Boldizsár"/>
    <x v="47"/>
    <s v="HUN"/>
    <n v="0"/>
    <s v="7 fő esetén az 1-4 kap pontot"/>
    <s v="Gyöngyös"/>
    <d v="2026-03-07T00:00:00"/>
    <s v="Banka Boldizsár - KYO Fighter SE"/>
    <x v="0"/>
    <s v="KYO Fighter SE"/>
    <x v="1"/>
    <s v="ifjúsági"/>
  </r>
  <r>
    <x v="2"/>
    <n v="2"/>
    <n v="442"/>
    <x v="1"/>
    <s v="Kata, -, 0-160 kg, Ifjúsági (15-16"/>
    <s v="Kata, ifjúsági fiú"/>
    <s v="7"/>
    <s v="8 fős egyenes kiesés + 3. hely"/>
    <s v="7-8"/>
    <s v="Novák Balázs"/>
    <x v="12"/>
    <s v="HUN"/>
    <n v="0"/>
    <s v="7 fő esetén az 1-4 kap pontot"/>
    <s v="Gyöngyös"/>
    <d v="2026-03-07T00:00:00"/>
    <s v="Novák Balázs - Bendiák Dojo"/>
    <x v="0"/>
    <s v="Bendiák Dojo"/>
    <x v="1"/>
    <s v="ifjúsági"/>
  </r>
  <r>
    <x v="2"/>
    <n v="2"/>
    <n v="443"/>
    <x v="1"/>
    <s v="Kata, -, 0-160 kg, Ifjúsági (15-16"/>
    <s v="Kata, ifjúsági fiú"/>
    <s v="7"/>
    <s v="8 fős egyenes kiesés + 3. hely"/>
    <s v="7-8"/>
    <s v="Novák Máté"/>
    <x v="12"/>
    <s v="HUN"/>
    <n v="0"/>
    <s v="7 fő esetén az 1-4 kap pontot"/>
    <s v="Gyöngyös"/>
    <d v="2026-03-07T00:00:00"/>
    <s v="Novák Máté - Bendiák Dojo"/>
    <x v="0"/>
    <s v="Bendiák Dojo"/>
    <x v="1"/>
    <s v="ifjúsági"/>
  </r>
  <r>
    <x v="2"/>
    <n v="2"/>
    <n v="444"/>
    <x v="0"/>
    <s v="Kumite, -, 0-50 kg, Ifjúsági (15-16"/>
    <s v="Kumite, ifjúsági lány 50 kg"/>
    <s v="2"/>
    <s v="2 fős egyenes kiesés"/>
    <s v="1"/>
    <s v="Szabó Hanna"/>
    <x v="48"/>
    <s v="HUN"/>
    <n v="3"/>
    <m/>
    <s v="Gyöngyös"/>
    <d v="2026-03-07T00:00:00"/>
    <s v="Szabó Hanna - Hajdúszoboszló"/>
    <x v="0"/>
    <s v="Hajdúszoboszló"/>
    <x v="1"/>
    <s v="ifjúsági"/>
  </r>
  <r>
    <x v="2"/>
    <n v="2"/>
    <n v="445"/>
    <x v="0"/>
    <s v="Kumite, -, 0-50 kg, Ifjúsági (15-16"/>
    <s v="Kumite, ifjúsági lány 50 kg"/>
    <s v="2"/>
    <s v="2 fős egyenes kiesés"/>
    <s v="2"/>
    <s v="Forgács Lili"/>
    <x v="54"/>
    <s v="HUN"/>
    <n v="0"/>
    <m/>
    <s v="Gyöngyös"/>
    <d v="2026-03-07T00:00:00"/>
    <s v="Forgács Lili - Borza Dojo"/>
    <x v="1"/>
    <s v="Borza Dojo"/>
    <x v="1"/>
    <s v="ifjúsági"/>
  </r>
  <r>
    <x v="2"/>
    <n v="2"/>
    <n v="446"/>
    <x v="0"/>
    <s v="Kumite, -, 50-55 kg, Ifjúsági (15-16"/>
    <s v="Kumite, ifjúsági lány 55 kg"/>
    <s v="3"/>
    <s v="3 fős körmérkőzés"/>
    <s v="1"/>
    <s v="Furó Liliána"/>
    <x v="7"/>
    <s v="HUN"/>
    <n v="4"/>
    <m/>
    <s v="Gyöngyös"/>
    <d v="2026-03-07T00:00:00"/>
    <s v="Furó Liliána - KHSE"/>
    <x v="0"/>
    <s v="KHSE"/>
    <x v="1"/>
    <s v="ifjúsági"/>
  </r>
  <r>
    <x v="2"/>
    <n v="2"/>
    <n v="447"/>
    <x v="0"/>
    <s v="Kumite, -, 50-55 kg, Ifjúsági (15-16"/>
    <s v="Kumite, ifjúsági lány 55 kg"/>
    <s v="3"/>
    <s v="3 fős körmérkőzés"/>
    <s v="2"/>
    <s v="Kiss Boglárka"/>
    <x v="51"/>
    <s v="HUN"/>
    <n v="3"/>
    <m/>
    <s v="Gyöngyös"/>
    <d v="2026-03-07T00:00:00"/>
    <s v="Kiss Boglárka - Derecske BUDO"/>
    <x v="0"/>
    <s v="Derecske BUDO"/>
    <x v="1"/>
    <s v="ifjúsági"/>
  </r>
  <r>
    <x v="2"/>
    <n v="2"/>
    <n v="448"/>
    <x v="0"/>
    <s v="Kumite, -, 50-55 kg, Ifjúsági (15-16"/>
    <s v="Kumite, ifjúsági lány 55 kg"/>
    <s v="3"/>
    <s v="3 fős körmérkőzés"/>
    <s v="3"/>
    <s v="Karap Anna"/>
    <x v="3"/>
    <s v="HUN"/>
    <n v="0"/>
    <s v="nem volt nyertes mérkőzése"/>
    <s v="Gyöngyös"/>
    <d v="2026-03-07T00:00:00"/>
    <s v="Karap Anna - Shogun"/>
    <x v="0"/>
    <s v="Shogun"/>
    <x v="1"/>
    <s v="ifjúsági"/>
  </r>
  <r>
    <x v="2"/>
    <n v="2"/>
    <n v="449"/>
    <x v="0"/>
    <s v="Kumite, -, 60-65 kg, Ifjúsági (15-16"/>
    <s v="Kumite, ifjúsági lány 65 kg"/>
    <s v="5"/>
    <s v="5 fős körmérkőzés"/>
    <s v="1"/>
    <s v="Pénzes Zsófia"/>
    <x v="7"/>
    <s v="HUN"/>
    <n v="8"/>
    <m/>
    <s v="Gyöngyös"/>
    <d v="2026-03-07T00:00:00"/>
    <s v="Pénzes Zsófia - KHSE"/>
    <x v="0"/>
    <s v="KHSE"/>
    <x v="1"/>
    <s v="ifjúsági"/>
  </r>
  <r>
    <x v="2"/>
    <n v="2"/>
    <n v="450"/>
    <x v="0"/>
    <s v="Kumite, -, 60-65 kg, Ifjúsági (15-16"/>
    <s v="Kumite, ifjúsági lány 65 kg"/>
    <s v="5"/>
    <s v="5 fős körmérkőzés"/>
    <s v="2"/>
    <s v="Albert Szilvia Cintia"/>
    <x v="51"/>
    <s v="HUN"/>
    <n v="6"/>
    <m/>
    <s v="Gyöngyös"/>
    <d v="2026-03-07T00:00:00"/>
    <s v="Albert Szilvia Cintia - Derecske BUDO"/>
    <x v="0"/>
    <s v="Derecske BUDO"/>
    <x v="1"/>
    <s v="ifjúsági"/>
  </r>
  <r>
    <x v="2"/>
    <n v="2"/>
    <n v="451"/>
    <x v="0"/>
    <s v="Kumite, -, 60-65 kg, Ifjúsági (15-16"/>
    <s v="Kumite, ifjúsági lány 65 kg"/>
    <s v="5"/>
    <s v="5 fős körmérkőzés"/>
    <s v="3"/>
    <s v="Barna Emese Nikolett"/>
    <x v="12"/>
    <s v="HUN"/>
    <n v="4"/>
    <m/>
    <s v="Gyöngyös"/>
    <d v="2026-03-07T00:00:00"/>
    <s v="Barna Emese Nikolett - Bendiák Dojo"/>
    <x v="0"/>
    <s v="Bendiák Dojo"/>
    <x v="1"/>
    <s v="ifjúsági"/>
  </r>
  <r>
    <x v="2"/>
    <n v="2"/>
    <n v="451"/>
    <x v="0"/>
    <s v="Kumite, -, 60-65 kg, Ifjúsági (15-16"/>
    <s v="Kumite, ifjúsági lány 65 kg"/>
    <s v="5"/>
    <s v="5 fős körmérkőzés"/>
    <n v="4"/>
    <s v="Harsányi Tímea"/>
    <x v="45"/>
    <s v="HUN"/>
    <n v="3"/>
    <m/>
    <s v="Gyöngyös"/>
    <d v="2026-03-07T00:00:00"/>
    <s v="Harsányi Tímea - Kelemen-Team"/>
    <x v="0"/>
    <s v="Kelemen-Team"/>
    <x v="1"/>
    <s v="ifjúsági"/>
  </r>
  <r>
    <x v="2"/>
    <n v="2"/>
    <n v="452"/>
    <x v="1"/>
    <s v="Kata, -, 0-160 kg, Ifjúsági (15-16"/>
    <s v="Kata, ifjúsági lány"/>
    <s v="4"/>
    <s v="4 fős egyenes kiesés + 3. hely"/>
    <s v="1"/>
    <s v="Kovács Anna"/>
    <x v="2"/>
    <s v="HUN"/>
    <n v="5"/>
    <s v="4 fő esetén az 1-3 kap pontot"/>
    <s v="Gyöngyös"/>
    <d v="2026-03-07T00:00:00"/>
    <s v="Kovács Anna - Kisvárda KKDOSC"/>
    <x v="0"/>
    <s v="Kisvárda KKDOSC"/>
    <x v="1"/>
    <s v="ifjúsági"/>
  </r>
  <r>
    <x v="2"/>
    <n v="2"/>
    <n v="453"/>
    <x v="1"/>
    <s v="Kata, -, 0-160 kg, Ifjúsági (15-16"/>
    <s v="Kata, ifjúsági lány"/>
    <s v="4"/>
    <s v="4 fős egyenes kiesés + 3. hely"/>
    <s v="2"/>
    <s v="Uszkai Flóra"/>
    <x v="3"/>
    <s v="HUN"/>
    <n v="4"/>
    <s v="4 fő esetén az 1-3 kap pontot"/>
    <s v="Gyöngyös"/>
    <d v="2026-03-07T00:00:00"/>
    <s v="Uszkai Flóra - Shogun"/>
    <x v="0"/>
    <s v="Shogun"/>
    <x v="1"/>
    <s v="ifjúsági"/>
  </r>
  <r>
    <x v="2"/>
    <n v="2"/>
    <n v="454"/>
    <x v="1"/>
    <s v="Kata, -, 0-160 kg, Ifjúsági (15-16"/>
    <s v="Kata, ifjúsági lány"/>
    <s v="4"/>
    <s v="4 fős egyenes kiesés + 3. hely"/>
    <s v="3"/>
    <s v="Berényi Lina Boróka"/>
    <x v="21"/>
    <s v="HUN"/>
    <n v="2"/>
    <s v="4 fő esetén az 1-3 kap pontot"/>
    <s v="Gyöngyös"/>
    <d v="2026-03-07T00:00:00"/>
    <s v="Berényi Lina Boróka - Kagami"/>
    <x v="0"/>
    <s v="Kagami"/>
    <x v="1"/>
    <s v="ifjúsági"/>
  </r>
  <r>
    <x v="2"/>
    <n v="2"/>
    <n v="455"/>
    <x v="1"/>
    <s v="Kata, -, 0-160 kg, Ifjúsági (15-16"/>
    <s v="Kata, ifjúsági lány"/>
    <s v="4"/>
    <s v="4 fős egyenes kiesés + 3. hely"/>
    <s v="4"/>
    <s v="Karap Anna"/>
    <x v="3"/>
    <s v="HUN"/>
    <n v="0"/>
    <s v="4 fő esetén az 1-3 kap pontot"/>
    <s v="Gyöngyös"/>
    <d v="2026-03-07T00:00:00"/>
    <s v="Karap Anna - Shogun"/>
    <x v="0"/>
    <s v="Shogun"/>
    <x v="1"/>
    <s v="ifjúsági"/>
  </r>
  <r>
    <x v="2"/>
    <n v="2"/>
    <n v="456"/>
    <x v="0"/>
    <s v="Kumite, -, 0-60 kg, Junior DOL (17-19"/>
    <s v="Kumite, junior fiú 60 kg"/>
    <s v="2"/>
    <s v="2 fős egyenes kiesés"/>
    <s v="1"/>
    <s v="Nagy Péter"/>
    <x v="7"/>
    <s v="HUN"/>
    <n v="3"/>
    <m/>
    <s v="Gyöngyös"/>
    <d v="2026-03-07T00:00:00"/>
    <s v="Nagy Péter - KHSE"/>
    <x v="0"/>
    <s v="KHSE"/>
    <x v="1"/>
    <s v="junior"/>
  </r>
  <r>
    <x v="2"/>
    <n v="2"/>
    <n v="457"/>
    <x v="0"/>
    <s v="Kumite, -, 0-60 kg, Junior DOL (17-19"/>
    <s v="Kumite, junior fiú 60 kg"/>
    <s v="2"/>
    <s v="2 fős egyenes kiesés"/>
    <s v="2"/>
    <s v="Rimóczi Alex Benedek"/>
    <x v="14"/>
    <s v="HUN"/>
    <n v="0"/>
    <m/>
    <s v="Gyöngyös"/>
    <d v="2026-03-07T00:00:00"/>
    <s v="Rimóczi Alex Benedek - Nozomu Dojo"/>
    <x v="0"/>
    <s v="Nozomu Dojo"/>
    <x v="1"/>
    <s v="junior"/>
  </r>
  <r>
    <x v="2"/>
    <n v="2"/>
    <n v="458"/>
    <x v="0"/>
    <s v="Kumite, -, 60-65 kg, Junior DOL (17-19"/>
    <s v="Kumite, junior fiú 65 kg"/>
    <s v="4"/>
    <s v="4 fős körmérkőzés"/>
    <s v="1"/>
    <s v="Bacskai Bence"/>
    <x v="7"/>
    <s v="HUN"/>
    <n v="6"/>
    <m/>
    <s v="Gyöngyös"/>
    <d v="2026-03-07T00:00:00"/>
    <s v="Bacskai Bence - KHSE"/>
    <x v="0"/>
    <s v="KHSE"/>
    <x v="1"/>
    <s v="junior"/>
  </r>
  <r>
    <x v="2"/>
    <n v="2"/>
    <n v="459"/>
    <x v="0"/>
    <s v="Kumite, -, 60-65 kg, Junior DOL (17-19"/>
    <s v="Kumite, junior fiú 65 kg"/>
    <s v="4"/>
    <s v="4 fős körmérkőzés"/>
    <s v="2"/>
    <s v="Szabó Ákos Roland"/>
    <x v="7"/>
    <s v="HUN"/>
    <n v="5"/>
    <m/>
    <s v="Gyöngyös"/>
    <d v="2026-03-07T00:00:00"/>
    <s v="Szabó Ákos Roland - KHSE"/>
    <x v="0"/>
    <s v="KHSE"/>
    <x v="1"/>
    <s v="junior"/>
  </r>
  <r>
    <x v="2"/>
    <n v="2"/>
    <n v="460"/>
    <x v="0"/>
    <s v="Kumite, -, 60-65 kg, Junior DOL (17-19"/>
    <s v="Kumite, junior fiú 65 kg"/>
    <s v="4"/>
    <s v="4 fős körmérkőzés"/>
    <s v="3"/>
    <s v="Vincze Balázs"/>
    <x v="5"/>
    <s v="HUN"/>
    <n v="3"/>
    <m/>
    <s v="Gyöngyös"/>
    <d v="2026-03-07T00:00:00"/>
    <s v="Vincze Balázs - TADASHII "/>
    <x v="1"/>
    <s v="TADASHII "/>
    <x v="1"/>
    <s v="junior"/>
  </r>
  <r>
    <x v="2"/>
    <n v="2"/>
    <n v="461"/>
    <x v="0"/>
    <s v="Kumite, -, 65-70 kg, Junior DOL (17-19"/>
    <s v="Kumite, junior fiú 70 kg"/>
    <s v="6"/>
    <s v="6 fős vegyes"/>
    <s v="1"/>
    <s v="Böszörményi Gergő"/>
    <x v="0"/>
    <s v="HUN"/>
    <n v="6"/>
    <m/>
    <s v="Gyöngyös"/>
    <d v="2026-03-07T00:00:00"/>
    <s v="Böszörményi Gergő - Victory"/>
    <x v="0"/>
    <s v="Victory"/>
    <x v="1"/>
    <s v="junior"/>
  </r>
  <r>
    <x v="2"/>
    <n v="2"/>
    <n v="462"/>
    <x v="0"/>
    <s v="Kumite, -, 65-70 kg, Junior DOL (17-19"/>
    <s v="Kumite, junior fiú 70 kg"/>
    <s v="6"/>
    <s v="6 fős vegyes"/>
    <s v="2"/>
    <s v="Földi Bence "/>
    <x v="0"/>
    <s v="HUN"/>
    <n v="5"/>
    <m/>
    <s v="Gyöngyös"/>
    <d v="2026-03-07T00:00:00"/>
    <s v="Földi Bence  - Victory"/>
    <x v="0"/>
    <s v="Victory"/>
    <x v="1"/>
    <s v="junior"/>
  </r>
  <r>
    <x v="2"/>
    <n v="2"/>
    <n v="463"/>
    <x v="0"/>
    <s v="Kumite, -, 65-70 kg, Junior DOL (17-19"/>
    <s v="Kumite, junior fiú 70 kg"/>
    <s v="6"/>
    <s v="6 fős vegyes"/>
    <s v="3"/>
    <s v="Takács-Sárkány Csanád"/>
    <x v="7"/>
    <s v="HUN"/>
    <n v="3"/>
    <m/>
    <s v="Gyöngyös"/>
    <d v="2026-03-07T00:00:00"/>
    <s v="Takács-Sárkány Csanád - KHSE"/>
    <x v="0"/>
    <s v="KHSE"/>
    <x v="1"/>
    <s v="junior"/>
  </r>
  <r>
    <x v="2"/>
    <n v="2"/>
    <n v="464"/>
    <x v="0"/>
    <s v="Kumite, -, 70-75 kg, Junior DOL (17-19"/>
    <s v="Kumite, junior fiú 75 kg"/>
    <s v="6"/>
    <s v="6 fős vegyes"/>
    <s v="1"/>
    <s v="Földi Balázs"/>
    <x v="0"/>
    <s v="HUN"/>
    <n v="6"/>
    <m/>
    <s v="Gyöngyös"/>
    <d v="2026-03-07T00:00:00"/>
    <s v="Földi Balázs - Victory"/>
    <x v="0"/>
    <s v="Victory"/>
    <x v="1"/>
    <s v="junior"/>
  </r>
  <r>
    <x v="2"/>
    <n v="2"/>
    <n v="465"/>
    <x v="0"/>
    <s v="Kumite, -, 70-75 kg, Junior DOL (17-19"/>
    <s v="Kumite, junior fiú 75 kg"/>
    <s v="6"/>
    <s v="6 fős vegyes"/>
    <s v="2"/>
    <s v="Kiss Gábor"/>
    <x v="0"/>
    <s v="HUN"/>
    <n v="5"/>
    <m/>
    <s v="Gyöngyös"/>
    <d v="2026-03-07T00:00:00"/>
    <s v="Kiss Gábor - Victory"/>
    <x v="0"/>
    <s v="Victory"/>
    <x v="1"/>
    <s v="junior"/>
  </r>
  <r>
    <x v="2"/>
    <n v="2"/>
    <n v="466"/>
    <x v="0"/>
    <s v="Kumite, -, 70-75 kg, Junior DOL (17-19"/>
    <s v="Kumite, junior fiú 75 kg"/>
    <s v="6"/>
    <s v="6 fős vegyes"/>
    <s v="3"/>
    <s v="Vancsó Ákos"/>
    <x v="12"/>
    <s v="HUN"/>
    <n v="3"/>
    <m/>
    <s v="Gyöngyös"/>
    <d v="2026-03-07T00:00:00"/>
    <s v="Vancsó Ákos - Bendiák Dojo"/>
    <x v="0"/>
    <s v="Bendiák Dojo"/>
    <x v="1"/>
    <s v="junior"/>
  </r>
  <r>
    <x v="2"/>
    <n v="2"/>
    <n v="467"/>
    <x v="0"/>
    <s v="Kumite, -, 75-80 kg, Junior DOL (17-19"/>
    <s v="Kumite, junior fiú 80 kg"/>
    <s v="3"/>
    <s v="3 fős körmérkőzés"/>
    <s v="1"/>
    <s v="Bessenyei Csongor"/>
    <x v="3"/>
    <s v="HUN"/>
    <n v="4"/>
    <m/>
    <s v="Gyöngyös"/>
    <d v="2026-03-07T00:00:00"/>
    <s v="Bessenyei Csongor - Shogun"/>
    <x v="0"/>
    <s v="Shogun"/>
    <x v="1"/>
    <s v="junior"/>
  </r>
  <r>
    <x v="2"/>
    <n v="2"/>
    <n v="468"/>
    <x v="0"/>
    <s v="Kumite, -, 75-80 kg, Junior DOL (17-19"/>
    <s v="Kumite, junior fiú 80 kg"/>
    <s v="3"/>
    <s v="3 fős körmérkőzés"/>
    <s v="2"/>
    <s v="Breznyiczki Barnabás"/>
    <x v="14"/>
    <s v="HUN"/>
    <n v="3"/>
    <m/>
    <s v="Gyöngyös"/>
    <d v="2026-03-07T00:00:00"/>
    <s v="Breznyiczki Barnabás - Nozomu Dojo"/>
    <x v="0"/>
    <s v="Nozomu Dojo"/>
    <x v="1"/>
    <s v="junior"/>
  </r>
  <r>
    <x v="2"/>
    <n v="2"/>
    <n v="469"/>
    <x v="0"/>
    <s v="Kumite, -, 75-80 kg, Junior DOL (17-19"/>
    <s v="Kumite, junior fiú 80 kg"/>
    <s v="3"/>
    <s v="3 fős körmérkőzés"/>
    <s v="3"/>
    <s v="Flaisz Róbert"/>
    <x v="5"/>
    <s v="HUN"/>
    <n v="0"/>
    <s v="nem volt nyertes mérkőzése"/>
    <s v="Gyöngyös"/>
    <d v="2026-03-07T00:00:00"/>
    <s v="Flaisz Róbert - TADASHII "/>
    <x v="1"/>
    <s v="TADASHII "/>
    <x v="1"/>
    <s v="junior"/>
  </r>
  <r>
    <x v="2"/>
    <n v="2"/>
    <n v="470"/>
    <x v="0"/>
    <s v="Kumite, -, 80-200 kg, Junior DOL (17-19"/>
    <s v="Kumite, junior fiú +80 kg"/>
    <s v="4"/>
    <s v="4 fős körmérkőzés"/>
    <s v="1"/>
    <s v="Csorba Kristóf"/>
    <x v="3"/>
    <s v="HUN"/>
    <n v="6"/>
    <m/>
    <s v="Gyöngyös"/>
    <d v="2026-03-07T00:00:00"/>
    <s v="Csorba Kristóf - Shogun"/>
    <x v="0"/>
    <s v="Shogun"/>
    <x v="1"/>
    <s v="junior"/>
  </r>
  <r>
    <x v="2"/>
    <n v="2"/>
    <n v="491"/>
    <x v="0"/>
    <s v="Kumite, -, 80-200 kg, Junior DOL (17-19"/>
    <s v="Kumite, junior fiú +80 kg"/>
    <s v="4"/>
    <s v="4 fős körmérkőzés"/>
    <s v="2"/>
    <s v="Sipos Árpád"/>
    <x v="7"/>
    <s v="HUN"/>
    <n v="5"/>
    <m/>
    <s v="Gyöngyös"/>
    <d v="2026-03-07T00:00:00"/>
    <s v="Sipos Árpád - KHSE"/>
    <x v="0"/>
    <s v="KHSE"/>
    <x v="1"/>
    <s v="junior"/>
  </r>
  <r>
    <x v="2"/>
    <n v="2"/>
    <n v="471"/>
    <x v="0"/>
    <s v="Kumite, -, 80-200 kg, Junior DOL (17-19"/>
    <s v="Kumite, junior fiú +80 kg"/>
    <s v="4"/>
    <s v="4 fős körmérkőzés"/>
    <s v="3"/>
    <s v="Maklári Balázs"/>
    <x v="2"/>
    <s v="HUN"/>
    <n v="3"/>
    <m/>
    <s v="Gyöngyös"/>
    <d v="2026-03-07T00:00:00"/>
    <s v="Maklári Balázs - Kisvárda KKDOSC"/>
    <x v="0"/>
    <s v="Kisvárda KKDOSC"/>
    <x v="1"/>
    <s v="junior"/>
  </r>
  <r>
    <x v="2"/>
    <n v="2"/>
    <n v="472"/>
    <x v="1"/>
    <s v="Kata, -, 0-170 kg, Junior DOL (17-19"/>
    <s v="Kata, junior fiú"/>
    <s v="6"/>
    <s v="8 fős egyenes kiesés + 3. hely"/>
    <s v="1"/>
    <s v="Bessenyei Csongor"/>
    <x v="3"/>
    <s v="HUN"/>
    <n v="5"/>
    <s v="6 fő esetén az 1-3 kap pontot"/>
    <s v="Gyöngyös"/>
    <d v="2026-03-07T00:00:00"/>
    <s v="Bessenyei Csongor - Shogun"/>
    <x v="0"/>
    <s v="Shogun"/>
    <x v="1"/>
    <s v="junior"/>
  </r>
  <r>
    <x v="2"/>
    <n v="2"/>
    <n v="473"/>
    <x v="1"/>
    <s v="Kata, -, 0-170 kg, Junior DOL (17-19"/>
    <s v="Kata, junior fiú"/>
    <s v="6"/>
    <s v="8 fős egyenes kiesés + 3. hely"/>
    <s v="2"/>
    <s v="Terbócs Roland"/>
    <x v="3"/>
    <s v="HUN"/>
    <n v="4"/>
    <s v="6 fő esetén az 1-3 kap pontot"/>
    <s v="Gyöngyös"/>
    <d v="2026-03-07T00:00:00"/>
    <s v="Terbócs Roland - Shogun"/>
    <x v="0"/>
    <s v="Shogun"/>
    <x v="1"/>
    <s v="junior"/>
  </r>
  <r>
    <x v="2"/>
    <n v="2"/>
    <n v="474"/>
    <x v="1"/>
    <s v="Kata, -, 0-170 kg, Junior DOL (17-19"/>
    <s v="Kata, junior fiú"/>
    <s v="6"/>
    <s v="8 fős egyenes kiesés + 3. hely"/>
    <s v="3"/>
    <s v="Vágó Márton"/>
    <x v="3"/>
    <s v="HUN"/>
    <n v="2"/>
    <s v="6 fő esetén az 1-3 kap pontot"/>
    <s v="Gyöngyös"/>
    <d v="2026-03-07T00:00:00"/>
    <s v="Vágó Márton - Shogun"/>
    <x v="0"/>
    <s v="Shogun"/>
    <x v="1"/>
    <s v="junior"/>
  </r>
  <r>
    <x v="2"/>
    <n v="2"/>
    <n v="475"/>
    <x v="1"/>
    <s v="Kata, -, 0-170 kg, Junior DOL (17-19"/>
    <s v="Kata, junior fiú"/>
    <s v="6"/>
    <s v="8 fős egyenes kiesés + 3. hely"/>
    <s v="4"/>
    <s v="Kolonics Márk"/>
    <x v="5"/>
    <s v="HUN"/>
    <n v="0"/>
    <s v="6 fő esetén az 1-3 kap pontot"/>
    <s v="Gyöngyös"/>
    <d v="2026-03-07T00:00:00"/>
    <s v="Kolonics Márk - TADASHII "/>
    <x v="1"/>
    <s v="TADASHII "/>
    <x v="1"/>
    <s v="junior"/>
  </r>
  <r>
    <x v="2"/>
    <n v="2"/>
    <n v="476"/>
    <x v="1"/>
    <s v="Kata, -, 0-170 kg, Junior DOL (17-19"/>
    <s v="Kata, junior fiú"/>
    <s v="6"/>
    <s v="8 fős egyenes kiesés + 3. hely"/>
    <s v="7-8"/>
    <s v="Kis Kevin Gyula"/>
    <x v="54"/>
    <s v="HUN"/>
    <n v="0"/>
    <s v="6 fő esetén az 1-3 kap pontot"/>
    <s v="Gyöngyös"/>
    <d v="2026-03-07T00:00:00"/>
    <s v="Kis Kevin Gyula - Borza Dojo"/>
    <x v="1"/>
    <s v="Borza Dojo"/>
    <x v="1"/>
    <s v="junior"/>
  </r>
  <r>
    <x v="2"/>
    <n v="2"/>
    <n v="477"/>
    <x v="0"/>
    <s v="Kumite, -, 0-50 kg, Junior DOL (17-19"/>
    <s v="Kumite, junior lány 50 kg"/>
    <s v="2"/>
    <s v="2 fős egyenes kiesés"/>
    <s v="1"/>
    <s v="Fekete Csenge"/>
    <x v="14"/>
    <s v="HUN"/>
    <n v="3"/>
    <m/>
    <s v="Gyöngyös"/>
    <d v="2026-03-07T00:00:00"/>
    <s v="Fekete Csenge - Nozomu Dojo"/>
    <x v="0"/>
    <s v="Nozomu Dojo"/>
    <x v="1"/>
    <s v="junior"/>
  </r>
  <r>
    <x v="2"/>
    <n v="2"/>
    <n v="478"/>
    <x v="0"/>
    <s v="Kumite, -, 0-50 kg, Junior DOL (17-19"/>
    <s v="Kumite, junior lány 50 kg"/>
    <s v="2"/>
    <s v="2 fős egyenes kiesés"/>
    <s v="2"/>
    <s v="Szanics Boglárka"/>
    <x v="3"/>
    <s v="HUN"/>
    <n v="0"/>
    <m/>
    <s v="Gyöngyös"/>
    <d v="2026-03-07T00:00:00"/>
    <s v="Szanics Boglárka - Shogun"/>
    <x v="0"/>
    <s v="Shogun"/>
    <x v="1"/>
    <s v="junior"/>
  </r>
  <r>
    <x v="2"/>
    <n v="2"/>
    <n v="479"/>
    <x v="0"/>
    <s v="Kumite, -, 50-55 kg, Junior DOL (17-19"/>
    <s v="Kumite, junior lány 55 kg"/>
    <s v="2"/>
    <s v="2 fős egyenes kiesés"/>
    <s v="1"/>
    <s v="Lukács Kamilla"/>
    <x v="0"/>
    <s v="HUN"/>
    <n v="3"/>
    <m/>
    <s v="Gyöngyös"/>
    <d v="2026-03-07T00:00:00"/>
    <s v="Lukács Kamilla - Victory"/>
    <x v="0"/>
    <s v="Victory"/>
    <x v="1"/>
    <s v="junior"/>
  </r>
  <r>
    <x v="2"/>
    <n v="2"/>
    <n v="480"/>
    <x v="0"/>
    <s v="Kumite, -, 50-55 kg, Junior DOL (17-19"/>
    <s v="Kumite, junior lány 55 kg"/>
    <s v="2"/>
    <s v="2 fős egyenes kiesés"/>
    <s v="2"/>
    <s v="Ágoston Sára"/>
    <x v="7"/>
    <s v="HUN"/>
    <n v="0"/>
    <m/>
    <s v="Gyöngyös"/>
    <d v="2026-03-07T00:00:00"/>
    <s v="Ágoston Sára - KHSE"/>
    <x v="0"/>
    <s v="KHSE"/>
    <x v="1"/>
    <s v="junior"/>
  </r>
  <r>
    <x v="2"/>
    <n v="2"/>
    <n v="481"/>
    <x v="0"/>
    <s v="Kumite, -, 55-60 kg, Junior DOL (17-19"/>
    <s v="Kumite, junior lány 60 kg"/>
    <s v="2"/>
    <s v="2 fős egyenes kiesés"/>
    <s v="1"/>
    <s v="Orosz Dorina"/>
    <x v="46"/>
    <s v="HUN"/>
    <n v="3"/>
    <m/>
    <s v="Gyöngyös"/>
    <d v="2026-03-07T00:00:00"/>
    <s v="Orosz Dorina - Kemecse SE"/>
    <x v="0"/>
    <s v="Kemecse SE"/>
    <x v="1"/>
    <s v="junior"/>
  </r>
  <r>
    <x v="2"/>
    <n v="2"/>
    <n v="482"/>
    <x v="0"/>
    <s v="Kumite, -, 55-60 kg, Junior DOL (17-19"/>
    <s v="Kumite, junior lány 60 kg"/>
    <s v="2"/>
    <s v="2 fős egyenes kiesés"/>
    <s v="2"/>
    <s v="Gál Regina"/>
    <x v="51"/>
    <s v="HUN"/>
    <n v="0"/>
    <m/>
    <s v="Gyöngyös"/>
    <d v="2026-03-07T00:00:00"/>
    <s v="Gál Regina - Derecske BUDO"/>
    <x v="0"/>
    <s v="Derecske BUDO"/>
    <x v="1"/>
    <s v="junior"/>
  </r>
  <r>
    <x v="2"/>
    <n v="2"/>
    <n v="483"/>
    <x v="0"/>
    <s v="Kumite, -, 60-65 kg, Junior DOL (17-19"/>
    <s v="Kumite, junior lány 65 kg"/>
    <s v="5"/>
    <s v="5 fős körmérkőzés"/>
    <s v="1"/>
    <s v="Éles Léna Hanna"/>
    <x v="0"/>
    <s v="HUN"/>
    <n v="8"/>
    <m/>
    <s v="Gyöngyös"/>
    <d v="2026-03-07T00:00:00"/>
    <s v="Éles Léna Hanna - Victory"/>
    <x v="0"/>
    <s v="Victory"/>
    <x v="1"/>
    <s v="junior"/>
  </r>
  <r>
    <x v="2"/>
    <n v="2"/>
    <n v="493"/>
    <x v="0"/>
    <s v="Kumite, -, 60-65 kg, Junior DOL (17-19"/>
    <s v="Kumite, junior lány 65 kg"/>
    <s v="5"/>
    <s v="5 fős körmérkőzés"/>
    <s v="2"/>
    <s v="Rácz Viktória"/>
    <x v="3"/>
    <s v="HUN"/>
    <n v="6"/>
    <m/>
    <s v="Gyöngyös"/>
    <d v="2026-03-07T00:00:00"/>
    <s v="Rácz Viktória - Shogun"/>
    <x v="0"/>
    <s v="Shogun"/>
    <x v="1"/>
    <s v="junior"/>
  </r>
  <r>
    <x v="2"/>
    <n v="2"/>
    <n v="484"/>
    <x v="0"/>
    <s v="Kumite, -, 60-65 kg, Junior DOL (17-19"/>
    <s v="Kumite, junior lány 65 kg"/>
    <s v="5"/>
    <s v="5 fős körmérkőzés"/>
    <s v="3"/>
    <s v="Szutor Anna"/>
    <x v="3"/>
    <s v="HUN"/>
    <n v="4"/>
    <m/>
    <s v="Gyöngyös"/>
    <d v="2026-03-07T00:00:00"/>
    <s v="Szutor Anna - Shogun"/>
    <x v="0"/>
    <s v="Shogun"/>
    <x v="1"/>
    <s v="junior"/>
  </r>
  <r>
    <x v="2"/>
    <n v="2"/>
    <n v="484"/>
    <x v="0"/>
    <s v="Kumite, -, 60-65 kg, Junior DOL (17-19"/>
    <s v="Kumite, junior lány 65 kg"/>
    <s v="5"/>
    <s v="5 fős körmérkőzés"/>
    <n v="4"/>
    <s v="Józsa Erika"/>
    <x v="7"/>
    <s v="HUN"/>
    <n v="3"/>
    <m/>
    <s v="Gyöngyös"/>
    <d v="2026-03-07T00:00:00"/>
    <s v="Józsa Erika - KHSE"/>
    <x v="0"/>
    <s v="KHSE"/>
    <x v="1"/>
    <s v="junior"/>
  </r>
  <r>
    <x v="2"/>
    <n v="2"/>
    <n v="485"/>
    <x v="0"/>
    <s v="Kumite, -, 65-199 kg, Junior DOL (17-19"/>
    <s v="Kumite, junior lány +65 kg"/>
    <s v="4"/>
    <s v="4 fős körmérkőzés"/>
    <s v="1"/>
    <s v="Vórincsák Vivien"/>
    <x v="7"/>
    <s v="HUN"/>
    <n v="6"/>
    <m/>
    <s v="Gyöngyös"/>
    <d v="2026-03-07T00:00:00"/>
    <s v="Vórincsák Vivien - KHSE"/>
    <x v="0"/>
    <s v="KHSE"/>
    <x v="1"/>
    <s v="junior"/>
  </r>
  <r>
    <x v="2"/>
    <n v="2"/>
    <n v="486"/>
    <x v="0"/>
    <s v="Kumite, -, 65-199 kg, Junior DOL (17-19"/>
    <s v="Kumite, junior lány +65 kg"/>
    <s v="4"/>
    <s v="4 fős körmérkőzés"/>
    <s v="2"/>
    <s v="Ecsedi Réka"/>
    <x v="7"/>
    <s v="HUN"/>
    <n v="5"/>
    <m/>
    <s v="Gyöngyös"/>
    <d v="2026-03-07T00:00:00"/>
    <s v="Ecsedi Réka - KHSE"/>
    <x v="0"/>
    <s v="KHSE"/>
    <x v="1"/>
    <s v="junior"/>
  </r>
  <r>
    <x v="2"/>
    <n v="2"/>
    <n v="487"/>
    <x v="0"/>
    <s v="Kumite, -, 65-199 kg, Junior DOL (17-19"/>
    <s v="Kumite, junior lány +65 kg"/>
    <s v="4"/>
    <s v="4 fős körmérkőzés"/>
    <s v="3"/>
    <s v="Szabó Petra"/>
    <x v="3"/>
    <s v="HUN"/>
    <n v="3"/>
    <m/>
    <s v="Gyöngyös"/>
    <d v="2026-03-07T00:00:00"/>
    <s v="Szabó Petra - Shogun"/>
    <x v="0"/>
    <s v="Shogun"/>
    <x v="1"/>
    <s v="junior"/>
  </r>
  <r>
    <x v="2"/>
    <n v="2"/>
    <n v="494"/>
    <x v="1"/>
    <s v="Kata, -, 0-170 kg, Junior DOL (17-19"/>
    <s v="Kata, junior lány"/>
    <s v="6"/>
    <s v="8 fős egyenes kiesés + 3. hely"/>
    <s v="1"/>
    <s v="Rácz Viktória"/>
    <x v="3"/>
    <s v="HUN"/>
    <n v="5"/>
    <s v="6 fő esetén az 1-3 kap pontot"/>
    <s v="Gyöngyös"/>
    <d v="2026-03-07T00:00:00"/>
    <s v="Rácz Viktória - Shogun"/>
    <x v="0"/>
    <s v="Shogun"/>
    <x v="1"/>
    <s v="junior"/>
  </r>
  <r>
    <x v="2"/>
    <n v="2"/>
    <n v="488"/>
    <x v="1"/>
    <s v="Kata, -, 0-170 kg, Junior DOL (17-19"/>
    <s v="Kata, junior lány"/>
    <s v="6"/>
    <s v="8 fős egyenes kiesés + 3. hely"/>
    <s v="2"/>
    <s v="Gerő Hanna Gréta"/>
    <x v="21"/>
    <s v="HUN"/>
    <n v="4"/>
    <s v="6 fő esetén az 1-3 kap pontot"/>
    <s v="Gyöngyös"/>
    <d v="2026-03-07T00:00:00"/>
    <s v="Gerő Hanna Gréta - Kagami"/>
    <x v="0"/>
    <s v="Kagami"/>
    <x v="1"/>
    <s v="junior"/>
  </r>
  <r>
    <x v="2"/>
    <n v="2"/>
    <n v="495"/>
    <x v="1"/>
    <s v="Kata, -, 0-170 kg, Junior DOL (17-19"/>
    <s v="Kata, junior lány"/>
    <s v="6"/>
    <s v="8 fős egyenes kiesés + 3. hely"/>
    <s v="3"/>
    <s v="Sólyom Gréta"/>
    <x v="3"/>
    <s v="HUN"/>
    <n v="2"/>
    <s v="6 fő esetén az 1-3 kap pontot"/>
    <s v="Gyöngyös"/>
    <d v="2026-03-07T00:00:00"/>
    <s v="Sólyom Gréta - Shogun"/>
    <x v="0"/>
    <s v="Shogun"/>
    <x v="1"/>
    <s v="junior"/>
  </r>
  <r>
    <x v="2"/>
    <n v="2"/>
    <n v="496"/>
    <x v="1"/>
    <s v="Kata, -, 0-170 kg, Junior DOL (17-19"/>
    <s v="Kata, junior lány"/>
    <s v="6"/>
    <s v="8 fős egyenes kiesés + 3. hely"/>
    <s v="4"/>
    <s v="Arnódi Gréta Bernadette"/>
    <x v="21"/>
    <s v="HUN"/>
    <n v="0"/>
    <s v="6 fő esetén az 1-3 kap pontot"/>
    <s v="Gyöngyös"/>
    <d v="2026-03-07T00:00:00"/>
    <s v="Arnódi Gréta Bernadette - Kagami"/>
    <x v="0"/>
    <s v="Kagami"/>
    <x v="1"/>
    <s v="junior"/>
  </r>
  <r>
    <x v="2"/>
    <n v="2"/>
    <n v="489"/>
    <x v="1"/>
    <s v="Kata, -, 0-170 kg, Junior DOL (17-19"/>
    <s v="Kata, junior lány"/>
    <s v="6"/>
    <s v="8 fős egyenes kiesés + 3. hely"/>
    <s v="5"/>
    <s v="Szutor Anna"/>
    <x v="3"/>
    <s v="HUN"/>
    <n v="0"/>
    <s v="6 fő esetén az 1-3 kap pontot"/>
    <s v="Gyöngyös"/>
    <d v="2026-03-07T00:00:00"/>
    <s v="Szutor Anna - Shogun"/>
    <x v="0"/>
    <s v="Shogun"/>
    <x v="1"/>
    <s v="junior"/>
  </r>
  <r>
    <x v="2"/>
    <n v="2"/>
    <n v="490"/>
    <x v="1"/>
    <s v="Kata, -, 0-170 kg, Junior DOL (17-19"/>
    <s v="Kata, junior lány"/>
    <s v="6"/>
    <s v="8 fős egyenes kiesés + 3. hely"/>
    <s v="7-8"/>
    <s v="Orosz Dorina"/>
    <x v="46"/>
    <s v="HUN"/>
    <n v="0"/>
    <s v="6 fő esetén az 1-3 kap pontot"/>
    <s v="Gyöngyös"/>
    <d v="2026-03-07T00:00:00"/>
    <s v="Orosz Dorina - Kemecse SE"/>
    <x v="0"/>
    <s v="Kemecse SE"/>
    <x v="1"/>
    <s v="junior"/>
  </r>
  <r>
    <x v="2"/>
    <n v="2"/>
    <n v="492"/>
    <x v="1"/>
    <s v="Kata, -, 0-170 kg, Junior DOL (17-19"/>
    <s v="Kata, junior fiú"/>
    <s v="6"/>
    <s v="8 fős egyenes kiesés + 3. hely"/>
    <s v="7-8"/>
    <s v="Takács-Sárkány Zalán"/>
    <x v="7"/>
    <s v="HUN"/>
    <n v="0"/>
    <s v="6 fő esetén az 1-3 kap pontot"/>
    <s v="Gyöngyös"/>
    <d v="2026-03-07T00:00:00"/>
    <s v="Takács-Sárkány Zalán - KHSE"/>
    <x v="0"/>
    <s v="KHSE"/>
    <x v="1"/>
    <s v="junior"/>
  </r>
  <r>
    <x v="3"/>
    <s v="3A"/>
    <n v="498"/>
    <x v="0"/>
    <s v="Kumite, -, 0-30 kg, Gyerek 1. (9-10"/>
    <s v="Kumite, gyerek 1. fiú 30 kg"/>
    <s v="11"/>
    <s v="16 fős egyenes kiesés"/>
    <s v="1"/>
    <s v="Szlivka Botond Csaba"/>
    <x v="3"/>
    <s v="HUN"/>
    <n v="10"/>
    <m/>
    <s v="Szigetszentmiklós"/>
    <d v="2026-03-22T00:00:00"/>
    <s v="Szlivka Botond Csaba - Shogun"/>
    <x v="0"/>
    <s v="Shogun"/>
    <x v="1"/>
    <s v="gyerek"/>
  </r>
  <r>
    <x v="3"/>
    <s v="3A"/>
    <n v="499"/>
    <x v="0"/>
    <s v="Kumite, -, 0-30 kg, Gyerek 1. (9-10"/>
    <s v="Kumite, gyerek 1. fiú 30 kg"/>
    <s v="11"/>
    <s v="16 fős egyenes kiesés"/>
    <s v="2"/>
    <s v="Vámosi Juhász Ádám"/>
    <x v="24"/>
    <s v="HUN"/>
    <n v="8"/>
    <m/>
    <s v="Szigetszentmiklós"/>
    <d v="2026-03-22T00:00:00"/>
    <s v="Vámosi Juhász Ádám - Nagykátai Bushido SE"/>
    <x v="0"/>
    <s v="Nagykátai Bushido SE"/>
    <x v="1"/>
    <s v="gyerek"/>
  </r>
  <r>
    <x v="3"/>
    <s v="3A"/>
    <n v="500"/>
    <x v="0"/>
    <s v="Kumite, -, 0-30 kg, Gyerek 1. (9-10"/>
    <s v="Kumite, gyerek 1. fiú 30 kg"/>
    <s v="11"/>
    <s v="16 fős egyenes kiesés"/>
    <s v="3"/>
    <s v="Zajácz Imre"/>
    <x v="13"/>
    <s v="HUN"/>
    <n v="6"/>
    <m/>
    <s v="Szigetszentmiklós"/>
    <d v="2026-03-22T00:00:00"/>
    <s v="Zajácz Imre - Kamikaze S"/>
    <x v="0"/>
    <s v="Kamikaze S"/>
    <x v="1"/>
    <s v="gyerek"/>
  </r>
  <r>
    <x v="3"/>
    <s v="3A"/>
    <n v="501"/>
    <x v="0"/>
    <s v="Kumite, -, 0-30 kg, Gyerek 1. (9-10"/>
    <s v="Kumite, gyerek 1. fiú 30 kg"/>
    <s v="11"/>
    <s v="16 fős egyenes kiesés"/>
    <s v="3"/>
    <s v="Aldubai Mohamed Hamzah"/>
    <x v="0"/>
    <s v="HUN"/>
    <n v="6"/>
    <m/>
    <s v="Szigetszentmiklós"/>
    <d v="2026-03-22T00:00:00"/>
    <s v="Aldubai Mohamed Hamzah - Victory"/>
    <x v="0"/>
    <s v="Victory"/>
    <x v="1"/>
    <s v="gyerek"/>
  </r>
  <r>
    <x v="3"/>
    <s v="3A"/>
    <n v="502"/>
    <x v="0"/>
    <s v="Kumite, -, 0-30 kg, Gyerek 1. (9-10"/>
    <s v="Kumite, gyerek 1. fiú 30 kg"/>
    <s v="11"/>
    <s v="16 fős egyenes kiesés"/>
    <s v="5"/>
    <s v="Hadnagy Botond"/>
    <x v="26"/>
    <s v="HUN"/>
    <n v="0"/>
    <s v="nem volt nyertes mérkőzése"/>
    <s v="Szigetszentmiklós"/>
    <d v="2026-03-22T00:00:00"/>
    <s v="Hadnagy Botond - Rokku KKSE"/>
    <x v="0"/>
    <s v="Rokku KKSE"/>
    <x v="1"/>
    <s v="gyerek"/>
  </r>
  <r>
    <x v="3"/>
    <s v="3A"/>
    <n v="503"/>
    <x v="0"/>
    <s v="Kumite, -, 0-30 kg, Gyerek 1. (9-10"/>
    <s v="Kumite, gyerek 1. fiú 30 kg"/>
    <s v="11"/>
    <s v="16 fős egyenes kiesés"/>
    <s v="6"/>
    <s v="Aupek Márk"/>
    <x v="19"/>
    <s v="HUN"/>
    <n v="3"/>
    <m/>
    <s v="Szigetszentmiklós"/>
    <d v="2026-03-22T00:00:00"/>
    <s v="Aupek Márk - VTSE"/>
    <x v="1"/>
    <s v="VTSE"/>
    <x v="1"/>
    <s v="gyerek"/>
  </r>
  <r>
    <x v="3"/>
    <s v="3A"/>
    <n v="504"/>
    <x v="0"/>
    <s v="Kumite, -, 0-30 kg, Gyerek 1. (9-10"/>
    <s v="Kumite, gyerek 1. fiú 30 kg"/>
    <s v="11"/>
    <s v="16 fős egyenes kiesés"/>
    <s v="7-8"/>
    <s v="Kovács Kornél"/>
    <x v="47"/>
    <s v="HUN"/>
    <n v="3"/>
    <m/>
    <s v="Szigetszentmiklós"/>
    <d v="2026-03-22T00:00:00"/>
    <s v="Kovács Kornél - KYO Fighter SE"/>
    <x v="0"/>
    <s v="KYO Fighter SE"/>
    <x v="1"/>
    <s v="gyerek"/>
  </r>
  <r>
    <x v="3"/>
    <s v="3A"/>
    <n v="505"/>
    <x v="0"/>
    <s v="Kumite, -, 0-30 kg, Gyerek 1. (9-10"/>
    <s v="Kumite, gyerek 1. fiú 30 kg"/>
    <s v="11"/>
    <s v="16 fős egyenes kiesés"/>
    <s v="7-8"/>
    <s v="Lajkó Vince"/>
    <x v="49"/>
    <s v="HUN"/>
    <n v="3"/>
    <m/>
    <s v="Szigetszentmiklós"/>
    <d v="2026-03-22T00:00:00"/>
    <s v="Lajkó Vince - Buke Reikon HRSE"/>
    <x v="0"/>
    <s v="Buke Reikon HRSE"/>
    <x v="1"/>
    <s v="gyerek"/>
  </r>
  <r>
    <x v="3"/>
    <s v="3A"/>
    <n v="506"/>
    <x v="0"/>
    <s v="Kumite, -, 0-30 kg, Gyerek 1. (9-10"/>
    <s v="Kumite, gyerek 1. fiú 30 kg"/>
    <s v="11"/>
    <s v="16 fős egyenes kiesés"/>
    <s v="11-16"/>
    <s v="Huszti Dániel"/>
    <x v="3"/>
    <s v="HUN"/>
    <n v="0"/>
    <m/>
    <s v="Szigetszentmiklós"/>
    <d v="2026-03-22T00:00:00"/>
    <s v="Huszti Dániel - Shogun"/>
    <x v="0"/>
    <s v="Shogun"/>
    <x v="1"/>
    <s v="gyerek"/>
  </r>
  <r>
    <x v="3"/>
    <s v="3A"/>
    <n v="507"/>
    <x v="0"/>
    <s v="Kumite, -, 0-30 kg, Gyerek 1. (9-10"/>
    <s v="Kumite, gyerek 1. fiú 30 kg"/>
    <s v="11"/>
    <s v="16 fős egyenes kiesés"/>
    <s v="11-16"/>
    <s v="Csordás Olivér"/>
    <x v="15"/>
    <s v="HUN"/>
    <n v="0"/>
    <m/>
    <s v="Szigetszentmiklós"/>
    <d v="2026-03-22T00:00:00"/>
    <s v="Csordás Olivér - KSE Tarján"/>
    <x v="0"/>
    <s v="KSE Tarján"/>
    <x v="1"/>
    <s v="gyerek"/>
  </r>
  <r>
    <x v="3"/>
    <s v="3A"/>
    <n v="508"/>
    <x v="0"/>
    <s v="Kumite, -, 0-30 kg, Gyerek 1. (9-10"/>
    <s v="Kumite, gyerek 1. fiú 30 kg"/>
    <s v="11"/>
    <s v="16 fős egyenes kiesés"/>
    <s v="11-16"/>
    <s v="Sárközi Bence"/>
    <x v="3"/>
    <s v="HUN"/>
    <n v="0"/>
    <m/>
    <s v="Szigetszentmiklós"/>
    <d v="2026-03-22T00:00:00"/>
    <s v="Sárközi Bence - Shogun"/>
    <x v="0"/>
    <s v="Shogun"/>
    <x v="1"/>
    <s v="gyerek"/>
  </r>
  <r>
    <x v="3"/>
    <s v="3A"/>
    <n v="509"/>
    <x v="0"/>
    <s v="Kumite, -, 30-35 kg, Gyerek 1. (9-10"/>
    <s v="Kumite, gyerek 1. fiú 35 kg"/>
    <s v="11"/>
    <s v="16 fős egyenes kiesés"/>
    <s v="1"/>
    <s v="Gombos-Weidinger Bence"/>
    <x v="17"/>
    <s v="HUN"/>
    <n v="10"/>
    <m/>
    <s v="Szigetszentmiklós"/>
    <d v="2026-03-22T00:00:00"/>
    <s v="Gombos-Weidinger Bence - BHMSE"/>
    <x v="0"/>
    <s v="BHMSE"/>
    <x v="1"/>
    <s v="gyerek"/>
  </r>
  <r>
    <x v="3"/>
    <s v="3A"/>
    <n v="510"/>
    <x v="0"/>
    <s v="Kumite, -, 30-35 kg, Gyerek 1. (9-10"/>
    <s v="Kumite, gyerek 1. fiú 35 kg"/>
    <s v="11"/>
    <s v="16 fős egyenes kiesés"/>
    <s v="2"/>
    <s v="Blokhin Alexei"/>
    <x v="0"/>
    <s v="HUN"/>
    <n v="8"/>
    <m/>
    <s v="Szigetszentmiklós"/>
    <d v="2026-03-22T00:00:00"/>
    <s v="Blokhin Alexei - Victory"/>
    <x v="0"/>
    <s v="Victory"/>
    <x v="1"/>
    <s v="gyerek"/>
  </r>
  <r>
    <x v="3"/>
    <s v="3A"/>
    <n v="511"/>
    <x v="0"/>
    <s v="Kumite, -, 30-35 kg, Gyerek 1. (9-10"/>
    <s v="Kumite, gyerek 1. fiú 35 kg"/>
    <s v="11"/>
    <s v="16 fős egyenes kiesés"/>
    <s v="3"/>
    <s v="Oszlánczi Zente"/>
    <x v="47"/>
    <s v="HUN"/>
    <n v="6"/>
    <m/>
    <s v="Szigetszentmiklós"/>
    <d v="2026-03-22T00:00:00"/>
    <s v="Oszlánczi Zente - KYO Fighter SE"/>
    <x v="0"/>
    <s v="KYO Fighter SE"/>
    <x v="1"/>
    <s v="gyerek"/>
  </r>
  <r>
    <x v="3"/>
    <s v="3A"/>
    <n v="512"/>
    <x v="0"/>
    <s v="Kumite, -, 30-35 kg, Gyerek 1. (9-10"/>
    <s v="Kumite, gyerek 1. fiú 35 kg"/>
    <s v="11"/>
    <s v="16 fős egyenes kiesés"/>
    <s v="3"/>
    <s v="Marjai Sándor"/>
    <x v="45"/>
    <s v="HUN"/>
    <n v="6"/>
    <m/>
    <s v="Szigetszentmiklós"/>
    <d v="2026-03-22T00:00:00"/>
    <s v="Marjai Sándor - Kelemen-Team"/>
    <x v="0"/>
    <s v="Kelemen-Team"/>
    <x v="1"/>
    <s v="gyerek"/>
  </r>
  <r>
    <x v="3"/>
    <s v="3A"/>
    <n v="513"/>
    <x v="0"/>
    <s v="Kumite, -, 30-35 kg, Gyerek 1. (9-10"/>
    <s v="Kumite, gyerek 1. fiú 35 kg"/>
    <s v="11"/>
    <s v="16 fős egyenes kiesés"/>
    <s v="5"/>
    <s v="Dániel Bence"/>
    <x v="3"/>
    <s v="HUN"/>
    <n v="3"/>
    <m/>
    <s v="Szigetszentmiklós"/>
    <d v="2026-03-22T00:00:00"/>
    <s v="Dániel Bence - Shogun"/>
    <x v="0"/>
    <s v="Shogun"/>
    <x v="1"/>
    <s v="gyerek"/>
  </r>
  <r>
    <x v="3"/>
    <s v="3A"/>
    <n v="514"/>
    <x v="0"/>
    <s v="Kumite, -, 30-35 kg, Gyerek 1. (9-10"/>
    <s v="Kumite, gyerek 1. fiú 35 kg"/>
    <s v="11"/>
    <s v="16 fős egyenes kiesés"/>
    <s v="6"/>
    <s v="Seres Zoltán"/>
    <x v="1"/>
    <s v="HUN"/>
    <n v="0"/>
    <s v="nem volt nyertes mérkőzése"/>
    <s v="Szigetszentmiklós"/>
    <d v="2026-03-22T00:00:00"/>
    <s v="Seres Zoltán - Ippon KKSE"/>
    <x v="0"/>
    <s v="Ippon KKSE"/>
    <x v="1"/>
    <s v="gyerek"/>
  </r>
  <r>
    <x v="3"/>
    <s v="3A"/>
    <n v="515"/>
    <x v="0"/>
    <s v="Kumite, -, 30-35 kg, Gyerek 1. (9-10"/>
    <s v="Kumite, gyerek 1. fiú 35 kg"/>
    <s v="11"/>
    <s v="16 fős egyenes kiesés"/>
    <s v="7-8"/>
    <s v="Lévai Benedek"/>
    <x v="17"/>
    <s v="HUN"/>
    <n v="0"/>
    <s v="nem volt nyertes mérkőzése"/>
    <s v="Szigetszentmiklós"/>
    <d v="2026-03-22T00:00:00"/>
    <s v="Lévai Benedek - BHMSE"/>
    <x v="0"/>
    <s v="BHMSE"/>
    <x v="1"/>
    <s v="gyerek"/>
  </r>
  <r>
    <x v="3"/>
    <s v="3A"/>
    <n v="516"/>
    <x v="0"/>
    <s v="Kumite, -, 30-35 kg, Gyerek 1. (9-10"/>
    <s v="Kumite, gyerek 1. fiú 35 kg"/>
    <s v="11"/>
    <s v="16 fős egyenes kiesés"/>
    <s v="7-8"/>
    <s v="Mohácsi DOminik"/>
    <x v="0"/>
    <s v="HUN"/>
    <n v="0"/>
    <s v="nem volt nyertes mérkőzése"/>
    <s v="Szigetszentmiklós"/>
    <d v="2026-03-22T00:00:00"/>
    <s v="Mohácsi DOminik - Victory"/>
    <x v="0"/>
    <s v="Victory"/>
    <x v="1"/>
    <s v="gyerek"/>
  </r>
  <r>
    <x v="3"/>
    <s v="3A"/>
    <n v="517"/>
    <x v="0"/>
    <s v="Kumite, -, 30-35 kg, Gyerek 1. (9-10"/>
    <s v="Kumite, gyerek 1. fiú 35 kg"/>
    <s v="11"/>
    <s v="16 fős egyenes kiesés"/>
    <s v="10"/>
    <s v="Bányai Kende"/>
    <x v="19"/>
    <s v="HUN"/>
    <n v="0"/>
    <m/>
    <s v="Szigetszentmiklós"/>
    <d v="2026-03-22T00:00:00"/>
    <s v="Bányai Kende - VTSE"/>
    <x v="1"/>
    <s v="VTSE"/>
    <x v="1"/>
    <s v="gyerek"/>
  </r>
  <r>
    <x v="3"/>
    <s v="3A"/>
    <n v="518"/>
    <x v="0"/>
    <s v="Kumite, -, 30-35 kg, Gyerek 1. (9-10"/>
    <s v="Kumite, gyerek 1. fiú 35 kg"/>
    <s v="11"/>
    <s v="16 fős egyenes kiesés"/>
    <s v="11-16"/>
    <s v="Kádár Boldizsár"/>
    <x v="23"/>
    <s v="HUN"/>
    <n v="0"/>
    <m/>
    <s v="Szigetszentmiklós"/>
    <d v="2026-03-22T00:00:00"/>
    <s v="Kádár Boldizsár - Rakurai"/>
    <x v="0"/>
    <s v="Rakurai"/>
    <x v="1"/>
    <s v="gyerek"/>
  </r>
  <r>
    <x v="3"/>
    <s v="3A"/>
    <n v="519"/>
    <x v="0"/>
    <s v="Kumite, -, 30-35 kg, Gyerek 1. (9-10"/>
    <s v="Kumite, gyerek 1. fiú 35 kg"/>
    <s v="11"/>
    <s v="16 fős egyenes kiesés"/>
    <s v="11-16"/>
    <s v="Papp László"/>
    <x v="45"/>
    <s v="HUN"/>
    <n v="0"/>
    <m/>
    <s v="Szigetszentmiklós"/>
    <d v="2026-03-22T00:00:00"/>
    <s v="Papp László - Kelemen-Team"/>
    <x v="0"/>
    <s v="Kelemen-Team"/>
    <x v="1"/>
    <s v="gyerek"/>
  </r>
  <r>
    <x v="3"/>
    <s v="3A"/>
    <n v="520"/>
    <x v="0"/>
    <s v="Kumite, -, 35-99 kg, Gyerek 1. (9-10"/>
    <s v="Kumite, gyerek 1. fiú +35 kg"/>
    <s v="9"/>
    <s v="16 fős egyenes kiesés"/>
    <s v="1"/>
    <s v="Petrohai Dávid"/>
    <x v="3"/>
    <s v="HUN"/>
    <n v="10"/>
    <m/>
    <s v="Szigetszentmiklós"/>
    <d v="2026-03-22T00:00:00"/>
    <s v="Petrohai Dávid - Shogun"/>
    <x v="0"/>
    <s v="Shogun"/>
    <x v="1"/>
    <s v="gyerek"/>
  </r>
  <r>
    <x v="3"/>
    <s v="3A"/>
    <n v="521"/>
    <x v="0"/>
    <s v="Kumite, -, 35-99 kg, Gyerek 1. (9-10"/>
    <s v="Kumite, gyerek 1. fiú +35 kg"/>
    <s v="9"/>
    <s v="16 fős egyenes kiesés"/>
    <s v="2"/>
    <s v="Dudás Benedek"/>
    <x v="12"/>
    <s v="HUN"/>
    <n v="8"/>
    <m/>
    <s v="Szigetszentmiklós"/>
    <d v="2026-03-22T00:00:00"/>
    <s v="Dudás Benedek - Bendiák Dojo"/>
    <x v="0"/>
    <s v="Bendiák Dojo"/>
    <x v="1"/>
    <s v="gyerek"/>
  </r>
  <r>
    <x v="3"/>
    <s v="3A"/>
    <n v="522"/>
    <x v="0"/>
    <s v="Kumite, -, 35-99 kg, Gyerek 1. (9-10"/>
    <s v="Kumite, gyerek 1. fiú +35 kg"/>
    <s v="9"/>
    <s v="16 fős egyenes kiesés"/>
    <s v="3"/>
    <s v="Kasza Benett"/>
    <x v="24"/>
    <s v="HUN"/>
    <n v="6"/>
    <m/>
    <s v="Szigetszentmiklós"/>
    <d v="2026-03-22T00:00:00"/>
    <s v="Kasza Benett - Nagykátai Bushido SE"/>
    <x v="0"/>
    <s v="Nagykátai Bushido SE"/>
    <x v="1"/>
    <s v="gyerek"/>
  </r>
  <r>
    <x v="3"/>
    <s v="3A"/>
    <n v="523"/>
    <x v="0"/>
    <s v="Kumite, -, 35-99 kg, Gyerek 1. (9-10"/>
    <s v="Kumite, gyerek 1. fiú +35 kg"/>
    <s v="9"/>
    <s v="16 fős egyenes kiesés"/>
    <s v="3"/>
    <s v="Szabó Marcell Károly"/>
    <x v="25"/>
    <s v="HUN"/>
    <n v="6"/>
    <m/>
    <s v="Szigetszentmiklós"/>
    <d v="2026-03-22T00:00:00"/>
    <s v="Szabó Marcell Károly - Katana SE"/>
    <x v="0"/>
    <s v="Katana SE"/>
    <x v="1"/>
    <s v="gyerek"/>
  </r>
  <r>
    <x v="3"/>
    <s v="3A"/>
    <n v="524"/>
    <x v="0"/>
    <s v="Kumite, -, 35-99 kg, Gyerek 1. (9-10"/>
    <s v="Kumite, gyerek 1. fiú +35 kg"/>
    <s v="9"/>
    <s v="16 fős egyenes kiesés"/>
    <s v="5"/>
    <s v="Tamási Péter Tamás"/>
    <x v="6"/>
    <s v="HUN"/>
    <n v="0"/>
    <s v="nem volt nyertes mérkőzése"/>
    <s v="Szigetszentmiklós"/>
    <d v="2026-03-22T00:00:00"/>
    <s v="Tamási Péter Tamás - Castrum"/>
    <x v="0"/>
    <s v="Castrum"/>
    <x v="1"/>
    <s v="gyerek"/>
  </r>
  <r>
    <x v="3"/>
    <s v="3A"/>
    <n v="525"/>
    <x v="0"/>
    <s v="Kumite, -, 35-99 kg, Gyerek 1. (9-10"/>
    <s v="Kumite, gyerek 1. fiú +35 kg"/>
    <s v="9"/>
    <s v="16 fős egyenes kiesés"/>
    <s v="6"/>
    <s v="Dócs Nándor"/>
    <x v="14"/>
    <s v="HUN"/>
    <n v="3"/>
    <m/>
    <s v="Szigetszentmiklós"/>
    <d v="2026-03-22T00:00:00"/>
    <s v="Dócs Nándor - Nozomu Dojo"/>
    <x v="0"/>
    <s v="Nozomu Dojo"/>
    <x v="1"/>
    <s v="gyerek"/>
  </r>
  <r>
    <x v="3"/>
    <s v="3A"/>
    <n v="526"/>
    <x v="0"/>
    <s v="Kumite, -, 35-99 kg, Gyerek 1. (9-10"/>
    <s v="Kumite, gyerek 1. fiú +35 kg"/>
    <s v="9"/>
    <s v="16 fős egyenes kiesés"/>
    <s v="7-8"/>
    <s v="Máté Lénárd"/>
    <x v="45"/>
    <s v="HUN"/>
    <n v="0"/>
    <s v="nem volt nyertes mérkőzése"/>
    <s v="Szigetszentmiklós"/>
    <d v="2026-03-22T00:00:00"/>
    <s v="Máté Lénárd - Kelemen-Team"/>
    <x v="0"/>
    <s v="Kelemen-Team"/>
    <x v="1"/>
    <s v="gyerek"/>
  </r>
  <r>
    <x v="3"/>
    <s v="3A"/>
    <n v="527"/>
    <x v="0"/>
    <s v="Kumite, -, 35-99 kg, Gyerek 1. (9-10"/>
    <s v="Kumite, gyerek 1. fiú +35 kg"/>
    <s v="9"/>
    <s v="16 fős egyenes kiesés"/>
    <s v="7-8"/>
    <s v="Petróczki Bendegúz"/>
    <x v="18"/>
    <s v="HUN"/>
    <n v="0"/>
    <m/>
    <s v="Szigetszentmiklós"/>
    <d v="2026-03-22T00:00:00"/>
    <s v="Petróczki Bendegúz - Bátor KSE"/>
    <x v="0"/>
    <s v="Bátor KSE"/>
    <x v="1"/>
    <s v="gyerek"/>
  </r>
  <r>
    <x v="3"/>
    <s v="3A"/>
    <n v="528"/>
    <x v="0"/>
    <s v="Kumite, -, 35-99 kg, Gyerek 1. (9-10"/>
    <s v="Kumite, gyerek 1. fiú +35 kg"/>
    <s v="9"/>
    <s v="16 fős egyenes kiesés"/>
    <s v="11-16"/>
    <s v="Bakonyi Erik"/>
    <x v="17"/>
    <s v="HUN"/>
    <n v="0"/>
    <m/>
    <s v="Szigetszentmiklós"/>
    <d v="2026-03-22T00:00:00"/>
    <s v="Bakonyi Erik - BHMSE"/>
    <x v="0"/>
    <s v="BHMSE"/>
    <x v="1"/>
    <s v="gyerek"/>
  </r>
  <r>
    <x v="3"/>
    <s v="3A"/>
    <n v="529"/>
    <x v="1"/>
    <s v="Kata, -, 0-100 kg, Gyerek 1. (9-10"/>
    <s v="Kata, gyerek 1. fiú"/>
    <s v="18"/>
    <s v="32 fős egyenes kiesés"/>
    <s v="1"/>
    <s v="Petrohai Dávid"/>
    <x v="3"/>
    <s v="HUN"/>
    <n v="10"/>
    <m/>
    <s v="Szigetszentmiklós"/>
    <d v="2026-03-22T00:00:00"/>
    <s v="Petrohai Dávid - Shogun"/>
    <x v="0"/>
    <s v="Shogun"/>
    <x v="1"/>
    <s v="gyerek"/>
  </r>
  <r>
    <x v="3"/>
    <s v="3A"/>
    <n v="530"/>
    <x v="1"/>
    <s v="Kata, -, 0-100 kg, Gyerek 1. (9-10"/>
    <s v="Kata, gyerek 1. fiú"/>
    <s v="18"/>
    <s v="32 fős egyenes kiesés"/>
    <s v="2"/>
    <s v="Szlivka Botond Csaba"/>
    <x v="3"/>
    <s v="HUN"/>
    <n v="7"/>
    <m/>
    <s v="Szigetszentmiklós"/>
    <d v="2026-03-22T00:00:00"/>
    <s v="Szlivka Botond Csaba - Shogun"/>
    <x v="0"/>
    <s v="Shogun"/>
    <x v="1"/>
    <s v="gyerek"/>
  </r>
  <r>
    <x v="3"/>
    <s v="3A"/>
    <n v="531"/>
    <x v="1"/>
    <s v="Kata, -, 0-100 kg, Gyerek 1. (9-10"/>
    <s v="Kata, gyerek 1. fiú"/>
    <s v="18"/>
    <s v="32 fős egyenes kiesés"/>
    <s v="3"/>
    <s v="Huszti Dániel"/>
    <x v="3"/>
    <s v="HUN"/>
    <n v="5"/>
    <m/>
    <s v="Szigetszentmiklós"/>
    <d v="2026-03-22T00:00:00"/>
    <s v="Huszti Dániel - Shogun"/>
    <x v="0"/>
    <s v="Shogun"/>
    <x v="1"/>
    <s v="gyerek"/>
  </r>
  <r>
    <x v="3"/>
    <s v="3A"/>
    <n v="532"/>
    <x v="1"/>
    <s v="Kata, -, 0-100 kg, Gyerek 1. (9-10"/>
    <s v="Kata, gyerek 1. fiú"/>
    <s v="18"/>
    <s v="32 fős egyenes kiesés"/>
    <s v="3"/>
    <s v="Németh Dávid"/>
    <x v="17"/>
    <s v="HUN"/>
    <n v="5"/>
    <m/>
    <s v="Szigetszentmiklós"/>
    <d v="2026-03-22T00:00:00"/>
    <s v="Németh Dávid - BHMSE"/>
    <x v="0"/>
    <s v="BHMSE"/>
    <x v="1"/>
    <s v="gyerek"/>
  </r>
  <r>
    <x v="3"/>
    <s v="3A"/>
    <n v="533"/>
    <x v="1"/>
    <s v="Kata, -, 0-100 kg, Gyerek 1. (9-10"/>
    <s v="Kata, gyerek 1. fiú"/>
    <s v="18"/>
    <s v="32 fős egyenes kiesés"/>
    <s v="5"/>
    <s v="Dániel Bence"/>
    <x v="3"/>
    <s v="HUN"/>
    <n v="3"/>
    <m/>
    <s v="Szigetszentmiklós"/>
    <d v="2026-03-22T00:00:00"/>
    <s v="Dániel Bence - Shogun"/>
    <x v="0"/>
    <s v="Shogun"/>
    <x v="1"/>
    <s v="gyerek"/>
  </r>
  <r>
    <x v="3"/>
    <s v="3A"/>
    <n v="534"/>
    <x v="1"/>
    <s v="Kata, -, 0-100 kg, Gyerek 1. (9-10"/>
    <s v="Kata, gyerek 1. fiú"/>
    <s v="18"/>
    <s v="32 fős egyenes kiesés"/>
    <s v="6"/>
    <s v="Karácsony Vadim"/>
    <x v="17"/>
    <s v="HUN"/>
    <n v="3"/>
    <m/>
    <s v="Szigetszentmiklós"/>
    <d v="2026-03-22T00:00:00"/>
    <s v="Karácsony Vadim - BHMSE"/>
    <x v="0"/>
    <s v="BHMSE"/>
    <x v="1"/>
    <s v="gyerek"/>
  </r>
  <r>
    <x v="3"/>
    <s v="3A"/>
    <n v="535"/>
    <x v="1"/>
    <s v="Kata, -, 0-100 kg, Gyerek 1. (9-10"/>
    <s v="Kata, gyerek 1. fiú"/>
    <s v="18"/>
    <s v="32 fős egyenes kiesés"/>
    <s v="7-8"/>
    <s v="Sárközi Bence"/>
    <x v="3"/>
    <s v="HUN"/>
    <n v="3"/>
    <m/>
    <s v="Szigetszentmiklós"/>
    <d v="2026-03-22T00:00:00"/>
    <s v="Sárközi Bence - Shogun"/>
    <x v="0"/>
    <s v="Shogun"/>
    <x v="1"/>
    <s v="gyerek"/>
  </r>
  <r>
    <x v="3"/>
    <s v="3A"/>
    <n v="536"/>
    <x v="1"/>
    <s v="Kata, -, 0-100 kg, Gyerek 1. (9-10"/>
    <s v="Kata, gyerek 1. fiú"/>
    <s v="18"/>
    <s v="32 fős egyenes kiesés"/>
    <s v="7-8"/>
    <s v="Bakonyi Erik"/>
    <x v="17"/>
    <s v="HUN"/>
    <n v="3"/>
    <m/>
    <s v="Szigetszentmiklós"/>
    <d v="2026-03-22T00:00:00"/>
    <s v="Bakonyi Erik - BHMSE"/>
    <x v="0"/>
    <s v="BHMSE"/>
    <x v="1"/>
    <s v="gyerek"/>
  </r>
  <r>
    <x v="3"/>
    <s v="3A"/>
    <n v="537"/>
    <x v="1"/>
    <s v="Kata, -, 0-100 kg, Gyerek 1. (9-10"/>
    <s v="Kata, gyerek 1. fiú"/>
    <s v="18"/>
    <s v="32 fős egyenes kiesés"/>
    <s v="9"/>
    <s v="Gattoni Marcello"/>
    <x v="17"/>
    <s v="HUN"/>
    <n v="0"/>
    <m/>
    <s v="Szigetszentmiklós"/>
    <d v="2026-03-22T00:00:00"/>
    <s v="Gattoni Marcello - BHMSE"/>
    <x v="0"/>
    <s v="BHMSE"/>
    <x v="1"/>
    <s v="gyerek"/>
  </r>
  <r>
    <x v="3"/>
    <s v="3A"/>
    <n v="538"/>
    <x v="1"/>
    <s v="Kata, -, 0-100 kg, Gyerek 1. (9-10"/>
    <s v="Kata, gyerek 1. fiú"/>
    <s v="18"/>
    <s v="32 fős egyenes kiesés"/>
    <s v="10"/>
    <s v="Gruber Marcell"/>
    <x v="22"/>
    <s v="HUN"/>
    <n v="0"/>
    <m/>
    <s v="Szigetszentmiklós"/>
    <d v="2026-03-22T00:00:00"/>
    <s v="Gruber Marcell - Siófok KSE"/>
    <x v="0"/>
    <s v="Siófok KSE"/>
    <x v="1"/>
    <s v="gyerek"/>
  </r>
  <r>
    <x v="3"/>
    <s v="3A"/>
    <n v="539"/>
    <x v="1"/>
    <s v="Kata, -, 0-100 kg, Gyerek 1. (9-10"/>
    <s v="Kata, gyerek 1. fiú"/>
    <s v="18"/>
    <s v="32 fős egyenes kiesés"/>
    <s v="11-16"/>
    <s v="Csordás Olivér"/>
    <x v="15"/>
    <s v="HUN"/>
    <n v="0"/>
    <m/>
    <s v="Szigetszentmiklós"/>
    <d v="2026-03-22T00:00:00"/>
    <s v="Csordás Olivér - KSE Tarján"/>
    <x v="0"/>
    <s v="KSE Tarján"/>
    <x v="1"/>
    <s v="gyerek"/>
  </r>
  <r>
    <x v="3"/>
    <s v="3A"/>
    <n v="540"/>
    <x v="1"/>
    <s v="Kata, -, 0-100 kg, Gyerek 1. (9-10"/>
    <s v="Kata, gyerek 1. fiú"/>
    <s v="18"/>
    <s v="32 fős egyenes kiesés"/>
    <s v="11-16"/>
    <s v="Aupek Márk"/>
    <x v="19"/>
    <s v="HUN"/>
    <n v="0"/>
    <m/>
    <s v="Szigetszentmiklós"/>
    <d v="2026-03-22T00:00:00"/>
    <s v="Aupek Márk - VTSE"/>
    <x v="1"/>
    <s v="VTSE"/>
    <x v="1"/>
    <s v="gyerek"/>
  </r>
  <r>
    <x v="3"/>
    <s v="3A"/>
    <n v="541"/>
    <x v="1"/>
    <s v="Kata, -, 0-100 kg, Gyerek 1. (9-10"/>
    <s v="Kata, gyerek 1. fiú"/>
    <s v="18"/>
    <s v="32 fős egyenes kiesés"/>
    <s v="11-16"/>
    <s v="Kolipka Máté Gergő"/>
    <x v="15"/>
    <s v="HUN"/>
    <n v="0"/>
    <m/>
    <s v="Szigetszentmiklós"/>
    <d v="2026-03-22T00:00:00"/>
    <s v="Kolipka Máté Gergő - KSE Tarján"/>
    <x v="0"/>
    <s v="KSE Tarján"/>
    <x v="1"/>
    <s v="gyerek"/>
  </r>
  <r>
    <x v="3"/>
    <s v="3A"/>
    <n v="542"/>
    <x v="1"/>
    <s v="Kata, -, 0-100 kg, Gyerek 1. (9-10"/>
    <s v="Kata, gyerek 1. fiú"/>
    <s v="18"/>
    <s v="32 fős egyenes kiesés"/>
    <s v="11-16"/>
    <s v="Mohácsi DOminik"/>
    <x v="0"/>
    <s v="HUN"/>
    <n v="0"/>
    <m/>
    <s v="Szigetszentmiklós"/>
    <d v="2026-03-22T00:00:00"/>
    <s v="Mohácsi DOminik - Victory"/>
    <x v="0"/>
    <s v="Victory"/>
    <x v="1"/>
    <s v="gyerek"/>
  </r>
  <r>
    <x v="3"/>
    <s v="3A"/>
    <n v="543"/>
    <x v="1"/>
    <s v="Kata, -, 0-100 kg, Gyerek 1. (9-10"/>
    <s v="Kata, gyerek 1. fiú"/>
    <s v="18"/>
    <s v="32 fős egyenes kiesés"/>
    <s v="11-16"/>
    <s v="Tóth Máté"/>
    <x v="12"/>
    <s v="HUN"/>
    <n v="0"/>
    <m/>
    <s v="Szigetszentmiklós"/>
    <d v="2026-03-22T00:00:00"/>
    <s v="Tóth Máté - Bendiák Dojo"/>
    <x v="0"/>
    <s v="Bendiák Dojo"/>
    <x v="1"/>
    <s v="gyerek"/>
  </r>
  <r>
    <x v="3"/>
    <s v="3A"/>
    <n v="544"/>
    <x v="1"/>
    <s v="Kata, -, 0-100 kg, Gyerek 1. (9-10"/>
    <s v="Kata, gyerek 1. fiú"/>
    <s v="18"/>
    <s v="32 fős egyenes kiesés"/>
    <s v="11-16"/>
    <s v="Blokhin Alexei"/>
    <x v="0"/>
    <s v="HUN"/>
    <n v="0"/>
    <m/>
    <s v="Szigetszentmiklós"/>
    <d v="2026-03-22T00:00:00"/>
    <s v="Blokhin Alexei - Victory"/>
    <x v="0"/>
    <s v="Victory"/>
    <x v="1"/>
    <s v="gyerek"/>
  </r>
  <r>
    <x v="3"/>
    <s v="3A"/>
    <n v="545"/>
    <x v="0"/>
    <s v="Kumite, -, 0-30 kg, Gyerek 1. (9-10"/>
    <s v="Kumite, gyerek 1. lány 30 kg"/>
    <s v="2"/>
    <s v="2 fős egyenes kiesés"/>
    <s v="1"/>
    <s v="Lukács Ajsa"/>
    <x v="17"/>
    <s v="HUN"/>
    <n v="4"/>
    <m/>
    <s v="Szigetszentmiklós"/>
    <d v="2026-03-22T00:00:00"/>
    <s v="Lukács Ajsa - BHMSE"/>
    <x v="0"/>
    <s v="BHMSE"/>
    <x v="1"/>
    <s v="gyerek"/>
  </r>
  <r>
    <x v="3"/>
    <s v="3A"/>
    <n v="546"/>
    <x v="0"/>
    <s v="Kumite, -, 0-30 kg, Gyerek 1. (9-10"/>
    <s v="Kumite, gyerek 1. lány 30 kg"/>
    <s v="2"/>
    <s v="2 fős egyenes kiesés"/>
    <s v="2"/>
    <s v="Erdei Emília"/>
    <x v="26"/>
    <s v="HUN"/>
    <n v="0"/>
    <m/>
    <s v="Szigetszentmiklós"/>
    <d v="2026-03-22T00:00:00"/>
    <s v="Erdei Emília - Rokku KKSE"/>
    <x v="0"/>
    <s v="Rokku KKSE"/>
    <x v="1"/>
    <s v="gyerek"/>
  </r>
  <r>
    <x v="3"/>
    <s v="3A"/>
    <n v="547"/>
    <x v="0"/>
    <s v="Kumite, -, 30-35 kg, Gyerek 1. (9-10"/>
    <s v="Kumite, gyerek 1. lány 35 kg"/>
    <s v="5"/>
    <s v="5 fős körmérkőzés"/>
    <s v="1"/>
    <s v="Kámán Luca"/>
    <x v="23"/>
    <s v="HUN"/>
    <n v="10"/>
    <m/>
    <s v="Szigetszentmiklós"/>
    <d v="2026-03-22T00:00:00"/>
    <s v="Kámán Luca - Rakurai"/>
    <x v="0"/>
    <s v="Rakurai"/>
    <x v="1"/>
    <s v="gyerek"/>
  </r>
  <r>
    <x v="3"/>
    <s v="3A"/>
    <n v="548"/>
    <x v="0"/>
    <s v="Kumite, -, 30-35 kg, Gyerek 1. (9-10"/>
    <s v="Kumite, gyerek 1. lány 35 kg"/>
    <s v="5"/>
    <s v="5 fős körmérkőzés"/>
    <s v="2"/>
    <s v="Zeke Kata"/>
    <x v="45"/>
    <s v="HUN"/>
    <n v="8"/>
    <m/>
    <s v="Szigetszentmiklós"/>
    <d v="2026-03-22T00:00:00"/>
    <s v="Zeke Kata - Kelemen-Team"/>
    <x v="0"/>
    <s v="Kelemen-Team"/>
    <x v="1"/>
    <s v="gyerek"/>
  </r>
  <r>
    <x v="3"/>
    <s v="3A"/>
    <n v="549"/>
    <x v="0"/>
    <s v="Kumite, -, 30-35 kg, Gyerek 1. (9-10"/>
    <s v="Kumite, gyerek 1. lány 35 kg"/>
    <s v="5"/>
    <s v="5 fős körmérkőzés"/>
    <s v="3"/>
    <s v="Falus Dorottya"/>
    <x v="26"/>
    <s v="HUN"/>
    <n v="6"/>
    <m/>
    <s v="Szigetszentmiklós"/>
    <d v="2026-03-22T00:00:00"/>
    <s v="Falus Dorottya - Rokku KKSE"/>
    <x v="0"/>
    <s v="Rokku KKSE"/>
    <x v="1"/>
    <s v="gyerek"/>
  </r>
  <r>
    <x v="3"/>
    <s v="3A"/>
    <n v="550"/>
    <x v="0"/>
    <s v="Kumite, -, 30-35 kg, Gyerek 1. (9-10"/>
    <s v="Kumite, gyerek 1. lány 35 kg"/>
    <s v="5"/>
    <s v="5 fős körmérkőzés"/>
    <s v="4"/>
    <s v="Bácsmegi Luca"/>
    <x v="45"/>
    <s v="HUN"/>
    <n v="4"/>
    <m/>
    <s v="Szigetszentmiklós"/>
    <d v="2026-03-22T00:00:00"/>
    <s v="Bácsmegi Luca - Kelemen-Team"/>
    <x v="0"/>
    <s v="Kelemen-Team"/>
    <x v="1"/>
    <s v="gyerek"/>
  </r>
  <r>
    <x v="3"/>
    <s v="3A"/>
    <n v="551"/>
    <x v="0"/>
    <s v="Kumite, -, 30-35 kg, Gyerek 1. (9-10"/>
    <s v="Kumite, gyerek 1. lány 35 kg"/>
    <s v="5"/>
    <s v="5 fős körmérkőzés"/>
    <s v="5"/>
    <s v="Fekete Alíz"/>
    <x v="3"/>
    <s v="HUN"/>
    <n v="0"/>
    <m/>
    <s v="Szigetszentmiklós"/>
    <d v="2026-03-22T00:00:00"/>
    <s v="Fekete Alíz - Shogun"/>
    <x v="0"/>
    <s v="Shogun"/>
    <x v="1"/>
    <s v="gyerek"/>
  </r>
  <r>
    <x v="3"/>
    <s v="3A"/>
    <n v="552"/>
    <x v="0"/>
    <s v="Kumite, -, 35-200 kg, Gyerek 1. (9-10"/>
    <s v="Kumite, gyerek 1. lány +35 kg"/>
    <s v="5"/>
    <s v="5 fős körmérkőzés"/>
    <s v="1"/>
    <s v="Németh Kitti"/>
    <x v="27"/>
    <s v="HUN"/>
    <n v="10"/>
    <m/>
    <s v="Szigetszentmiklós"/>
    <d v="2026-03-22T00:00:00"/>
    <s v="Németh Kitti - Meiyo dojo"/>
    <x v="0"/>
    <s v="Meiyo dojo"/>
    <x v="1"/>
    <s v="gyerek"/>
  </r>
  <r>
    <x v="3"/>
    <s v="3A"/>
    <n v="553"/>
    <x v="0"/>
    <s v="Kumite, -, 35-200 kg, Gyerek 1. (9-10"/>
    <s v="Kumite, gyerek 1. lány +35 kg"/>
    <s v="5"/>
    <s v="5 fős körmérkőzés"/>
    <s v="2"/>
    <s v="Balogh Zora"/>
    <x v="27"/>
    <s v="HUN"/>
    <n v="8"/>
    <m/>
    <s v="Szigetszentmiklós"/>
    <d v="2026-03-22T00:00:00"/>
    <s v="Balogh Zora - Meiyo dojo"/>
    <x v="0"/>
    <s v="Meiyo dojo"/>
    <x v="1"/>
    <s v="gyerek"/>
  </r>
  <r>
    <x v="3"/>
    <s v="3A"/>
    <n v="554"/>
    <x v="0"/>
    <s v="Kumite, -, 35-200 kg, Gyerek 1. (9-10"/>
    <s v="Kumite, gyerek 1. lány +35 kg"/>
    <s v="5"/>
    <s v="5 fős körmérkőzés"/>
    <s v="3"/>
    <s v="Nándori Leona"/>
    <x v="46"/>
    <s v="HUN"/>
    <n v="6"/>
    <m/>
    <s v="Szigetszentmiklós"/>
    <d v="2026-03-22T00:00:00"/>
    <s v="Nándori Leona - Kemecse SE"/>
    <x v="0"/>
    <s v="Kemecse SE"/>
    <x v="1"/>
    <s v="gyerek"/>
  </r>
  <r>
    <x v="3"/>
    <s v="3A"/>
    <n v="555"/>
    <x v="0"/>
    <s v="Kumite, -, 35-200 kg, Gyerek 1. (9-10"/>
    <s v="Kumite, gyerek 1. lány +35 kg"/>
    <s v="5"/>
    <s v="5 fős körmérkőzés"/>
    <s v="4"/>
    <s v="Buzás Anna"/>
    <x v="27"/>
    <s v="HUN"/>
    <n v="4"/>
    <m/>
    <s v="Szigetszentmiklós"/>
    <d v="2026-03-22T00:00:00"/>
    <s v="Buzás Anna - Meiyo dojo"/>
    <x v="0"/>
    <s v="Meiyo dojo"/>
    <x v="1"/>
    <s v="gyerek"/>
  </r>
  <r>
    <x v="3"/>
    <s v="3A"/>
    <n v="556"/>
    <x v="0"/>
    <s v="Kumite, -, 35-200 kg, Gyerek 1. (9-10"/>
    <s v="Kumite, gyerek 1. lány +35 kg"/>
    <s v="5"/>
    <s v="5 fős körmérkőzés"/>
    <s v="5"/>
    <s v="Vágenhoffer Maja"/>
    <x v="27"/>
    <s v="HUN"/>
    <n v="0"/>
    <m/>
    <s v="Szigetszentmiklós"/>
    <d v="2026-03-22T00:00:00"/>
    <s v="Vágenhoffer Maja - Meiyo dojo"/>
    <x v="0"/>
    <s v="Meiyo dojo"/>
    <x v="1"/>
    <s v="gyerek"/>
  </r>
  <r>
    <x v="3"/>
    <s v="3A"/>
    <n v="557"/>
    <x v="1"/>
    <s v="Kata, -, 0-100 kg, Gyerek 1. (9-10"/>
    <s v="Kata, gyerek 1. lány"/>
    <s v="13"/>
    <s v="16 fős egyenes kiesés"/>
    <s v="1"/>
    <s v="Lukács Ajsa"/>
    <x v="17"/>
    <s v="HUN"/>
    <n v="8"/>
    <m/>
    <s v="Szigetszentmiklós"/>
    <d v="2026-03-22T00:00:00"/>
    <s v="Lukács Ajsa - BHMSE"/>
    <x v="0"/>
    <s v="BHMSE"/>
    <x v="1"/>
    <s v="gyerek"/>
  </r>
  <r>
    <x v="3"/>
    <s v="3A"/>
    <n v="558"/>
    <x v="1"/>
    <s v="Kata, -, 0-100 kg, Gyerek 1. (9-10"/>
    <s v="Kata, gyerek 1. lány"/>
    <s v="13"/>
    <s v="16 fős egyenes kiesés"/>
    <s v="2"/>
    <s v="Buzás Anna"/>
    <x v="27"/>
    <s v="HUN"/>
    <n v="6"/>
    <m/>
    <s v="Szigetszentmiklós"/>
    <d v="2026-03-22T00:00:00"/>
    <s v="Buzás Anna - Meiyo dojo"/>
    <x v="0"/>
    <s v="Meiyo dojo"/>
    <x v="1"/>
    <s v="gyerek"/>
  </r>
  <r>
    <x v="3"/>
    <s v="3A"/>
    <n v="559"/>
    <x v="1"/>
    <s v="Kata, -, 0-100 kg, Gyerek 1. (9-10"/>
    <s v="Kata, gyerek 1. lány"/>
    <s v="13"/>
    <s v="16 fős egyenes kiesés"/>
    <s v="3"/>
    <s v="Simor Szofi Anna"/>
    <x v="17"/>
    <s v="HUN"/>
    <n v="4"/>
    <m/>
    <s v="Szigetszentmiklós"/>
    <d v="2026-03-22T00:00:00"/>
    <s v="Simor Szofi Anna - BHMSE"/>
    <x v="0"/>
    <s v="BHMSE"/>
    <x v="1"/>
    <s v="gyerek"/>
  </r>
  <r>
    <x v="3"/>
    <s v="3A"/>
    <n v="560"/>
    <x v="1"/>
    <s v="Kata, -, 0-100 kg, Gyerek 1. (9-10"/>
    <s v="Kata, gyerek 1. lány"/>
    <s v="13"/>
    <s v="16 fős egyenes kiesés"/>
    <s v="3"/>
    <s v="Németh Kitti"/>
    <x v="27"/>
    <s v="HUN"/>
    <n v="4"/>
    <m/>
    <s v="Szigetszentmiklós"/>
    <d v="2026-03-22T00:00:00"/>
    <s v="Németh Kitti - Meiyo dojo"/>
    <x v="0"/>
    <s v="Meiyo dojo"/>
    <x v="1"/>
    <s v="gyerek"/>
  </r>
  <r>
    <x v="3"/>
    <s v="3A"/>
    <n v="561"/>
    <x v="1"/>
    <s v="Kata, -, 0-100 kg, Gyerek 1. (9-10"/>
    <s v="Kata, gyerek 1. lány"/>
    <s v="13"/>
    <s v="16 fős egyenes kiesés"/>
    <s v="5"/>
    <s v="Nándori Leona"/>
    <x v="46"/>
    <s v="HUN"/>
    <n v="0"/>
    <s v="nem volt nyertes mérkőzése"/>
    <s v="Szigetszentmiklós"/>
    <d v="2026-03-22T00:00:00"/>
    <s v="Nándori Leona - Kemecse SE"/>
    <x v="0"/>
    <s v="Kemecse SE"/>
    <x v="1"/>
    <s v="gyerek"/>
  </r>
  <r>
    <x v="3"/>
    <s v="3A"/>
    <n v="562"/>
    <x v="1"/>
    <s v="Kata, -, 0-100 kg, Gyerek 1. (9-10"/>
    <s v="Kata, gyerek 1. lány"/>
    <s v="13"/>
    <s v="16 fős egyenes kiesés"/>
    <s v="6"/>
    <s v="Banyák Léna"/>
    <x v="47"/>
    <s v="HUN"/>
    <n v="0"/>
    <s v="nem volt nyertes mérkőzése"/>
    <s v="Szigetszentmiklós"/>
    <d v="2026-03-22T00:00:00"/>
    <s v="Banyák Léna - KYO Fighter SE"/>
    <x v="0"/>
    <s v="KYO Fighter SE"/>
    <x v="1"/>
    <s v="gyerek"/>
  </r>
  <r>
    <x v="3"/>
    <s v="3A"/>
    <n v="563"/>
    <x v="1"/>
    <s v="Kata, -, 0-100 kg, Gyerek 1. (9-10"/>
    <s v="Kata, gyerek 1. lány"/>
    <s v="13"/>
    <s v="16 fős egyenes kiesés"/>
    <s v="7-8"/>
    <s v="Varga Olivia"/>
    <x v="15"/>
    <s v="HUN"/>
    <n v="0"/>
    <s v="nem volt nyertes mérkőzése"/>
    <s v="Szigetszentmiklós"/>
    <d v="2026-03-22T00:00:00"/>
    <s v="Varga Olivia - KSE Tarján"/>
    <x v="0"/>
    <s v="KSE Tarján"/>
    <x v="1"/>
    <s v="gyerek"/>
  </r>
  <r>
    <x v="3"/>
    <s v="3A"/>
    <n v="564"/>
    <x v="1"/>
    <s v="Kata, -, 0-100 kg, Gyerek 1. (9-10"/>
    <s v="Kata, gyerek 1. lány"/>
    <s v="13"/>
    <s v="16 fős egyenes kiesés"/>
    <s v="7-8"/>
    <s v="Tóth Csenge"/>
    <x v="24"/>
    <s v="HUN"/>
    <n v="2"/>
    <m/>
    <s v="Szigetszentmiklós"/>
    <d v="2026-03-22T00:00:00"/>
    <s v="Tóth Csenge - Nagykátai Bushido SE"/>
    <x v="0"/>
    <s v="Nagykátai Bushido SE"/>
    <x v="1"/>
    <s v="gyerek"/>
  </r>
  <r>
    <x v="3"/>
    <s v="3A"/>
    <n v="565"/>
    <x v="1"/>
    <s v="Kata, -, 0-100 kg, Gyerek 1. (9-10"/>
    <s v="Kata, gyerek 1. lány"/>
    <s v="13"/>
    <s v="16 fős egyenes kiesés"/>
    <s v="9"/>
    <s v="Fekete Alíz"/>
    <x v="3"/>
    <s v="HUN"/>
    <n v="0"/>
    <m/>
    <s v="Szigetszentmiklós"/>
    <d v="2026-03-22T00:00:00"/>
    <s v="Fekete Alíz - Shogun"/>
    <x v="0"/>
    <s v="Shogun"/>
    <x v="1"/>
    <s v="gyerek"/>
  </r>
  <r>
    <x v="3"/>
    <s v="3A"/>
    <n v="566"/>
    <x v="1"/>
    <s v="Kata, -, 0-100 kg, Gyerek 1. (9-10"/>
    <s v="Kata, gyerek 1. lány"/>
    <s v="13"/>
    <s v="16 fős egyenes kiesés"/>
    <s v="10"/>
    <s v="Falus Dorottya"/>
    <x v="26"/>
    <s v="HUN"/>
    <n v="0"/>
    <m/>
    <s v="Szigetszentmiklós"/>
    <d v="2026-03-22T00:00:00"/>
    <s v="Falus Dorottya - Rokku KKSE"/>
    <x v="0"/>
    <s v="Rokku KKSE"/>
    <x v="1"/>
    <s v="gyerek"/>
  </r>
  <r>
    <x v="3"/>
    <s v="3A"/>
    <n v="567"/>
    <x v="1"/>
    <s v="Kata, -, 0-100 kg, Gyerek 1. (9-10"/>
    <s v="Kata, gyerek 1. lány"/>
    <s v="13"/>
    <s v="16 fős egyenes kiesés"/>
    <s v="11-16"/>
    <s v="Erdei Emília"/>
    <x v="26"/>
    <s v="HUN"/>
    <n v="0"/>
    <m/>
    <s v="Szigetszentmiklós"/>
    <d v="2026-03-22T00:00:00"/>
    <s v="Erdei Emília - Rokku KKSE"/>
    <x v="0"/>
    <s v="Rokku KKSE"/>
    <x v="1"/>
    <s v="gyerek"/>
  </r>
  <r>
    <x v="3"/>
    <s v="3A"/>
    <n v="568"/>
    <x v="1"/>
    <s v="Kata, -, 0-100 kg, Gyerek 1. (9-10"/>
    <s v="Kata, gyerek 1. lány"/>
    <s v="13"/>
    <s v="16 fős egyenes kiesés"/>
    <s v="11-16"/>
    <s v="Geiger Uzonyi Lilla"/>
    <x v="45"/>
    <s v="HUN"/>
    <n v="0"/>
    <m/>
    <s v="Szigetszentmiklós"/>
    <d v="2026-03-22T00:00:00"/>
    <s v="Geiger Uzonyi Lilla - Kelemen-Team"/>
    <x v="0"/>
    <s v="Kelemen-Team"/>
    <x v="1"/>
    <s v="gyerek"/>
  </r>
  <r>
    <x v="3"/>
    <s v="3A"/>
    <n v="569"/>
    <x v="1"/>
    <s v="Kata, -, 0-100 kg, Gyerek 1. (9-10"/>
    <s v="Kata, gyerek 1. lány"/>
    <s v="13"/>
    <s v="16 fős egyenes kiesés"/>
    <s v="11-16"/>
    <s v="Pista Nóra"/>
    <x v="12"/>
    <s v="HUN"/>
    <n v="0"/>
    <m/>
    <s v="Szigetszentmiklós"/>
    <d v="2026-03-22T00:00:00"/>
    <s v="Pista Nóra - Bendiák Dojo"/>
    <x v="0"/>
    <s v="Bendiák Dojo"/>
    <x v="1"/>
    <s v="gyerek"/>
  </r>
  <r>
    <x v="3"/>
    <s v="3A"/>
    <n v="570"/>
    <x v="0"/>
    <s v="Kumite, -, 0-35 kg, Gyerek 2. (11-12"/>
    <s v="Kumite, gyerek 2. fiú 35 kg"/>
    <s v="21"/>
    <s v="32 fős egyenes kiesés"/>
    <s v="1"/>
    <s v="Szabó Alex Dominik"/>
    <x v="3"/>
    <s v="HUN"/>
    <n v="13"/>
    <m/>
    <s v="Szigetszentmiklós"/>
    <d v="2026-03-22T00:00:00"/>
    <s v="Szabó Alex Dominik - Shogun"/>
    <x v="0"/>
    <s v="Shogun"/>
    <x v="1"/>
    <s v="gyerek"/>
  </r>
  <r>
    <x v="3"/>
    <s v="3A"/>
    <n v="571"/>
    <x v="0"/>
    <s v="Kumite, -, 0-35 kg, Gyerek 2. (11-12"/>
    <s v="Kumite, gyerek 2. fiú 35 kg"/>
    <s v="21"/>
    <s v="32 fős egyenes kiesés"/>
    <s v="2"/>
    <s v="Tarr Bence"/>
    <x v="3"/>
    <s v="HUN"/>
    <n v="10"/>
    <m/>
    <s v="Szigetszentmiklós"/>
    <d v="2026-03-22T00:00:00"/>
    <s v="Tarr Bence - Shogun"/>
    <x v="0"/>
    <s v="Shogun"/>
    <x v="1"/>
    <s v="gyerek"/>
  </r>
  <r>
    <x v="3"/>
    <s v="3A"/>
    <n v="572"/>
    <x v="0"/>
    <s v="Kumite, -, 0-35 kg, Gyerek 2. (11-12"/>
    <s v="Kumite, gyerek 2. fiú 35 kg"/>
    <s v="21"/>
    <s v="32 fős egyenes kiesés"/>
    <s v="3"/>
    <s v="Hegedűs Vencel"/>
    <x v="24"/>
    <s v="HUN"/>
    <n v="7"/>
    <m/>
    <s v="Szigetszentmiklós"/>
    <d v="2026-03-22T00:00:00"/>
    <s v="Hegedűs Vencel - Nagykátai Bushido SE"/>
    <x v="0"/>
    <s v="Nagykátai Bushido SE"/>
    <x v="1"/>
    <s v="gyerek"/>
  </r>
  <r>
    <x v="3"/>
    <s v="3A"/>
    <n v="573"/>
    <x v="0"/>
    <s v="Kumite, -, 0-35 kg, Gyerek 2. (11-12"/>
    <s v="Kumite, gyerek 2. fiú 35 kg"/>
    <s v="21"/>
    <s v="32 fős egyenes kiesés"/>
    <s v="3"/>
    <s v="Boka Norman Eliot"/>
    <x v="25"/>
    <s v="HUN"/>
    <n v="7"/>
    <m/>
    <s v="Szigetszentmiklós"/>
    <d v="2026-03-22T00:00:00"/>
    <s v="Boka Norman Eliot - Katana SE"/>
    <x v="0"/>
    <s v="Katana SE"/>
    <x v="1"/>
    <s v="gyerek"/>
  </r>
  <r>
    <x v="3"/>
    <s v="3A"/>
    <n v="574"/>
    <x v="0"/>
    <s v="Kumite, -, 0-35 kg, Gyerek 2. (11-12"/>
    <s v="Kumite, gyerek 2. fiú 35 kg"/>
    <s v="21"/>
    <s v="32 fős egyenes kiesés"/>
    <s v="5"/>
    <s v="Szűcs Norbert"/>
    <x v="3"/>
    <s v="HUN"/>
    <n v="4"/>
    <m/>
    <s v="Szigetszentmiklós"/>
    <d v="2026-03-22T00:00:00"/>
    <s v="Szűcs Norbert - Shogun"/>
    <x v="0"/>
    <s v="Shogun"/>
    <x v="1"/>
    <s v="gyerek"/>
  </r>
  <r>
    <x v="3"/>
    <s v="3A"/>
    <n v="575"/>
    <x v="0"/>
    <s v="Kumite, -, 0-35 kg, Gyerek 2. (11-12"/>
    <s v="Kumite, gyerek 2. fiú 35 kg"/>
    <s v="21"/>
    <s v="32 fős egyenes kiesés"/>
    <s v="6"/>
    <s v="Makai Mór"/>
    <x v="0"/>
    <s v="HUN"/>
    <n v="4"/>
    <m/>
    <s v="Szigetszentmiklós"/>
    <d v="2026-03-22T00:00:00"/>
    <s v="Makai Mór - Victory"/>
    <x v="0"/>
    <s v="Victory"/>
    <x v="1"/>
    <s v="gyerek"/>
  </r>
  <r>
    <x v="3"/>
    <s v="3A"/>
    <n v="576"/>
    <x v="0"/>
    <s v="Kumite, -, 0-35 kg, Gyerek 2. (11-12"/>
    <s v="Kumite, gyerek 2. fiú 35 kg"/>
    <s v="21"/>
    <s v="32 fős egyenes kiesés"/>
    <s v="7-8"/>
    <s v="Pajkos Dominik"/>
    <x v="3"/>
    <s v="HUN"/>
    <n v="4"/>
    <m/>
    <s v="Szigetszentmiklós"/>
    <d v="2026-03-22T00:00:00"/>
    <s v="Pajkos Dominik - Shogun"/>
    <x v="0"/>
    <s v="Shogun"/>
    <x v="1"/>
    <s v="gyerek"/>
  </r>
  <r>
    <x v="3"/>
    <s v="3A"/>
    <n v="577"/>
    <x v="0"/>
    <s v="Kumite, -, 0-35 kg, Gyerek 2. (11-12"/>
    <s v="Kumite, gyerek 2. fiú 35 kg"/>
    <s v="21"/>
    <s v="32 fős egyenes kiesés"/>
    <s v="7-8"/>
    <s v="Berényi Milán"/>
    <x v="3"/>
    <s v="HUN"/>
    <n v="4"/>
    <m/>
    <s v="Szigetszentmiklós"/>
    <d v="2026-03-22T00:00:00"/>
    <s v="Berényi Milán - Shogun"/>
    <x v="0"/>
    <s v="Shogun"/>
    <x v="1"/>
    <s v="gyerek"/>
  </r>
  <r>
    <x v="3"/>
    <s v="3A"/>
    <n v="578"/>
    <x v="0"/>
    <s v="Kumite, -, 0-35 kg, Gyerek 2. (11-12"/>
    <s v="Kumite, gyerek 2. fiú 35 kg"/>
    <s v="21"/>
    <s v="32 fős egyenes kiesés"/>
    <s v="9"/>
    <s v="Süller Zsombor"/>
    <x v="25"/>
    <s v="HUN"/>
    <n v="0"/>
    <m/>
    <s v="Szigetszentmiklós"/>
    <d v="2026-03-22T00:00:00"/>
    <s v="Süller Zsombor - Katana SE"/>
    <x v="0"/>
    <s v="Katana SE"/>
    <x v="1"/>
    <s v="gyerek"/>
  </r>
  <r>
    <x v="3"/>
    <s v="3A"/>
    <n v="579"/>
    <x v="0"/>
    <s v="Kumite, -, 0-35 kg, Gyerek 2. (11-12"/>
    <s v="Kumite, gyerek 2. fiú 35 kg"/>
    <s v="21"/>
    <s v="32 fős egyenes kiesés"/>
    <s v="10"/>
    <s v="Kalmár Ádám István"/>
    <x v="6"/>
    <s v="HUN"/>
    <n v="0"/>
    <m/>
    <s v="Szigetszentmiklós"/>
    <d v="2026-03-22T00:00:00"/>
    <s v="Kalmár Ádám István - Castrum"/>
    <x v="0"/>
    <s v="Castrum"/>
    <x v="1"/>
    <s v="gyerek"/>
  </r>
  <r>
    <x v="3"/>
    <s v="3A"/>
    <n v="580"/>
    <x v="0"/>
    <s v="Kumite, -, 0-35 kg, Gyerek 2. (11-12"/>
    <s v="Kumite, gyerek 2. fiú 35 kg"/>
    <s v="21"/>
    <s v="32 fős egyenes kiesés"/>
    <s v="11-16"/>
    <s v="Kovács Milán"/>
    <x v="25"/>
    <s v="HUN"/>
    <n v="0"/>
    <m/>
    <s v="Szigetszentmiklós"/>
    <d v="2026-03-22T00:00:00"/>
    <s v="Kovács Milán - Katana SE"/>
    <x v="0"/>
    <s v="Katana SE"/>
    <x v="1"/>
    <s v="gyerek"/>
  </r>
  <r>
    <x v="3"/>
    <s v="3A"/>
    <n v="581"/>
    <x v="0"/>
    <s v="Kumite, -, 0-35 kg, Gyerek 2. (11-12"/>
    <s v="Kumite, gyerek 2. fiú 35 kg"/>
    <s v="21"/>
    <s v="32 fős egyenes kiesés"/>
    <s v="11-16"/>
    <s v="Török Márton Ignác"/>
    <x v="45"/>
    <s v="HUN"/>
    <n v="0"/>
    <m/>
    <s v="Szigetszentmiklós"/>
    <d v="2026-03-22T00:00:00"/>
    <s v="Török Márton Ignác - Kelemen-Team"/>
    <x v="0"/>
    <s v="Kelemen-Team"/>
    <x v="1"/>
    <s v="gyerek"/>
  </r>
  <r>
    <x v="3"/>
    <s v="3A"/>
    <n v="582"/>
    <x v="0"/>
    <s v="Kumite, -, 0-35 kg, Gyerek 2. (11-12"/>
    <s v="Kumite, gyerek 2. fiú 35 kg"/>
    <s v="21"/>
    <s v="32 fős egyenes kiesés"/>
    <s v="11-16"/>
    <s v="Gordos Zalán"/>
    <x v="19"/>
    <s v="HUN"/>
    <n v="0"/>
    <m/>
    <s v="Szigetszentmiklós"/>
    <d v="2026-03-22T00:00:00"/>
    <s v="Gordos Zalán - VTSE"/>
    <x v="1"/>
    <s v="VTSE"/>
    <x v="1"/>
    <s v="gyerek"/>
  </r>
  <r>
    <x v="3"/>
    <s v="3A"/>
    <n v="583"/>
    <x v="0"/>
    <s v="Kumite, -, 0-35 kg, Gyerek 2. (11-12"/>
    <s v="Kumite, gyerek 2. fiú 35 kg"/>
    <s v="21"/>
    <s v="32 fős egyenes kiesés"/>
    <s v="11-16"/>
    <s v="Kis Olivér"/>
    <x v="47"/>
    <s v="HUN"/>
    <n v="0"/>
    <m/>
    <s v="Szigetszentmiklós"/>
    <d v="2026-03-22T00:00:00"/>
    <s v="Kis Olivér - KYO Fighter SE"/>
    <x v="0"/>
    <s v="KYO Fighter SE"/>
    <x v="1"/>
    <s v="gyerek"/>
  </r>
  <r>
    <x v="3"/>
    <s v="3A"/>
    <n v="584"/>
    <x v="0"/>
    <s v="Kumite, -, 0-35 kg, Gyerek 2. (11-12"/>
    <s v="Kumite, gyerek 2. fiú 35 kg"/>
    <s v="21"/>
    <s v="32 fős egyenes kiesés"/>
    <s v="11-16"/>
    <s v="Nagy Zétény"/>
    <x v="17"/>
    <s v="HUN"/>
    <n v="0"/>
    <m/>
    <s v="Szigetszentmiklós"/>
    <d v="2026-03-22T00:00:00"/>
    <s v="Nagy Zétény - BHMSE"/>
    <x v="0"/>
    <s v="BHMSE"/>
    <x v="1"/>
    <s v="gyerek"/>
  </r>
  <r>
    <x v="3"/>
    <s v="3A"/>
    <n v="585"/>
    <x v="0"/>
    <s v="Kumite, -, 0-35 kg, Gyerek 2. (11-12"/>
    <s v="Kumite, gyerek 2. fiú 35 kg"/>
    <s v="21"/>
    <s v="32 fős egyenes kiesés"/>
    <s v="11-16"/>
    <s v="Ungai Csaba"/>
    <x v="48"/>
    <s v="HUN"/>
    <n v="0"/>
    <m/>
    <s v="Szigetszentmiklós"/>
    <d v="2026-03-22T00:00:00"/>
    <s v="Ungai Csaba - Hajdúszoboszló"/>
    <x v="0"/>
    <s v="Hajdúszoboszló"/>
    <x v="1"/>
    <s v="gyerek"/>
  </r>
  <r>
    <x v="3"/>
    <s v="3A"/>
    <n v="586"/>
    <x v="0"/>
    <s v="Kumite, -, 35-40 kg, Gyerek 2. (11-12"/>
    <s v="Kumite, gyerek 2. fiú 40 kg"/>
    <s v="12"/>
    <s v="16 fős egyenes kiesés"/>
    <s v="1"/>
    <s v="Kiss Adrián"/>
    <x v="50"/>
    <s v="HUN"/>
    <n v="10"/>
    <m/>
    <s v="Szigetszentmiklós"/>
    <d v="2026-03-22T00:00:00"/>
    <s v="Kiss Adrián - Keizoku SE"/>
    <x v="0"/>
    <s v="Keizoku SE"/>
    <x v="1"/>
    <s v="gyerek"/>
  </r>
  <r>
    <x v="3"/>
    <s v="3A"/>
    <n v="587"/>
    <x v="0"/>
    <s v="Kumite, -, 35-40 kg, Gyerek 2. (11-12"/>
    <s v="Kumite, gyerek 2. fiú 40 kg"/>
    <s v="12"/>
    <s v="16 fős egyenes kiesés"/>
    <s v="2"/>
    <s v="Sádt Zénó"/>
    <x v="49"/>
    <s v="HUN"/>
    <n v="8"/>
    <m/>
    <s v="Szigetszentmiklós"/>
    <d v="2026-03-22T00:00:00"/>
    <s v="Sádt Zénó - Buke Reikon HRSE"/>
    <x v="0"/>
    <s v="Buke Reikon HRSE"/>
    <x v="1"/>
    <s v="gyerek"/>
  </r>
  <r>
    <x v="3"/>
    <s v="3A"/>
    <n v="588"/>
    <x v="0"/>
    <s v="Kumite, -, 35-40 kg, Gyerek 2. (11-12"/>
    <s v="Kumite, gyerek 2. fiú 40 kg"/>
    <s v="12"/>
    <s v="16 fős egyenes kiesés"/>
    <s v="3"/>
    <s v="Szabó Áron Levente"/>
    <x v="25"/>
    <s v="HUN"/>
    <n v="6"/>
    <m/>
    <s v="Szigetszentmiklós"/>
    <d v="2026-03-22T00:00:00"/>
    <s v="Szabó Áron Levente - Katana SE"/>
    <x v="0"/>
    <s v="Katana SE"/>
    <x v="1"/>
    <s v="gyerek"/>
  </r>
  <r>
    <x v="3"/>
    <s v="3A"/>
    <n v="589"/>
    <x v="0"/>
    <s v="Kumite, -, 35-40 kg, Gyerek 2. (11-12"/>
    <s v="Kumite, gyerek 2. fiú 40 kg"/>
    <s v="12"/>
    <s v="16 fős egyenes kiesés"/>
    <s v="3"/>
    <s v="Balázs Dénes"/>
    <x v="20"/>
    <s v="HUN"/>
    <n v="6"/>
    <m/>
    <s v="Szigetszentmiklós"/>
    <d v="2026-03-22T00:00:00"/>
    <s v="Balázs Dénes - Griff SE"/>
    <x v="0"/>
    <s v="Griff SE"/>
    <x v="1"/>
    <s v="gyerek"/>
  </r>
  <r>
    <x v="3"/>
    <s v="3A"/>
    <n v="590"/>
    <x v="0"/>
    <s v="Kumite, -, 35-40 kg, Gyerek 2. (11-12"/>
    <s v="Kumite, gyerek 2. fiú 40 kg"/>
    <s v="12"/>
    <s v="16 fős egyenes kiesés"/>
    <s v="5"/>
    <s v="Szenner Valentin"/>
    <x v="25"/>
    <s v="HUN"/>
    <n v="0"/>
    <s v="nem volt nyertes mérkőzése"/>
    <s v="Szigetszentmiklós"/>
    <d v="2026-03-22T00:00:00"/>
    <s v="Szenner Valentin - Katana SE"/>
    <x v="0"/>
    <s v="Katana SE"/>
    <x v="1"/>
    <s v="gyerek"/>
  </r>
  <r>
    <x v="3"/>
    <s v="3A"/>
    <n v="591"/>
    <x v="0"/>
    <s v="Kumite, -, 35-40 kg, Gyerek 2. (11-12"/>
    <s v="Kumite, gyerek 2. fiú 40 kg"/>
    <s v="12"/>
    <s v="16 fős egyenes kiesés"/>
    <s v="6"/>
    <s v="Eszenyi Barnabás"/>
    <x v="3"/>
    <s v="HUN"/>
    <n v="3"/>
    <m/>
    <s v="Szigetszentmiklós"/>
    <d v="2026-03-22T00:00:00"/>
    <s v="Eszenyi Barnabás - Shogun"/>
    <x v="0"/>
    <s v="Shogun"/>
    <x v="1"/>
    <s v="gyerek"/>
  </r>
  <r>
    <x v="3"/>
    <s v="3A"/>
    <n v="592"/>
    <x v="0"/>
    <s v="Kumite, -, 35-40 kg, Gyerek 2. (11-12"/>
    <s v="Kumite, gyerek 2. fiú 40 kg"/>
    <s v="12"/>
    <s v="16 fős egyenes kiesés"/>
    <s v="7-8"/>
    <s v="Benedek Barnabás"/>
    <x v="24"/>
    <s v="HUN"/>
    <n v="3"/>
    <m/>
    <s v="Szigetszentmiklós"/>
    <d v="2026-03-22T00:00:00"/>
    <s v="Benedek Barnabás - Nagykátai Bushido SE"/>
    <x v="0"/>
    <s v="Nagykátai Bushido SE"/>
    <x v="1"/>
    <s v="gyerek"/>
  </r>
  <r>
    <x v="3"/>
    <s v="3A"/>
    <n v="593"/>
    <x v="0"/>
    <s v="Kumite, -, 35-40 kg, Gyerek 2. (11-12"/>
    <s v="Kumite, gyerek 2. fiú 40 kg"/>
    <s v="12"/>
    <s v="16 fős egyenes kiesés"/>
    <s v="7-8"/>
    <s v="Héder Patrik"/>
    <x v="18"/>
    <s v="HUN"/>
    <n v="0"/>
    <s v="nem volt nyertes mérkőzése"/>
    <s v="Szigetszentmiklós"/>
    <d v="2026-03-22T00:00:00"/>
    <s v="Héder Patrik - Bátor KSE"/>
    <x v="0"/>
    <s v="Bátor KSE"/>
    <x v="1"/>
    <s v="gyerek"/>
  </r>
  <r>
    <x v="3"/>
    <s v="3A"/>
    <n v="594"/>
    <x v="0"/>
    <s v="Kumite, -, 35-40 kg, Gyerek 2. (11-12"/>
    <s v="Kumite, gyerek 2. fiú 40 kg"/>
    <s v="12"/>
    <s v="16 fős egyenes kiesés"/>
    <s v="9"/>
    <s v="Kárász Dániel"/>
    <x v="17"/>
    <s v="HUN"/>
    <n v="0"/>
    <m/>
    <s v="Szigetszentmiklós"/>
    <d v="2026-03-22T00:00:00"/>
    <s v="Kárász Dániel - BHMSE"/>
    <x v="0"/>
    <s v="BHMSE"/>
    <x v="1"/>
    <s v="gyerek"/>
  </r>
  <r>
    <x v="3"/>
    <s v="3A"/>
    <n v="595"/>
    <x v="0"/>
    <s v="Kumite, -, 35-40 kg, Gyerek 2. (11-12"/>
    <s v="Kumite, gyerek 2. fiú 40 kg"/>
    <s v="12"/>
    <s v="16 fős egyenes kiesés"/>
    <s v="11-16"/>
    <s v="Molnár I. Zétény"/>
    <x v="28"/>
    <s v="HUN"/>
    <n v="0"/>
    <m/>
    <s v="Szigetszentmiklós"/>
    <d v="2026-03-22T00:00:00"/>
    <s v="Molnár I. Zétény - KKE - Spartacus"/>
    <x v="0"/>
    <s v="KKE - Spartacus"/>
    <x v="1"/>
    <s v="gyerek"/>
  </r>
  <r>
    <x v="3"/>
    <s v="3A"/>
    <n v="596"/>
    <x v="0"/>
    <s v="Kumite, -, 35-40 kg, Gyerek 2. (11-12"/>
    <s v="Kumite, gyerek 2. fiú 40 kg"/>
    <s v="12"/>
    <s v="16 fős egyenes kiesés"/>
    <s v="11-16"/>
    <s v="Hidegh Krisztián"/>
    <x v="23"/>
    <s v="HUN"/>
    <n v="0"/>
    <m/>
    <s v="Szigetszentmiklós"/>
    <d v="2026-03-22T00:00:00"/>
    <s v="Hidegh Krisztián - Rakurai"/>
    <x v="0"/>
    <s v="Rakurai"/>
    <x v="1"/>
    <s v="gyerek"/>
  </r>
  <r>
    <x v="3"/>
    <s v="3A"/>
    <n v="597"/>
    <x v="0"/>
    <s v="Kumite, -, 35-40 kg, Gyerek 2. (11-12"/>
    <s v="Kumite, gyerek 2. fiú 40 kg"/>
    <s v="12"/>
    <s v="16 fős egyenes kiesés"/>
    <s v="11-16"/>
    <s v="Hegedűs Botond"/>
    <x v="50"/>
    <s v="HUN"/>
    <n v="0"/>
    <m/>
    <s v="Szigetszentmiklós"/>
    <d v="2026-03-22T00:00:00"/>
    <s v="Hegedűs Botond - Keizoku SE"/>
    <x v="0"/>
    <s v="Keizoku SE"/>
    <x v="1"/>
    <s v="gyerek"/>
  </r>
  <r>
    <x v="3"/>
    <s v="3A"/>
    <n v="598"/>
    <x v="0"/>
    <s v="Kumite, -, 40-45 kg, Gyerek 2. (11-12"/>
    <s v="Kumite, gyerek 2. fiú 45 kg"/>
    <s v="4"/>
    <s v="4 fős körmérkőzés"/>
    <s v="1"/>
    <s v="Árendás Botond"/>
    <x v="15"/>
    <s v="HUN"/>
    <n v="8"/>
    <m/>
    <s v="Szigetszentmiklós"/>
    <d v="2026-03-22T00:00:00"/>
    <s v="Árendás Botond - KSE Tarján"/>
    <x v="0"/>
    <s v="KSE Tarján"/>
    <x v="1"/>
    <s v="gyerek"/>
  </r>
  <r>
    <x v="3"/>
    <s v="3A"/>
    <n v="599"/>
    <x v="0"/>
    <s v="Kumite, -, 40-45 kg, Gyerek 2. (11-12"/>
    <s v="Kumite, gyerek 2. fiú 45 kg"/>
    <s v="4"/>
    <s v="4 fős körmérkőzés"/>
    <s v="2"/>
    <s v="Horváth Kristóf"/>
    <x v="20"/>
    <s v="HUN"/>
    <n v="6"/>
    <m/>
    <s v="Szigetszentmiklós"/>
    <d v="2026-03-22T00:00:00"/>
    <s v="Horváth Kristóf - Griff SE"/>
    <x v="0"/>
    <s v="Griff SE"/>
    <x v="1"/>
    <s v="gyerek"/>
  </r>
  <r>
    <x v="3"/>
    <s v="3A"/>
    <n v="600"/>
    <x v="0"/>
    <s v="Kumite, -, 40-45 kg, Gyerek 2. (11-12"/>
    <s v="Kumite, gyerek 2. fiú 45 kg"/>
    <s v="4"/>
    <s v="4 fős körmérkőzés"/>
    <s v="3"/>
    <s v="Fekete Kristóf"/>
    <x v="26"/>
    <s v="HUN"/>
    <n v="4"/>
    <m/>
    <s v="Szigetszentmiklós"/>
    <d v="2026-03-22T00:00:00"/>
    <s v="Fekete Kristóf - Rokku KKSE"/>
    <x v="0"/>
    <s v="Rokku KKSE"/>
    <x v="1"/>
    <s v="gyerek"/>
  </r>
  <r>
    <x v="3"/>
    <s v="3A"/>
    <n v="601"/>
    <x v="0"/>
    <s v="Kumite, -, 40-45 kg, Gyerek 2. (11-12"/>
    <s v="Kumite, gyerek 2. fiú 45 kg"/>
    <s v="4"/>
    <s v="4 fős körmérkőzés"/>
    <s v="4"/>
    <s v="Dani Andor"/>
    <x v="13"/>
    <s v="HUN"/>
    <n v="0"/>
    <m/>
    <s v="Szigetszentmiklós"/>
    <d v="2026-03-22T00:00:00"/>
    <s v="Dani Andor - Kamikaze S"/>
    <x v="0"/>
    <s v="Kamikaze S"/>
    <x v="1"/>
    <s v="gyerek"/>
  </r>
  <r>
    <x v="3"/>
    <s v="3A"/>
    <n v="602"/>
    <x v="0"/>
    <s v="Kumite, -, 45-55 kg, Gyerek 2. (11-12"/>
    <s v="Kumite, gyerek 2. fiú 55 kg"/>
    <s v="15"/>
    <s v="16 fős egyenes kiesés"/>
    <s v="1"/>
    <s v="Gombos-Weidinger Zsombor"/>
    <x v="17"/>
    <s v="HUN"/>
    <n v="10"/>
    <m/>
    <s v="Szigetszentmiklós"/>
    <d v="2026-03-22T00:00:00"/>
    <s v="Gombos-Weidinger Zsombor - BHMSE"/>
    <x v="0"/>
    <s v="BHMSE"/>
    <x v="1"/>
    <s v="gyerek"/>
  </r>
  <r>
    <x v="3"/>
    <s v="3A"/>
    <n v="603"/>
    <x v="0"/>
    <s v="Kumite, -, 45-55 kg, Gyerek 2. (11-12"/>
    <s v="Kumite, gyerek 2. fiú 55 kg"/>
    <s v="15"/>
    <s v="16 fős egyenes kiesés"/>
    <s v="2"/>
    <s v="Zeke Dávid"/>
    <x v="45"/>
    <s v="HUN"/>
    <n v="8"/>
    <m/>
    <s v="Szigetszentmiklós"/>
    <d v="2026-03-22T00:00:00"/>
    <s v="Zeke Dávid - Kelemen-Team"/>
    <x v="0"/>
    <s v="Kelemen-Team"/>
    <x v="1"/>
    <s v="gyerek"/>
  </r>
  <r>
    <x v="3"/>
    <s v="3A"/>
    <n v="604"/>
    <x v="0"/>
    <s v="Kumite, -, 45-55 kg, Gyerek 2. (11-12"/>
    <s v="Kumite, gyerek 2. fiú 55 kg"/>
    <s v="15"/>
    <s v="16 fős egyenes kiesés"/>
    <s v="3"/>
    <s v="Vámosi Juhász Máté"/>
    <x v="24"/>
    <s v="HUN"/>
    <n v="6"/>
    <m/>
    <s v="Szigetszentmiklós"/>
    <d v="2026-03-22T00:00:00"/>
    <s v="Vámosi Juhász Máté - Nagykátai Bushido SE"/>
    <x v="0"/>
    <s v="Nagykátai Bushido SE"/>
    <x v="1"/>
    <s v="gyerek"/>
  </r>
  <r>
    <x v="3"/>
    <s v="3A"/>
    <n v="605"/>
    <x v="0"/>
    <s v="Kumite, -, 45-55 kg, Gyerek 2. (11-12"/>
    <s v="Kumite, gyerek 2. fiú 55 kg"/>
    <s v="15"/>
    <s v="16 fős egyenes kiesés"/>
    <s v="3"/>
    <s v="Némethy Balázs"/>
    <x v="3"/>
    <s v="HUN"/>
    <n v="6"/>
    <m/>
    <s v="Szigetszentmiklós"/>
    <d v="2026-03-22T00:00:00"/>
    <s v="Némethy Balázs - Shogun"/>
    <x v="0"/>
    <s v="Shogun"/>
    <x v="1"/>
    <s v="gyerek"/>
  </r>
  <r>
    <x v="3"/>
    <s v="3A"/>
    <n v="606"/>
    <x v="0"/>
    <s v="Kumite, -, 45-55 kg, Gyerek 2. (11-12"/>
    <s v="Kumite, gyerek 2. fiú 55 kg"/>
    <s v="15"/>
    <s v="16 fős egyenes kiesés"/>
    <s v="5"/>
    <s v="Kiss Levente"/>
    <x v="51"/>
    <s v="HUN"/>
    <n v="3"/>
    <m/>
    <s v="Szigetszentmiklós"/>
    <d v="2026-03-22T00:00:00"/>
    <s v="Kiss Levente - Derecske BUDO"/>
    <x v="0"/>
    <s v="Derecske BUDO"/>
    <x v="1"/>
    <s v="gyerek"/>
  </r>
  <r>
    <x v="3"/>
    <s v="3A"/>
    <n v="607"/>
    <x v="0"/>
    <s v="Kumite, -, 45-55 kg, Gyerek 2. (11-12"/>
    <s v="Kumite, gyerek 2. fiú 55 kg"/>
    <s v="15"/>
    <s v="16 fős egyenes kiesés"/>
    <s v="6"/>
    <s v="Hernádi Bere"/>
    <x v="17"/>
    <s v="HUN"/>
    <n v="3"/>
    <m/>
    <s v="Szigetszentmiklós"/>
    <d v="2026-03-22T00:00:00"/>
    <s v="Hernádi Bere - BHMSE"/>
    <x v="0"/>
    <s v="BHMSE"/>
    <x v="1"/>
    <s v="gyerek"/>
  </r>
  <r>
    <x v="3"/>
    <s v="3A"/>
    <n v="608"/>
    <x v="0"/>
    <s v="Kumite, -, 45-55 kg, Gyerek 2. (11-12"/>
    <s v="Kumite, gyerek 2. fiú 55 kg"/>
    <s v="15"/>
    <s v="16 fős egyenes kiesés"/>
    <s v="7-8"/>
    <s v="Farkas Kristóf"/>
    <x v="49"/>
    <s v="HUN"/>
    <n v="3"/>
    <m/>
    <s v="Szigetszentmiklós"/>
    <d v="2026-03-22T00:00:00"/>
    <s v="Farkas Kristóf - Buke Reikon HRSE"/>
    <x v="0"/>
    <s v="Buke Reikon HRSE"/>
    <x v="1"/>
    <s v="gyerek"/>
  </r>
  <r>
    <x v="3"/>
    <s v="3A"/>
    <n v="609"/>
    <x v="0"/>
    <s v="Kumite, -, 45-55 kg, Gyerek 2. (11-12"/>
    <s v="Kumite, gyerek 2. fiú 55 kg"/>
    <s v="15"/>
    <s v="16 fős egyenes kiesés"/>
    <s v="7-8"/>
    <s v="Simon Titusz"/>
    <x v="49"/>
    <s v="HUN"/>
    <n v="3"/>
    <m/>
    <s v="Szigetszentmiklós"/>
    <d v="2026-03-22T00:00:00"/>
    <s v="Simon Titusz - Buke Reikon HRSE"/>
    <x v="0"/>
    <s v="Buke Reikon HRSE"/>
    <x v="1"/>
    <s v="gyerek"/>
  </r>
  <r>
    <x v="3"/>
    <s v="3A"/>
    <n v="610"/>
    <x v="0"/>
    <s v="Kumite, -, 45-55 kg, Gyerek 2. (11-12"/>
    <s v="Kumite, gyerek 2. fiú 55 kg"/>
    <s v="15"/>
    <s v="16 fős egyenes kiesés"/>
    <s v="9"/>
    <s v="Sztarek Benett"/>
    <x v="49"/>
    <s v="HUN"/>
    <n v="0"/>
    <m/>
    <s v="Szigetszentmiklós"/>
    <d v="2026-03-22T00:00:00"/>
    <s v="Sztarek Benett - Buke Reikon HRSE"/>
    <x v="0"/>
    <s v="Buke Reikon HRSE"/>
    <x v="1"/>
    <s v="gyerek"/>
  </r>
  <r>
    <x v="3"/>
    <s v="3A"/>
    <n v="611"/>
    <x v="0"/>
    <s v="Kumite, -, 45-55 kg, Gyerek 2. (11-12"/>
    <s v="Kumite, gyerek 2. fiú 55 kg"/>
    <s v="15"/>
    <s v="16 fős egyenes kiesés"/>
    <s v="10"/>
    <s v="Szabó Máté Péter"/>
    <x v="29"/>
    <s v="HUN"/>
    <n v="0"/>
    <m/>
    <s v="Szigetszentmiklós"/>
    <d v="2026-03-22T00:00:00"/>
    <s v="Szabó Máté Péter - WARRIORS TEAM"/>
    <x v="0"/>
    <s v="WARRIORS TEAM"/>
    <x v="1"/>
    <s v="gyerek"/>
  </r>
  <r>
    <x v="3"/>
    <s v="3A"/>
    <n v="612"/>
    <x v="0"/>
    <s v="Kumite, -, 45-55 kg, Gyerek 2. (11-12"/>
    <s v="Kumite, gyerek 2. fiú 55 kg"/>
    <s v="15"/>
    <s v="16 fős egyenes kiesés"/>
    <s v="11-16"/>
    <s v="Zádori Zénó "/>
    <x v="49"/>
    <s v="HUN"/>
    <n v="0"/>
    <m/>
    <s v="Szigetszentmiklós"/>
    <d v="2026-03-22T00:00:00"/>
    <s v="Zádori Zénó  - Buke Reikon HRSE"/>
    <x v="0"/>
    <s v="Buke Reikon HRSE"/>
    <x v="1"/>
    <s v="gyerek"/>
  </r>
  <r>
    <x v="3"/>
    <s v="3A"/>
    <n v="613"/>
    <x v="0"/>
    <s v="Kumite, -, 45-55 kg, Gyerek 2. (11-12"/>
    <s v="Kumite, gyerek 2. fiú 55 kg"/>
    <s v="15"/>
    <s v="16 fős egyenes kiesés"/>
    <s v="11-16"/>
    <s v="Kiss István"/>
    <x v="51"/>
    <s v="HUN"/>
    <n v="0"/>
    <m/>
    <s v="Szigetszentmiklós"/>
    <d v="2026-03-22T00:00:00"/>
    <s v="Kiss István - Derecske BUDO"/>
    <x v="0"/>
    <s v="Derecske BUDO"/>
    <x v="1"/>
    <s v="gyerek"/>
  </r>
  <r>
    <x v="3"/>
    <s v="3A"/>
    <n v="614"/>
    <x v="0"/>
    <s v="Kumite, -, 45-55 kg, Gyerek 2. (11-12"/>
    <s v="Kumite, gyerek 2. fiú 55 kg"/>
    <s v="15"/>
    <s v="16 fős egyenes kiesés"/>
    <s v="11-16"/>
    <s v="Szabó Zsombor"/>
    <x v="49"/>
    <s v="HUN"/>
    <n v="0"/>
    <m/>
    <s v="Szigetszentmiklós"/>
    <d v="2026-03-22T00:00:00"/>
    <s v="Szabó Zsombor - Buke Reikon HRSE"/>
    <x v="0"/>
    <s v="Buke Reikon HRSE"/>
    <x v="1"/>
    <s v="gyerek"/>
  </r>
  <r>
    <x v="3"/>
    <s v="3A"/>
    <n v="615"/>
    <x v="0"/>
    <s v="Kumite, -, 45-55 kg, Gyerek 2. (11-12"/>
    <s v="Kumite, gyerek 2. fiú 55 kg"/>
    <s v="15"/>
    <s v="16 fős egyenes kiesés"/>
    <s v="11-16"/>
    <s v="Eszenyi Tamás Zsolt"/>
    <x v="18"/>
    <s v="HUN"/>
    <n v="0"/>
    <m/>
    <s v="Szigetszentmiklós"/>
    <d v="2026-03-22T00:00:00"/>
    <s v="Eszenyi Tamás Zsolt - Bátor KSE"/>
    <x v="0"/>
    <s v="Bátor KSE"/>
    <x v="1"/>
    <s v="gyerek"/>
  </r>
  <r>
    <x v="3"/>
    <s v="3A"/>
    <n v="616"/>
    <x v="0"/>
    <s v="Kumite, -, 55-999 kg, Gyerek 2. (11-12"/>
    <s v="Kumite, gyerek 2. fiú +55 kg"/>
    <s v="12"/>
    <s v="16 fős egyenes kiesés"/>
    <s v="1"/>
    <s v="Tálas Csongor"/>
    <x v="1"/>
    <s v="HUN"/>
    <n v="10"/>
    <m/>
    <s v="Szigetszentmiklós"/>
    <d v="2026-03-22T00:00:00"/>
    <s v="Tálas Csongor - Ippon KKSE"/>
    <x v="0"/>
    <s v="Ippon KKSE"/>
    <x v="1"/>
    <s v="gyerek"/>
  </r>
  <r>
    <x v="3"/>
    <s v="3A"/>
    <n v="617"/>
    <x v="0"/>
    <s v="Kumite, -, 55-999 kg, Gyerek 2. (11-12"/>
    <s v="Kumite, gyerek 2. fiú +55 kg"/>
    <s v="12"/>
    <s v="16 fős egyenes kiesés"/>
    <s v="2"/>
    <s v="Szabó Bence"/>
    <x v="3"/>
    <s v="HUN"/>
    <n v="8"/>
    <m/>
    <s v="Szigetszentmiklós"/>
    <d v="2026-03-22T00:00:00"/>
    <s v="Szabó Bence - Shogun"/>
    <x v="0"/>
    <s v="Shogun"/>
    <x v="1"/>
    <s v="gyerek"/>
  </r>
  <r>
    <x v="3"/>
    <s v="3A"/>
    <n v="618"/>
    <x v="0"/>
    <s v="Kumite, -, 55-999 kg, Gyerek 2. (11-12"/>
    <s v="Kumite, gyerek 2. fiú +55 kg"/>
    <s v="12"/>
    <s v="16 fős egyenes kiesés"/>
    <s v="3"/>
    <s v="Rajmon Tamás"/>
    <x v="0"/>
    <s v="HUN"/>
    <n v="6"/>
    <m/>
    <s v="Szigetszentmiklós"/>
    <d v="2026-03-22T00:00:00"/>
    <s v="Rajmon Tamás - Victory"/>
    <x v="0"/>
    <s v="Victory"/>
    <x v="1"/>
    <s v="gyerek"/>
  </r>
  <r>
    <x v="3"/>
    <s v="3A"/>
    <n v="619"/>
    <x v="0"/>
    <s v="Kumite, -, 55-999 kg, Gyerek 2. (11-12"/>
    <s v="Kumite, gyerek 2. fiú +55 kg"/>
    <s v="12"/>
    <s v="16 fős egyenes kiesés"/>
    <s v="3"/>
    <s v="Gyuricska Benedek"/>
    <x v="3"/>
    <s v="HUN"/>
    <n v="6"/>
    <m/>
    <s v="Szigetszentmiklós"/>
    <d v="2026-03-22T00:00:00"/>
    <s v="Gyuricska Benedek - Shogun"/>
    <x v="0"/>
    <s v="Shogun"/>
    <x v="1"/>
    <s v="gyerek"/>
  </r>
  <r>
    <x v="3"/>
    <s v="3A"/>
    <n v="620"/>
    <x v="0"/>
    <s v="Kumite, -, 55-999 kg, Gyerek 2. (11-12"/>
    <s v="Kumite, gyerek 2. fiú +55 kg"/>
    <s v="12"/>
    <s v="16 fős egyenes kiesés"/>
    <s v="5"/>
    <s v="Bervanger Bálint"/>
    <x v="3"/>
    <s v="HUN"/>
    <n v="3"/>
    <m/>
    <s v="Szigetszentmiklós"/>
    <d v="2026-03-22T00:00:00"/>
    <s v="Bervanger Bálint - Shogun"/>
    <x v="0"/>
    <s v="Shogun"/>
    <x v="1"/>
    <s v="gyerek"/>
  </r>
  <r>
    <x v="3"/>
    <s v="3A"/>
    <n v="621"/>
    <x v="0"/>
    <s v="Kumite, -, 55-999 kg, Gyerek 2. (11-12"/>
    <s v="Kumite, gyerek 2. fiú +55 kg"/>
    <s v="12"/>
    <s v="16 fős egyenes kiesés"/>
    <s v="6"/>
    <s v="Baky Kornél"/>
    <x v="17"/>
    <s v="HUN"/>
    <n v="0"/>
    <s v="nem volt nyertes mérkőzése"/>
    <s v="Szigetszentmiklós"/>
    <d v="2026-03-22T00:00:00"/>
    <s v="Baky Kornél - BHMSE"/>
    <x v="0"/>
    <s v="BHMSE"/>
    <x v="1"/>
    <s v="gyerek"/>
  </r>
  <r>
    <x v="3"/>
    <s v="3A"/>
    <n v="622"/>
    <x v="0"/>
    <s v="Kumite, -, 55-999 kg, Gyerek 2. (11-12"/>
    <s v="Kumite, gyerek 2. fiú +55 kg"/>
    <s v="12"/>
    <s v="16 fős egyenes kiesés"/>
    <s v="7-8"/>
    <s v="Petróczki Farkas"/>
    <x v="18"/>
    <s v="HUN"/>
    <n v="0"/>
    <s v="nem volt nyertes mérkőzése"/>
    <s v="Szigetszentmiklós"/>
    <d v="2026-03-22T00:00:00"/>
    <s v="Petróczki Farkas - Bátor KSE"/>
    <x v="0"/>
    <s v="Bátor KSE"/>
    <x v="1"/>
    <s v="gyerek"/>
  </r>
  <r>
    <x v="3"/>
    <s v="3A"/>
    <n v="623"/>
    <x v="0"/>
    <s v="Kumite, -, 55-999 kg, Gyerek 2. (11-12"/>
    <s v="Kumite, gyerek 2. fiú +55 kg"/>
    <s v="12"/>
    <s v="16 fős egyenes kiesés"/>
    <s v="7-8"/>
    <s v="Jagyugy Zalán"/>
    <x v="45"/>
    <s v="HUN"/>
    <n v="3"/>
    <m/>
    <s v="Szigetszentmiklós"/>
    <d v="2026-03-22T00:00:00"/>
    <s v="Jagyugy Zalán - Kelemen-Team"/>
    <x v="0"/>
    <s v="Kelemen-Team"/>
    <x v="1"/>
    <s v="gyerek"/>
  </r>
  <r>
    <x v="3"/>
    <s v="3A"/>
    <n v="624"/>
    <x v="0"/>
    <s v="Kumite, -, 55-999 kg, Gyerek 2. (11-12"/>
    <s v="Kumite, gyerek 2. fiú +55 kg"/>
    <s v="12"/>
    <s v="16 fős egyenes kiesés"/>
    <s v="10"/>
    <s v="Kurucz Árpád Soma"/>
    <x v="0"/>
    <s v="HUN"/>
    <n v="0"/>
    <m/>
    <s v="Szigetszentmiklós"/>
    <d v="2026-03-22T00:00:00"/>
    <s v="Kurucz Árpád Soma - Victory"/>
    <x v="0"/>
    <s v="Victory"/>
    <x v="1"/>
    <s v="gyerek"/>
  </r>
  <r>
    <x v="3"/>
    <s v="3A"/>
    <n v="625"/>
    <x v="0"/>
    <s v="Kumite, -, 55-999 kg, Gyerek 2. (11-12"/>
    <s v="Kumite, gyerek 2. fiú +55 kg"/>
    <s v="12"/>
    <s v="16 fős egyenes kiesés"/>
    <s v="11-16"/>
    <s v="Berki Tamás"/>
    <x v="0"/>
    <s v="HUN"/>
    <n v="0"/>
    <m/>
    <s v="Szigetszentmiklós"/>
    <d v="2026-03-22T00:00:00"/>
    <s v="Berki Tamás - Victory"/>
    <x v="0"/>
    <s v="Victory"/>
    <x v="1"/>
    <s v="gyerek"/>
  </r>
  <r>
    <x v="3"/>
    <s v="3A"/>
    <n v="626"/>
    <x v="0"/>
    <s v="Kumite, -, 55-999 kg, Gyerek 2. (11-12"/>
    <s v="Kumite, gyerek 2. fiú +55 kg"/>
    <s v="12"/>
    <s v="16 fős egyenes kiesés"/>
    <s v="11-16"/>
    <s v="Odorics Zétény"/>
    <x v="23"/>
    <s v="HUN"/>
    <n v="0"/>
    <m/>
    <s v="Szigetszentmiklós"/>
    <d v="2026-03-22T00:00:00"/>
    <s v="Odorics Zétény - Rakurai"/>
    <x v="0"/>
    <s v="Rakurai"/>
    <x v="1"/>
    <s v="gyerek"/>
  </r>
  <r>
    <x v="3"/>
    <s v="3A"/>
    <n v="627"/>
    <x v="0"/>
    <s v="Kumite, -, 55-999 kg, Gyerek 2. (11-12"/>
    <s v="Kumite, gyerek 2. fiú +55 kg"/>
    <s v="12"/>
    <s v="16 fős egyenes kiesés"/>
    <s v="11-16"/>
    <s v="Tóth Marcell Kevin"/>
    <x v="14"/>
    <s v="HUN"/>
    <n v="0"/>
    <m/>
    <s v="Szigetszentmiklós"/>
    <d v="2026-03-22T00:00:00"/>
    <s v="Tóth Marcell Kevin - Nozomu Dojo"/>
    <x v="0"/>
    <s v="Nozomu Dojo"/>
    <x v="1"/>
    <s v="gyerek"/>
  </r>
  <r>
    <x v="3"/>
    <s v="3A"/>
    <n v="628"/>
    <x v="1"/>
    <s v="Kata, -, 0-100 kg, Gyerek 2. (11-12"/>
    <s v="Kata, gyerek 2. fiú"/>
    <s v="18"/>
    <s v="32 fős egyenes kiesés"/>
    <s v="1"/>
    <s v="Hegedűs Botond"/>
    <x v="50"/>
    <s v="HUN"/>
    <n v="10"/>
    <m/>
    <s v="Szigetszentmiklós"/>
    <d v="2026-03-22T00:00:00"/>
    <s v="Hegedűs Botond - Keizoku SE"/>
    <x v="0"/>
    <s v="Keizoku SE"/>
    <x v="1"/>
    <s v="gyerek"/>
  </r>
  <r>
    <x v="3"/>
    <s v="3A"/>
    <n v="629"/>
    <x v="1"/>
    <s v="Kata, -, 0-100 kg, Gyerek 2. (11-12"/>
    <s v="Kata, gyerek 2. fiú"/>
    <s v="18"/>
    <s v="32 fős egyenes kiesés"/>
    <s v="2"/>
    <s v="Nagy Zétény"/>
    <x v="17"/>
    <s v="HUN"/>
    <n v="7"/>
    <m/>
    <s v="Szigetszentmiklós"/>
    <d v="2026-03-22T00:00:00"/>
    <s v="Nagy Zétény - BHMSE"/>
    <x v="0"/>
    <s v="BHMSE"/>
    <x v="1"/>
    <s v="gyerek"/>
  </r>
  <r>
    <x v="3"/>
    <s v="3A"/>
    <n v="630"/>
    <x v="1"/>
    <s v="Kata, -, 0-100 kg, Gyerek 2. (11-12"/>
    <s v="Kata, gyerek 2. fiú"/>
    <s v="18"/>
    <s v="32 fős egyenes kiesés"/>
    <s v="3"/>
    <s v="Tarr Bence"/>
    <x v="3"/>
    <s v="HUN"/>
    <n v="5"/>
    <m/>
    <s v="Szigetszentmiklós"/>
    <d v="2026-03-22T00:00:00"/>
    <s v="Tarr Bence - Shogun"/>
    <x v="0"/>
    <s v="Shogun"/>
    <x v="1"/>
    <s v="gyerek"/>
  </r>
  <r>
    <x v="3"/>
    <s v="3A"/>
    <n v="631"/>
    <x v="1"/>
    <s v="Kata, -, 0-100 kg, Gyerek 2. (11-12"/>
    <s v="Kata, gyerek 2. fiú"/>
    <s v="18"/>
    <s v="32 fős egyenes kiesés"/>
    <s v="3"/>
    <s v="Eszenyi Barnabás"/>
    <x v="3"/>
    <s v="HUN"/>
    <n v="5"/>
    <m/>
    <s v="Szigetszentmiklós"/>
    <d v="2026-03-22T00:00:00"/>
    <s v="Eszenyi Barnabás - Shogun"/>
    <x v="0"/>
    <s v="Shogun"/>
    <x v="1"/>
    <s v="gyerek"/>
  </r>
  <r>
    <x v="3"/>
    <s v="3A"/>
    <n v="632"/>
    <x v="1"/>
    <s v="Kata, -, 0-100 kg, Gyerek 2. (11-12"/>
    <s v="Kata, gyerek 2. fiú"/>
    <s v="18"/>
    <s v="32 fős egyenes kiesés"/>
    <s v="5"/>
    <s v="Virág Oszkár"/>
    <x v="26"/>
    <s v="HUN"/>
    <n v="3"/>
    <m/>
    <s v="Szigetszentmiklós"/>
    <d v="2026-03-22T00:00:00"/>
    <s v="Virág Oszkár - Rokku KKSE"/>
    <x v="0"/>
    <s v="Rokku KKSE"/>
    <x v="1"/>
    <s v="gyerek"/>
  </r>
  <r>
    <x v="3"/>
    <s v="3A"/>
    <n v="633"/>
    <x v="1"/>
    <s v="Kata, -, 0-100 kg, Gyerek 2. (11-12"/>
    <s v="Kata, gyerek 2. fiú"/>
    <s v="18"/>
    <s v="32 fős egyenes kiesés"/>
    <s v="6"/>
    <s v="Pajkos Dominik"/>
    <x v="3"/>
    <s v="HUN"/>
    <n v="3"/>
    <m/>
    <s v="Szigetszentmiklós"/>
    <d v="2026-03-22T00:00:00"/>
    <s v="Pajkos Dominik - Shogun"/>
    <x v="0"/>
    <s v="Shogun"/>
    <x v="1"/>
    <s v="gyerek"/>
  </r>
  <r>
    <x v="3"/>
    <s v="3A"/>
    <n v="634"/>
    <x v="1"/>
    <s v="Kata, -, 0-100 kg, Gyerek 2. (11-12"/>
    <s v="Kata, gyerek 2. fiú"/>
    <s v="18"/>
    <s v="32 fős egyenes kiesés"/>
    <s v="7-8"/>
    <s v="Eperjesi Dávid"/>
    <x v="17"/>
    <s v="HUN"/>
    <n v="3"/>
    <m/>
    <s v="Szigetszentmiklós"/>
    <d v="2026-03-22T00:00:00"/>
    <s v="Eperjesi Dávid - BHMSE"/>
    <x v="0"/>
    <s v="BHMSE"/>
    <x v="1"/>
    <s v="gyerek"/>
  </r>
  <r>
    <x v="3"/>
    <s v="3A"/>
    <n v="635"/>
    <x v="1"/>
    <s v="Kata, -, 0-100 kg, Gyerek 2. (11-12"/>
    <s v="Kata, gyerek 2. fiú"/>
    <s v="18"/>
    <s v="32 fős egyenes kiesés"/>
    <s v="7-8"/>
    <s v="Kőszegfalvi Csanád"/>
    <x v="30"/>
    <s v="HUN"/>
    <n v="3"/>
    <m/>
    <s v="Szigetszentmiklós"/>
    <d v="2026-03-22T00:00:00"/>
    <s v="Kőszegfalvi Csanád - Shinkyo SE"/>
    <x v="0"/>
    <s v="Shinkyo SE"/>
    <x v="1"/>
    <s v="gyerek"/>
  </r>
  <r>
    <x v="3"/>
    <s v="3A"/>
    <n v="636"/>
    <x v="1"/>
    <s v="Kata, -, 0-100 kg, Gyerek 2. (11-12"/>
    <s v="Kata, gyerek 2. fiú"/>
    <s v="18"/>
    <s v="32 fős egyenes kiesés"/>
    <s v="9"/>
    <s v="Némethy Balázs"/>
    <x v="3"/>
    <s v="HUN"/>
    <n v="0"/>
    <m/>
    <s v="Szigetszentmiklós"/>
    <d v="2026-03-22T00:00:00"/>
    <s v="Némethy Balázs - Shogun"/>
    <x v="0"/>
    <s v="Shogun"/>
    <x v="1"/>
    <s v="gyerek"/>
  </r>
  <r>
    <x v="3"/>
    <s v="3A"/>
    <n v="637"/>
    <x v="1"/>
    <s v="Kata, -, 0-100 kg, Gyerek 2. (11-12"/>
    <s v="Kata, gyerek 2. fiú"/>
    <s v="18"/>
    <s v="32 fős egyenes kiesés"/>
    <s v="10"/>
    <s v="Árendás Botond"/>
    <x v="15"/>
    <s v="HUN"/>
    <n v="0"/>
    <m/>
    <s v="Szigetszentmiklós"/>
    <d v="2026-03-22T00:00:00"/>
    <s v="Árendás Botond - KSE Tarján"/>
    <x v="0"/>
    <s v="KSE Tarján"/>
    <x v="1"/>
    <s v="gyerek"/>
  </r>
  <r>
    <x v="3"/>
    <s v="3A"/>
    <n v="638"/>
    <x v="1"/>
    <s v="Kata, -, 0-100 kg, Gyerek 2. (11-12"/>
    <s v="Kata, gyerek 2. fiú"/>
    <s v="18"/>
    <s v="32 fős egyenes kiesés"/>
    <s v="11-16"/>
    <s v="Kiss Adrián"/>
    <x v="50"/>
    <s v="HUN"/>
    <n v="0"/>
    <m/>
    <s v="Szigetszentmiklós"/>
    <d v="2026-03-22T00:00:00"/>
    <s v="Kiss Adrián - Keizoku SE"/>
    <x v="0"/>
    <s v="Keizoku SE"/>
    <x v="1"/>
    <s v="gyerek"/>
  </r>
  <r>
    <x v="3"/>
    <s v="3A"/>
    <n v="639"/>
    <x v="1"/>
    <s v="Kata, -, 0-100 kg, Gyerek 2. (11-12"/>
    <s v="Kata, gyerek 2. fiú"/>
    <s v="18"/>
    <s v="32 fős egyenes kiesés"/>
    <s v="11-16"/>
    <s v="Kárász Dániel"/>
    <x v="17"/>
    <s v="HUN"/>
    <n v="0"/>
    <m/>
    <s v="Szigetszentmiklós"/>
    <d v="2026-03-22T00:00:00"/>
    <s v="Kárász Dániel - BHMSE"/>
    <x v="0"/>
    <s v="BHMSE"/>
    <x v="1"/>
    <s v="gyerek"/>
  </r>
  <r>
    <x v="3"/>
    <s v="3A"/>
    <n v="640"/>
    <x v="1"/>
    <s v="Kata, -, 0-100 kg, Gyerek 2. (11-12"/>
    <s v="Kata, gyerek 2. fiú"/>
    <s v="18"/>
    <s v="32 fős egyenes kiesés"/>
    <s v="11-16"/>
    <s v="Hidegh Krisztián"/>
    <x v="23"/>
    <s v="HUN"/>
    <n v="0"/>
    <m/>
    <s v="Szigetszentmiklós"/>
    <d v="2026-03-22T00:00:00"/>
    <s v="Hidegh Krisztián - Rakurai"/>
    <x v="0"/>
    <s v="Rakurai"/>
    <x v="1"/>
    <s v="gyerek"/>
  </r>
  <r>
    <x v="3"/>
    <s v="3A"/>
    <n v="641"/>
    <x v="1"/>
    <s v="Kata, -, 0-100 kg, Gyerek 2. (11-12"/>
    <s v="Kata, gyerek 2. fiú"/>
    <s v="18"/>
    <s v="32 fős egyenes kiesés"/>
    <s v="11-16"/>
    <s v="Hernádi Bere"/>
    <x v="17"/>
    <s v="HUN"/>
    <n v="0"/>
    <m/>
    <s v="Szigetszentmiklós"/>
    <d v="2026-03-22T00:00:00"/>
    <s v="Hernádi Bere - BHMSE"/>
    <x v="0"/>
    <s v="BHMSE"/>
    <x v="1"/>
    <s v="gyerek"/>
  </r>
  <r>
    <x v="3"/>
    <s v="3A"/>
    <n v="642"/>
    <x v="1"/>
    <s v="Kata, -, 0-100 kg, Gyerek 2. (11-12"/>
    <s v="Kata, gyerek 2. fiú"/>
    <s v="18"/>
    <s v="32 fős egyenes kiesés"/>
    <s v="11-16"/>
    <s v="Gombos-Weidinger Zsombor"/>
    <x v="17"/>
    <s v="HUN"/>
    <n v="0"/>
    <m/>
    <s v="Szigetszentmiklós"/>
    <d v="2026-03-22T00:00:00"/>
    <s v="Gombos-Weidinger Zsombor - BHMSE"/>
    <x v="0"/>
    <s v="BHMSE"/>
    <x v="1"/>
    <s v="gyerek"/>
  </r>
  <r>
    <x v="3"/>
    <s v="3A"/>
    <n v="643"/>
    <x v="1"/>
    <s v="Kata, -, 0-100 kg, Gyerek 2. (11-12"/>
    <s v="Kata, gyerek 2. fiú"/>
    <s v="18"/>
    <s v="32 fős egyenes kiesés"/>
    <s v="11-16"/>
    <s v="Bervanger Bálint"/>
    <x v="3"/>
    <s v="HUN"/>
    <n v="0"/>
    <m/>
    <s v="Szigetszentmiklós"/>
    <d v="2026-03-22T00:00:00"/>
    <s v="Bervanger Bálint - Shogun"/>
    <x v="0"/>
    <s v="Shogun"/>
    <x v="1"/>
    <s v="gyerek"/>
  </r>
  <r>
    <x v="3"/>
    <s v="3A"/>
    <n v="644"/>
    <x v="0"/>
    <s v="Kumite, -, 0-35 kg, Gyerek 2. (11-12"/>
    <s v="Kumite, gyerek 2. lány 35 kg"/>
    <s v="11"/>
    <s v="16 fős egyenes kiesés"/>
    <s v="1"/>
    <s v="Jakubovics Nikolett"/>
    <x v="17"/>
    <s v="HUN"/>
    <n v="10"/>
    <m/>
    <s v="Szigetszentmiklós"/>
    <d v="2026-03-22T00:00:00"/>
    <s v="Jakubovics Nikolett - BHMSE"/>
    <x v="0"/>
    <s v="BHMSE"/>
    <x v="1"/>
    <s v="gyerek"/>
  </r>
  <r>
    <x v="3"/>
    <s v="3A"/>
    <n v="645"/>
    <x v="0"/>
    <s v="Kumite, -, 0-35 kg, Gyerek 2. (11-12"/>
    <s v="Kumite, gyerek 2. lány 35 kg"/>
    <s v="11"/>
    <s v="16 fős egyenes kiesés"/>
    <s v="2"/>
    <s v="Domján-Herbat Réka"/>
    <x v="17"/>
    <s v="HUN"/>
    <n v="8"/>
    <m/>
    <s v="Szigetszentmiklós"/>
    <d v="2026-03-22T00:00:00"/>
    <s v="Domján-Herbat Réka - BHMSE"/>
    <x v="0"/>
    <s v="BHMSE"/>
    <x v="1"/>
    <s v="gyerek"/>
  </r>
  <r>
    <x v="3"/>
    <s v="3A"/>
    <n v="646"/>
    <x v="0"/>
    <s v="Kumite, -, 0-35 kg, Gyerek 2. (11-12"/>
    <s v="Kumite, gyerek 2. lány 35 kg"/>
    <s v="11"/>
    <s v="16 fős egyenes kiesés"/>
    <s v="3"/>
    <s v="Fürjesi Eszter"/>
    <x v="3"/>
    <s v="HUN"/>
    <n v="6"/>
    <m/>
    <s v="Szigetszentmiklós"/>
    <d v="2026-03-22T00:00:00"/>
    <s v="Fürjesi Eszter - Shogun"/>
    <x v="0"/>
    <s v="Shogun"/>
    <x v="1"/>
    <s v="gyerek"/>
  </r>
  <r>
    <x v="3"/>
    <s v="3A"/>
    <n v="647"/>
    <x v="0"/>
    <s v="Kumite, -, 0-35 kg, Gyerek 2. (11-12"/>
    <s v="Kumite, gyerek 2. lány 35 kg"/>
    <s v="11"/>
    <s v="16 fős egyenes kiesés"/>
    <s v="3"/>
    <s v="Horváth Boróka"/>
    <x v="23"/>
    <s v="HUN"/>
    <n v="6"/>
    <m/>
    <s v="Szigetszentmiklós"/>
    <d v="2026-03-22T00:00:00"/>
    <s v="Horváth Boróka - Rakurai"/>
    <x v="0"/>
    <s v="Rakurai"/>
    <x v="1"/>
    <s v="gyerek"/>
  </r>
  <r>
    <x v="3"/>
    <s v="3A"/>
    <n v="648"/>
    <x v="0"/>
    <s v="Kumite, -, 0-35 kg, Gyerek 2. (11-12"/>
    <s v="Kumite, gyerek 2. lány 35 kg"/>
    <s v="11"/>
    <s v="16 fős egyenes kiesés"/>
    <s v="5"/>
    <s v="Rudi Noémi"/>
    <x v="23"/>
    <s v="HUN"/>
    <n v="3"/>
    <m/>
    <s v="Szigetszentmiklós"/>
    <d v="2026-03-22T00:00:00"/>
    <s v="Rudi Noémi - Rakurai"/>
    <x v="0"/>
    <s v="Rakurai"/>
    <x v="1"/>
    <s v="gyerek"/>
  </r>
  <r>
    <x v="3"/>
    <s v="3A"/>
    <n v="649"/>
    <x v="0"/>
    <s v="Kumite, -, 0-35 kg, Gyerek 2. (11-12"/>
    <s v="Kumite, gyerek 2. lány 35 kg"/>
    <s v="11"/>
    <s v="16 fős egyenes kiesés"/>
    <s v="6"/>
    <s v="Ungai Eszter"/>
    <x v="48"/>
    <s v="HUN"/>
    <n v="0"/>
    <s v="nem volt nyertes mérkőzése"/>
    <s v="Szigetszentmiklós"/>
    <d v="2026-03-22T00:00:00"/>
    <s v="Ungai Eszter - Hajdúszoboszló"/>
    <x v="0"/>
    <s v="Hajdúszoboszló"/>
    <x v="1"/>
    <s v="gyerek"/>
  </r>
  <r>
    <x v="3"/>
    <s v="3A"/>
    <n v="650"/>
    <x v="0"/>
    <s v="Kumite, -, 0-35 kg, Gyerek 2. (11-12"/>
    <s v="Kumite, gyerek 2. lány 35 kg"/>
    <s v="11"/>
    <s v="16 fős egyenes kiesés"/>
    <s v="7-8"/>
    <s v="Kigó Boróka"/>
    <x v="0"/>
    <s v="HUN"/>
    <n v="0"/>
    <s v="nem volt nyertes mérkőzése"/>
    <s v="Szigetszentmiklós"/>
    <d v="2026-03-22T00:00:00"/>
    <s v="Kigó Boróka - Victory"/>
    <x v="0"/>
    <s v="Victory"/>
    <x v="1"/>
    <s v="gyerek"/>
  </r>
  <r>
    <x v="3"/>
    <s v="3A"/>
    <n v="651"/>
    <x v="0"/>
    <s v="Kumite, -, 0-35 kg, Gyerek 2. (11-12"/>
    <s v="Kumite, gyerek 2. lány 35 kg"/>
    <s v="11"/>
    <s v="16 fős egyenes kiesés"/>
    <s v="7-8"/>
    <s v="Pődör Panka"/>
    <x v="20"/>
    <s v="HUN"/>
    <n v="0"/>
    <s v="nem volt nyertes mérkőzése"/>
    <s v="Szigetszentmiklós"/>
    <d v="2026-03-22T00:00:00"/>
    <s v="Pődör Panka - Griff SE"/>
    <x v="0"/>
    <s v="Griff SE"/>
    <x v="1"/>
    <s v="gyerek"/>
  </r>
  <r>
    <x v="3"/>
    <s v="3A"/>
    <n v="652"/>
    <x v="0"/>
    <s v="Kumite, -, 0-35 kg, Gyerek 2. (11-12"/>
    <s v="Kumite, gyerek 2. lány 35 kg"/>
    <s v="11"/>
    <s v="16 fős egyenes kiesés"/>
    <s v="11-16"/>
    <s v="Varga Zoé"/>
    <x v="46"/>
    <s v="HUN"/>
    <n v="0"/>
    <m/>
    <s v="Szigetszentmiklós"/>
    <d v="2026-03-22T00:00:00"/>
    <s v="Varga Zoé - Kemecse SE"/>
    <x v="0"/>
    <s v="Kemecse SE"/>
    <x v="1"/>
    <s v="gyerek"/>
  </r>
  <r>
    <x v="3"/>
    <s v="3A"/>
    <n v="653"/>
    <x v="0"/>
    <s v="Kumite, -, 0-35 kg, Gyerek 2. (11-12"/>
    <s v="Kumite, gyerek 2. lány 35 kg"/>
    <s v="11"/>
    <s v="16 fős egyenes kiesés"/>
    <s v="11-16"/>
    <s v="Huszár Hanna"/>
    <x v="46"/>
    <s v="HUN"/>
    <n v="0"/>
    <m/>
    <s v="Szigetszentmiklós"/>
    <d v="2026-03-22T00:00:00"/>
    <s v="Huszár Hanna - Kemecse SE"/>
    <x v="0"/>
    <s v="Kemecse SE"/>
    <x v="1"/>
    <s v="gyerek"/>
  </r>
  <r>
    <x v="3"/>
    <s v="3A"/>
    <n v="654"/>
    <x v="0"/>
    <s v="Kumite, -, 0-35 kg, Gyerek 2. (11-12"/>
    <s v="Kumite, gyerek 2. lány 35 kg"/>
    <s v="11"/>
    <s v="16 fős egyenes kiesés"/>
    <s v="11-16"/>
    <s v="Szőllősi Hanna"/>
    <x v="46"/>
    <s v="HUN"/>
    <n v="0"/>
    <m/>
    <s v="Szigetszentmiklós"/>
    <d v="2026-03-22T00:00:00"/>
    <s v="Szőllősi Hanna - Kemecse SE"/>
    <x v="0"/>
    <s v="Kemecse SE"/>
    <x v="1"/>
    <s v="gyerek"/>
  </r>
  <r>
    <x v="3"/>
    <s v="3A"/>
    <n v="655"/>
    <x v="0"/>
    <s v="Kumite, -, 35-40 kg, Gyerek 2. (11-12"/>
    <s v="Kumite, gyerek 2. lány 40 kg"/>
    <s v="3"/>
    <s v="3 fős körmérkőzés"/>
    <s v="1"/>
    <s v="Fagbola Esther"/>
    <x v="0"/>
    <s v="HUN"/>
    <n v="0"/>
    <m/>
    <s v="Szigetszentmiklós"/>
    <d v="2026-03-22T00:00:00"/>
    <s v="Fagbola Esther - Victory"/>
    <x v="0"/>
    <s v="Victory"/>
    <x v="1"/>
    <s v="gyerek"/>
  </r>
  <r>
    <x v="3"/>
    <s v="3A"/>
    <n v="656"/>
    <x v="0"/>
    <s v="Kumite, -, 35-40 kg, Gyerek 2. (11-12"/>
    <s v="Kumite, gyerek 2. lány 40 kg"/>
    <s v="3"/>
    <s v="3 fős körmérkőzés"/>
    <s v="2"/>
    <s v="Téglási Kamilla"/>
    <x v="2"/>
    <s v="HUN"/>
    <n v="0"/>
    <m/>
    <s v="Szigetszentmiklós"/>
    <d v="2026-03-22T00:00:00"/>
    <s v="Téglási Kamilla - Kisvárda KKDOSC"/>
    <x v="0"/>
    <s v="Kisvárda KKDOSC"/>
    <x v="1"/>
    <s v="gyerek"/>
  </r>
  <r>
    <x v="3"/>
    <s v="3A"/>
    <n v="657"/>
    <x v="0"/>
    <s v="Kumite, -, 35-40 kg, Gyerek 2. (11-12"/>
    <s v="Kumite, gyerek 2. lány 40 kg"/>
    <s v="3"/>
    <s v="3 fős körmérkőzés"/>
    <s v="3"/>
    <s v="Spanjevic Frida"/>
    <x v="17"/>
    <s v="HUN"/>
    <n v="0"/>
    <m/>
    <s v="Szigetszentmiklós"/>
    <d v="2026-03-22T00:00:00"/>
    <s v="Spanjevic Frida - BHMSE"/>
    <x v="0"/>
    <s v="BHMSE"/>
    <x v="1"/>
    <s v="gyerek"/>
  </r>
  <r>
    <x v="3"/>
    <s v="3A"/>
    <n v="658"/>
    <x v="0"/>
    <s v="Kumite, -, 45-200 kg, Gyerek 2. (11-12"/>
    <s v="Kumite, gyerek 2. lány +45 kg"/>
    <s v="11"/>
    <s v="16 fős egyenes kiesés"/>
    <s v="1"/>
    <s v="Marjai Boglárka"/>
    <x v="45"/>
    <s v="HUN"/>
    <n v="10"/>
    <m/>
    <s v="Szigetszentmiklós"/>
    <d v="2026-03-22T00:00:00"/>
    <s v="Marjai Boglárka - Kelemen-Team"/>
    <x v="0"/>
    <s v="Kelemen-Team"/>
    <x v="1"/>
    <s v="gyerek"/>
  </r>
  <r>
    <x v="3"/>
    <s v="3A"/>
    <n v="659"/>
    <x v="0"/>
    <s v="Kumite, -, 45-200 kg, Gyerek 2. (11-12"/>
    <s v="Kumite, gyerek 2. lány +45 kg"/>
    <s v="11"/>
    <s v="16 fős egyenes kiesés"/>
    <s v="2"/>
    <s v="Czekmeiszter Maja Lili"/>
    <x v="18"/>
    <s v="HUN"/>
    <n v="8"/>
    <m/>
    <s v="Szigetszentmiklós"/>
    <d v="2026-03-22T00:00:00"/>
    <s v="Czekmeiszter Maja Lili - Bátor KSE"/>
    <x v="0"/>
    <s v="Bátor KSE"/>
    <x v="1"/>
    <s v="gyerek"/>
  </r>
  <r>
    <x v="3"/>
    <s v="3A"/>
    <n v="660"/>
    <x v="0"/>
    <s v="Kumite, -, 45-200 kg, Gyerek 2. (11-12"/>
    <s v="Kumite, gyerek 2. lány +45 kg"/>
    <s v="11"/>
    <s v="16 fős egyenes kiesés"/>
    <s v="3"/>
    <s v="Kocsis Angéla"/>
    <x v="16"/>
    <s v="HUN"/>
    <n v="6"/>
    <m/>
    <s v="Szigetszentmiklós"/>
    <d v="2026-03-22T00:00:00"/>
    <s v="Kocsis Angéla - Genbu dojo"/>
    <x v="1"/>
    <s v="Genbu dojo"/>
    <x v="1"/>
    <s v="gyerek"/>
  </r>
  <r>
    <x v="3"/>
    <s v="3A"/>
    <n v="661"/>
    <x v="0"/>
    <s v="Kumite, -, 45-200 kg, Gyerek 2. (11-12"/>
    <s v="Kumite, gyerek 2. lány +45 kg"/>
    <s v="11"/>
    <s v="16 fős egyenes kiesés"/>
    <s v="3"/>
    <s v="Janás Mia"/>
    <x v="4"/>
    <s v="HUN"/>
    <n v="6"/>
    <m/>
    <s v="Szigetszentmiklós"/>
    <d v="2026-03-22T00:00:00"/>
    <s v="Janás Mia - Főnix Dojo"/>
    <x v="0"/>
    <s v="Főnix Dojo"/>
    <x v="1"/>
    <s v="gyerek"/>
  </r>
  <r>
    <x v="3"/>
    <s v="3A"/>
    <n v="662"/>
    <x v="0"/>
    <s v="Kumite, -, 45-200 kg, Gyerek 2. (11-12"/>
    <s v="Kumite, gyerek 2. lány +45 kg"/>
    <s v="11"/>
    <s v="16 fős egyenes kiesés"/>
    <s v="5"/>
    <s v="Barta-Gaál Adóra"/>
    <x v="17"/>
    <s v="HUN"/>
    <n v="0"/>
    <s v="nem volt nyertes mérkőzése"/>
    <s v="Szigetszentmiklós"/>
    <d v="2026-03-22T00:00:00"/>
    <s v="Barta-Gaál Adóra - BHMSE"/>
    <x v="0"/>
    <s v="BHMSE"/>
    <x v="1"/>
    <s v="gyerek"/>
  </r>
  <r>
    <x v="3"/>
    <s v="3A"/>
    <n v="663"/>
    <x v="0"/>
    <s v="Kumite, -, 45-200 kg, Gyerek 2. (11-12"/>
    <s v="Kumite, gyerek 2. lány +45 kg"/>
    <s v="11"/>
    <s v="16 fős egyenes kiesés"/>
    <s v="6"/>
    <s v="Kocsis Nóra"/>
    <x v="16"/>
    <s v="HUN"/>
    <n v="0"/>
    <s v="nem volt nyertes mérkőzése"/>
    <s v="Szigetszentmiklós"/>
    <d v="2026-03-22T00:00:00"/>
    <s v="Kocsis Nóra - Genbu dojo"/>
    <x v="1"/>
    <s v="Genbu dojo"/>
    <x v="1"/>
    <s v="gyerek"/>
  </r>
  <r>
    <x v="3"/>
    <s v="3A"/>
    <n v="664"/>
    <x v="0"/>
    <s v="Kumite, -, 45-200 kg, Gyerek 2. (11-12"/>
    <s v="Kumite, gyerek 2. lány +45 kg"/>
    <s v="11"/>
    <s v="16 fős egyenes kiesés"/>
    <s v="7-8"/>
    <s v="Szabó Lilla"/>
    <x v="53"/>
    <s v="HUN"/>
    <n v="3"/>
    <m/>
    <s v="Szigetszentmiklós"/>
    <d v="2026-03-22T00:00:00"/>
    <s v="Szabó Lilla - ShinzóDojo"/>
    <x v="0"/>
    <s v="ShinzóDojo"/>
    <x v="1"/>
    <s v="gyerek"/>
  </r>
  <r>
    <x v="3"/>
    <s v="3A"/>
    <n v="665"/>
    <x v="0"/>
    <s v="Kumite, -, 45-200 kg, Gyerek 2. (11-12"/>
    <s v="Kumite, gyerek 2. lány +45 kg"/>
    <s v="11"/>
    <s v="16 fős egyenes kiesés"/>
    <s v="7-8"/>
    <s v="Dászkál Dorottya"/>
    <x v="3"/>
    <s v="HUN"/>
    <n v="3"/>
    <m/>
    <s v="Szigetszentmiklós"/>
    <d v="2026-03-22T00:00:00"/>
    <s v="Dászkál Dorottya - Shogun"/>
    <x v="0"/>
    <s v="Shogun"/>
    <x v="1"/>
    <s v="gyerek"/>
  </r>
  <r>
    <x v="3"/>
    <s v="3A"/>
    <n v="666"/>
    <x v="0"/>
    <s v="Kumite, -, 45-200 kg, Gyerek 2. (11-12"/>
    <s v="Kumite, gyerek 2. lány +45 kg"/>
    <s v="11"/>
    <s v="16 fős egyenes kiesés"/>
    <s v="10"/>
    <s v="Garamszegi Szófia"/>
    <x v="29"/>
    <s v="HUN"/>
    <n v="0"/>
    <m/>
    <s v="Szigetszentmiklós"/>
    <d v="2026-03-22T00:00:00"/>
    <s v="Garamszegi Szófia - WARRIORS TEAM"/>
    <x v="0"/>
    <s v="WARRIORS TEAM"/>
    <x v="1"/>
    <s v="gyerek"/>
  </r>
  <r>
    <x v="3"/>
    <s v="3A"/>
    <n v="667"/>
    <x v="0"/>
    <s v="Kumite, -, 45-200 kg, Gyerek 2. (11-12"/>
    <s v="Kumite, gyerek 2. lány +45 kg"/>
    <s v="11"/>
    <s v="16 fős egyenes kiesés"/>
    <s v="11-16"/>
    <s v="Papp Dorottya"/>
    <x v="26"/>
    <s v="HUN"/>
    <n v="0"/>
    <m/>
    <s v="Szigetszentmiklós"/>
    <d v="2026-03-22T00:00:00"/>
    <s v="Papp Dorottya - Rokku KKSE"/>
    <x v="0"/>
    <s v="Rokku KKSE"/>
    <x v="1"/>
    <s v="gyerek"/>
  </r>
  <r>
    <x v="3"/>
    <s v="3A"/>
    <n v="668"/>
    <x v="0"/>
    <s v="Kumite, -, 45-200 kg, Gyerek 2. (11-12"/>
    <s v="Kumite, gyerek 2. lány +45 kg"/>
    <s v="11"/>
    <s v="16 fős egyenes kiesés"/>
    <s v="11-16"/>
    <s v="Sajtos Luca"/>
    <x v="2"/>
    <s v="HUN"/>
    <n v="0"/>
    <m/>
    <s v="Szigetszentmiklós"/>
    <d v="2026-03-22T00:00:00"/>
    <s v="Sajtos Luca - Kisvárda KKDOSC"/>
    <x v="0"/>
    <s v="Kisvárda KKDOSC"/>
    <x v="1"/>
    <s v="gyerek"/>
  </r>
  <r>
    <x v="3"/>
    <s v="3A"/>
    <n v="669"/>
    <x v="0"/>
    <s v="Kumite, -, 40-45 kg, Gyerek 2. (11-12"/>
    <s v="Kumite, gyerek 2. lány 40 kg"/>
    <s v="6"/>
    <s v="6 fős vegyes"/>
    <s v="1"/>
    <s v="MOLNÁR MINKA"/>
    <x v="0"/>
    <s v="HUN"/>
    <n v="0"/>
    <m/>
    <s v="Szigetszentmiklós"/>
    <d v="2026-03-22T00:00:00"/>
    <s v="MOLNÁR MINKA - Victory"/>
    <x v="0"/>
    <s v="Victory"/>
    <x v="1"/>
    <s v="gyerek"/>
  </r>
  <r>
    <x v="3"/>
    <s v="3A"/>
    <n v="670"/>
    <x v="0"/>
    <s v="Kumite, -, 40-45 kg, Gyerek 2. (11-12"/>
    <s v="Kumite, gyerek 2. lány 40 kg"/>
    <s v="6"/>
    <s v="6 fős vegyes"/>
    <s v="2"/>
    <s v="Baranya Lilla"/>
    <x v="15"/>
    <s v="HUN"/>
    <n v="0"/>
    <m/>
    <s v="Szigetszentmiklós"/>
    <d v="2026-03-22T00:00:00"/>
    <s v="Baranya Lilla - KSE Tarján"/>
    <x v="0"/>
    <s v="KSE Tarján"/>
    <x v="1"/>
    <s v="gyerek"/>
  </r>
  <r>
    <x v="3"/>
    <s v="3A"/>
    <n v="671"/>
    <x v="0"/>
    <s v="Kumite, -, 40-45 kg, Gyerek 2. (11-12"/>
    <s v="Kumite, gyerek 2. lány 40 kg"/>
    <s v="6"/>
    <s v="6 fős vegyes"/>
    <s v="3"/>
    <s v="Vig Boglárka"/>
    <x v="19"/>
    <s v="HUN"/>
    <n v="0"/>
    <m/>
    <s v="Szigetszentmiklós"/>
    <d v="2026-03-22T00:00:00"/>
    <s v="Vig Boglárka - VTSE"/>
    <x v="1"/>
    <s v="VTSE"/>
    <x v="1"/>
    <s v="gyerek"/>
  </r>
  <r>
    <x v="3"/>
    <s v="3A"/>
    <n v="672"/>
    <x v="0"/>
    <s v="Kumite, -, 40-45 kg, Gyerek 2. (11-12"/>
    <s v="Kumite, gyerek 2. lány 40 kg"/>
    <s v="6"/>
    <s v="6 fős vegyes"/>
    <s v="4"/>
    <s v="Tóth Arina Bejke"/>
    <x v="24"/>
    <s v="HUN"/>
    <n v="0"/>
    <m/>
    <s v="Szigetszentmiklós"/>
    <d v="2026-03-22T00:00:00"/>
    <s v="Tóth Arina Bejke - Nagykátai Bushido SE"/>
    <x v="0"/>
    <s v="Nagykátai Bushido SE"/>
    <x v="1"/>
    <s v="gyerek"/>
  </r>
  <r>
    <x v="3"/>
    <s v="3A"/>
    <n v="673"/>
    <x v="0"/>
    <s v="Kumite, -, 40-45 kg, Gyerek 2. (11-12"/>
    <s v="Kumite, gyerek 2. lány 40 kg"/>
    <s v="6"/>
    <s v="6 fős vegyes"/>
    <s v="5"/>
    <s v="Szombath Jázmin"/>
    <x v="4"/>
    <s v="HUN"/>
    <n v="0"/>
    <m/>
    <s v="Szigetszentmiklós"/>
    <d v="2026-03-22T00:00:00"/>
    <s v="Szombath Jázmin - Főnix Dojo"/>
    <x v="0"/>
    <s v="Főnix Dojo"/>
    <x v="1"/>
    <s v="gyerek"/>
  </r>
  <r>
    <x v="3"/>
    <s v="3A"/>
    <n v="674"/>
    <x v="0"/>
    <s v="Kumite, -, 40-45 kg, Gyerek 2. (11-12"/>
    <s v="Kumite, gyerek 2. lány 40 kg"/>
    <s v="6"/>
    <s v="6 fős vegyes"/>
    <s v="6"/>
    <s v="Rabi-Szita Emese"/>
    <x v="27"/>
    <s v="HUN"/>
    <n v="0"/>
    <m/>
    <s v="Szigetszentmiklós"/>
    <d v="2026-03-22T00:00:00"/>
    <s v="Rabi-Szita Emese - Meiyo dojo"/>
    <x v="0"/>
    <s v="Meiyo dojo"/>
    <x v="1"/>
    <s v="gyerek"/>
  </r>
  <r>
    <x v="3"/>
    <s v="3A"/>
    <n v="675"/>
    <x v="1"/>
    <s v="Kata, -, 0-100 kg, Gyerek 2. (11-12"/>
    <s v="Kata, gyerek 2. lány"/>
    <s v="16"/>
    <s v="16 fős egyenes kiesés"/>
    <s v="1"/>
    <s v="MOLNÁR MINKA"/>
    <x v="0"/>
    <s v="HUN"/>
    <n v="8"/>
    <m/>
    <s v="Szigetszentmiklós"/>
    <d v="2026-03-22T00:00:00"/>
    <s v="MOLNÁR MINKA - Victory"/>
    <x v="0"/>
    <s v="Victory"/>
    <x v="1"/>
    <s v="gyerek"/>
  </r>
  <r>
    <x v="3"/>
    <s v="3A"/>
    <n v="676"/>
    <x v="1"/>
    <s v="Kata, -, 0-100 kg, Gyerek 2. (11-12"/>
    <s v="Kata, gyerek 2. lány"/>
    <s v="16"/>
    <s v="16 fős egyenes kiesés"/>
    <s v="2"/>
    <s v="Fagbola Esther"/>
    <x v="0"/>
    <s v="HUN"/>
    <n v="6"/>
    <m/>
    <s v="Szigetszentmiklós"/>
    <d v="2026-03-22T00:00:00"/>
    <s v="Fagbola Esther - Victory"/>
    <x v="0"/>
    <s v="Victory"/>
    <x v="1"/>
    <s v="gyerek"/>
  </r>
  <r>
    <x v="3"/>
    <s v="3A"/>
    <n v="677"/>
    <x v="1"/>
    <s v="Kata, -, 0-100 kg, Gyerek 2. (11-12"/>
    <s v="Kata, gyerek 2. lány"/>
    <s v="16"/>
    <s v="16 fős egyenes kiesés"/>
    <s v="3"/>
    <s v="Damu Zsanett"/>
    <x v="21"/>
    <s v="HUN"/>
    <n v="4"/>
    <m/>
    <s v="Szigetszentmiklós"/>
    <d v="2026-03-22T00:00:00"/>
    <s v="Damu Zsanett - Kagami"/>
    <x v="0"/>
    <s v="Kagami"/>
    <x v="1"/>
    <s v="gyerek"/>
  </r>
  <r>
    <x v="3"/>
    <s v="3A"/>
    <n v="678"/>
    <x v="1"/>
    <s v="Kata, -, 0-100 kg, Gyerek 2. (11-12"/>
    <s v="Kata, gyerek 2. lány"/>
    <s v="16"/>
    <s v="16 fős egyenes kiesés"/>
    <s v="3"/>
    <s v="Jakubovics Nikolett"/>
    <x v="17"/>
    <s v="HUN"/>
    <n v="4"/>
    <m/>
    <s v="Szigetszentmiklós"/>
    <d v="2026-03-22T00:00:00"/>
    <s v="Jakubovics Nikolett - BHMSE"/>
    <x v="0"/>
    <s v="BHMSE"/>
    <x v="1"/>
    <s v="gyerek"/>
  </r>
  <r>
    <x v="3"/>
    <s v="3A"/>
    <n v="679"/>
    <x v="1"/>
    <s v="Kata, -, 0-100 kg, Gyerek 2. (11-12"/>
    <s v="Kata, gyerek 2. lány"/>
    <s v="16"/>
    <s v="16 fős egyenes kiesés"/>
    <s v="5"/>
    <s v="Varga Zoé"/>
    <x v="46"/>
    <s v="HUN"/>
    <n v="2"/>
    <m/>
    <s v="Szigetszentmiklós"/>
    <d v="2026-03-22T00:00:00"/>
    <s v="Varga Zoé - Kemecse SE"/>
    <x v="0"/>
    <s v="Kemecse SE"/>
    <x v="1"/>
    <s v="gyerek"/>
  </r>
  <r>
    <x v="3"/>
    <s v="3A"/>
    <n v="680"/>
    <x v="1"/>
    <s v="Kata, -, 0-100 kg, Gyerek 2. (11-12"/>
    <s v="Kata, gyerek 2. lány"/>
    <s v="16"/>
    <s v="16 fős egyenes kiesés"/>
    <s v="6"/>
    <s v="Domján-Herbat Réka"/>
    <x v="17"/>
    <s v="HUN"/>
    <n v="2"/>
    <m/>
    <s v="Szigetszentmiklós"/>
    <d v="2026-03-22T00:00:00"/>
    <s v="Domján-Herbat Réka - BHMSE"/>
    <x v="0"/>
    <s v="BHMSE"/>
    <x v="1"/>
    <s v="gyerek"/>
  </r>
  <r>
    <x v="3"/>
    <s v="3A"/>
    <n v="681"/>
    <x v="1"/>
    <s v="Kata, -, 0-100 kg, Gyerek 2. (11-12"/>
    <s v="Kata, gyerek 2. lány"/>
    <s v="16"/>
    <s v="16 fős egyenes kiesés"/>
    <s v="7-8"/>
    <s v="Cserép Nóra"/>
    <x v="45"/>
    <s v="HUN"/>
    <n v="2"/>
    <m/>
    <s v="Szigetszentmiklós"/>
    <d v="2026-03-22T00:00:00"/>
    <s v="Cserép Nóra - Kelemen-Team"/>
    <x v="0"/>
    <s v="Kelemen-Team"/>
    <x v="1"/>
    <s v="gyerek"/>
  </r>
  <r>
    <x v="3"/>
    <s v="3A"/>
    <n v="682"/>
    <x v="1"/>
    <s v="Kata, -, 0-100 kg, Gyerek 2. (11-12"/>
    <s v="Kata, gyerek 2. lány"/>
    <s v="16"/>
    <s v="16 fős egyenes kiesés"/>
    <s v="7-8"/>
    <s v="Rabi-Szita Emese"/>
    <x v="27"/>
    <s v="HUN"/>
    <n v="2"/>
    <m/>
    <s v="Szigetszentmiklós"/>
    <d v="2026-03-22T00:00:00"/>
    <s v="Rabi-Szita Emese - Meiyo dojo"/>
    <x v="0"/>
    <s v="Meiyo dojo"/>
    <x v="1"/>
    <s v="gyerek"/>
  </r>
  <r>
    <x v="3"/>
    <s v="3A"/>
    <n v="683"/>
    <x v="1"/>
    <s v="Kata, -, 0-100 kg, Gyerek 2. (11-12"/>
    <s v="Kata, gyerek 2. lány"/>
    <s v="16"/>
    <s v="16 fős egyenes kiesés"/>
    <s v="9"/>
    <s v="Téglási Kamilla"/>
    <x v="2"/>
    <s v="HUN"/>
    <n v="0"/>
    <m/>
    <s v="Szigetszentmiklós"/>
    <d v="2026-03-22T00:00:00"/>
    <s v="Téglási Kamilla - Kisvárda KKDOSC"/>
    <x v="0"/>
    <s v="Kisvárda KKDOSC"/>
    <x v="1"/>
    <s v="gyerek"/>
  </r>
  <r>
    <x v="3"/>
    <s v="3A"/>
    <n v="684"/>
    <x v="1"/>
    <s v="Kata, -, 0-100 kg, Gyerek 2. (11-12"/>
    <s v="Kata, gyerek 2. lány"/>
    <s v="16"/>
    <s v="16 fős egyenes kiesés"/>
    <s v="10"/>
    <s v="Huszár Hanna"/>
    <x v="46"/>
    <s v="HUN"/>
    <n v="0"/>
    <m/>
    <s v="Szigetszentmiklós"/>
    <d v="2026-03-22T00:00:00"/>
    <s v="Huszár Hanna - Kemecse SE"/>
    <x v="0"/>
    <s v="Kemecse SE"/>
    <x v="1"/>
    <s v="gyerek"/>
  </r>
  <r>
    <x v="3"/>
    <s v="3A"/>
    <n v="685"/>
    <x v="1"/>
    <s v="Kata, -, 0-100 kg, Gyerek 2. (11-12"/>
    <s v="Kata, gyerek 2. lány"/>
    <s v="16"/>
    <s v="16 fős egyenes kiesés"/>
    <s v="11-16"/>
    <s v="Gergácz Izabella"/>
    <x v="9"/>
    <s v="HUN"/>
    <n v="0"/>
    <m/>
    <s v="Szigetszentmiklós"/>
    <d v="2026-03-22T00:00:00"/>
    <s v="Gergácz Izabella - Beledi KÉSZ SE"/>
    <x v="1"/>
    <s v="Beledi KÉSZ SE"/>
    <x v="1"/>
    <s v="gyerek"/>
  </r>
  <r>
    <x v="3"/>
    <s v="3A"/>
    <n v="686"/>
    <x v="1"/>
    <s v="Kata, -, 0-100 kg, Gyerek 2. (11-12"/>
    <s v="Kata, gyerek 2. lány"/>
    <s v="16"/>
    <s v="16 fős egyenes kiesés"/>
    <s v="11-16"/>
    <s v="Fürjesi Eszter"/>
    <x v="3"/>
    <s v="HUN"/>
    <n v="0"/>
    <m/>
    <s v="Szigetszentmiklós"/>
    <d v="2026-03-22T00:00:00"/>
    <s v="Fürjesi Eszter - Shogun"/>
    <x v="0"/>
    <s v="Shogun"/>
    <x v="1"/>
    <s v="gyerek"/>
  </r>
  <r>
    <x v="3"/>
    <s v="3A"/>
    <n v="687"/>
    <x v="1"/>
    <s v="Kata, -, 0-100 kg, Gyerek 2. (11-12"/>
    <s v="Kata, gyerek 2. lány"/>
    <s v="16"/>
    <s v="16 fős egyenes kiesés"/>
    <s v="11-16"/>
    <s v="Rudi Noémi"/>
    <x v="23"/>
    <s v="HUN"/>
    <n v="0"/>
    <m/>
    <s v="Szigetszentmiklós"/>
    <d v="2026-03-22T00:00:00"/>
    <s v="Rudi Noémi - Rakurai"/>
    <x v="0"/>
    <s v="Rakurai"/>
    <x v="1"/>
    <s v="gyerek"/>
  </r>
  <r>
    <x v="3"/>
    <s v="3A"/>
    <n v="688"/>
    <x v="1"/>
    <s v="Kata, -, 0-100 kg, Gyerek 2. (11-12"/>
    <s v="Kata, gyerek 2. lány"/>
    <s v="16"/>
    <s v="16 fős egyenes kiesés"/>
    <s v="11-16"/>
    <s v="Spanjevic Frida"/>
    <x v="17"/>
    <s v="HUN"/>
    <n v="0"/>
    <m/>
    <s v="Szigetszentmiklós"/>
    <d v="2026-03-22T00:00:00"/>
    <s v="Spanjevic Frida - BHMSE"/>
    <x v="0"/>
    <s v="BHMSE"/>
    <x v="1"/>
    <s v="gyerek"/>
  </r>
  <r>
    <x v="3"/>
    <s v="3A"/>
    <n v="689"/>
    <x v="1"/>
    <s v="Kata, -, 0-100 kg, Gyerek 2. (11-12"/>
    <s v="Kata, gyerek 2. lány"/>
    <s v="16"/>
    <s v="16 fős egyenes kiesés"/>
    <s v="11-16"/>
    <s v="Kis Emma"/>
    <x v="3"/>
    <s v="HUN"/>
    <n v="0"/>
    <m/>
    <s v="Szigetszentmiklós"/>
    <d v="2026-03-22T00:00:00"/>
    <s v="Kis Emma - Shogun"/>
    <x v="0"/>
    <s v="Shogun"/>
    <x v="1"/>
    <s v="gyerek"/>
  </r>
  <r>
    <x v="3"/>
    <s v="3A"/>
    <n v="690"/>
    <x v="1"/>
    <s v="Kata, -, 0-100 kg, Gyerek 2. (11-12"/>
    <s v="Kata, gyerek 2. lány"/>
    <s v="16"/>
    <s v="16 fős egyenes kiesés"/>
    <s v="11-16"/>
    <s v="Barta-Gaál Adóra"/>
    <x v="17"/>
    <s v="HUN"/>
    <n v="0"/>
    <m/>
    <s v="Szigetszentmiklós"/>
    <d v="2026-03-22T00:00:00"/>
    <s v="Barta-Gaál Adóra - BHMSE"/>
    <x v="0"/>
    <s v="BHMSE"/>
    <x v="1"/>
    <s v="gyerek"/>
  </r>
  <r>
    <x v="3"/>
    <s v="3A"/>
    <n v="691"/>
    <x v="0"/>
    <s v="Kumite, -, 0-40 kg, Serdülő (13-14"/>
    <s v="Kumite, serdülő fiú 40 kg"/>
    <s v="7"/>
    <s v="8 fős egyenes kiesés"/>
    <s v="1"/>
    <s v="Veress Dávid"/>
    <x v="7"/>
    <s v="HUN"/>
    <n v="8"/>
    <m/>
    <s v="Szigetszentmiklós"/>
    <d v="2026-03-22T00:00:00"/>
    <s v="Veress Dávid - KHSE"/>
    <x v="0"/>
    <s v="KHSE"/>
    <x v="1"/>
    <s v="serdülő"/>
  </r>
  <r>
    <x v="3"/>
    <s v="3A"/>
    <n v="692"/>
    <x v="0"/>
    <s v="Kumite, -, 0-40 kg, Serdülő (13-14"/>
    <s v="Kumite, serdülő fiú 40 kg"/>
    <s v="7"/>
    <s v="8 fős egyenes kiesés"/>
    <s v="2"/>
    <s v="Melczner Márk"/>
    <x v="0"/>
    <s v="HUN"/>
    <n v="6"/>
    <m/>
    <s v="Szigetszentmiklós"/>
    <d v="2026-03-22T00:00:00"/>
    <s v="Melczner Márk - Victory"/>
    <x v="0"/>
    <s v="Victory"/>
    <x v="1"/>
    <s v="serdülő"/>
  </r>
  <r>
    <x v="3"/>
    <s v="3A"/>
    <n v="693"/>
    <x v="0"/>
    <s v="Kumite, -, 0-40 kg, Serdülő (13-14"/>
    <s v="Kumite, serdülő fiú 40 kg"/>
    <s v="7"/>
    <s v="8 fős egyenes kiesés"/>
    <s v="3"/>
    <s v="Kis Ádám Zsolt"/>
    <x v="47"/>
    <s v="HUN"/>
    <n v="4"/>
    <m/>
    <s v="Szigetszentmiklós"/>
    <d v="2026-03-22T00:00:00"/>
    <s v="Kis Ádám Zsolt - KYO Fighter SE"/>
    <x v="0"/>
    <s v="KYO Fighter SE"/>
    <x v="1"/>
    <s v="serdülő"/>
  </r>
  <r>
    <x v="3"/>
    <s v="3A"/>
    <n v="694"/>
    <x v="0"/>
    <s v="Kumite, -, 0-40 kg, Serdülő (13-14"/>
    <s v="Kumite, serdülő fiú 40 kg"/>
    <s v="7"/>
    <s v="8 fős egyenes kiesés"/>
    <s v="3"/>
    <s v="Sövér Levente"/>
    <x v="17"/>
    <s v="HUN"/>
    <n v="0"/>
    <s v="nem volt nyertes mérkőzése"/>
    <s v="Szigetszentmiklós"/>
    <d v="2026-03-22T00:00:00"/>
    <s v="Sövér Levente - BHMSE"/>
    <x v="0"/>
    <s v="BHMSE"/>
    <x v="1"/>
    <s v="serdülő"/>
  </r>
  <r>
    <x v="3"/>
    <s v="3A"/>
    <n v="695"/>
    <x v="0"/>
    <s v="Kumite, -, 0-40 kg, Serdülő (13-14"/>
    <s v="Kumite, serdülő fiú 40 kg"/>
    <s v="7"/>
    <s v="8 fős egyenes kiesés"/>
    <s v="5"/>
    <s v="Ungai Ferenc"/>
    <x v="48"/>
    <s v="HUN"/>
    <n v="0"/>
    <m/>
    <s v="Szigetszentmiklós"/>
    <d v="2026-03-22T00:00:00"/>
    <s v="Ungai Ferenc - Hajdúszoboszló"/>
    <x v="0"/>
    <s v="Hajdúszoboszló"/>
    <x v="1"/>
    <s v="serdülő"/>
  </r>
  <r>
    <x v="3"/>
    <s v="3A"/>
    <n v="696"/>
    <x v="0"/>
    <s v="Kumite, -, 0-40 kg, Serdülő (13-14"/>
    <s v="Kumite, serdülő fiú 40 kg"/>
    <s v="7"/>
    <s v="8 fős egyenes kiesés"/>
    <s v="6"/>
    <s v="Andrési Balázs"/>
    <x v="7"/>
    <s v="HUN"/>
    <n v="0"/>
    <m/>
    <s v="Szigetszentmiklós"/>
    <d v="2026-03-22T00:00:00"/>
    <s v="Andrési Balázs - KHSE"/>
    <x v="0"/>
    <s v="KHSE"/>
    <x v="1"/>
    <s v="serdülő"/>
  </r>
  <r>
    <x v="3"/>
    <s v="3A"/>
    <n v="697"/>
    <x v="0"/>
    <s v="Kumite, -, 0-40 kg, Serdülő (13-14"/>
    <s v="Kumite, serdülő fiú 40 kg"/>
    <s v="7"/>
    <s v="8 fős egyenes kiesés"/>
    <s v="7-8"/>
    <s v="Kleé Krisztián"/>
    <x v="23"/>
    <s v="HUN"/>
    <n v="0"/>
    <m/>
    <s v="Szigetszentmiklós"/>
    <d v="2026-03-22T00:00:00"/>
    <s v="Kleé Krisztián - Rakurai"/>
    <x v="0"/>
    <s v="Rakurai"/>
    <x v="1"/>
    <s v="serdülő"/>
  </r>
  <r>
    <x v="3"/>
    <s v="3A"/>
    <n v="698"/>
    <x v="0"/>
    <s v="Kumite, -, 40-45 kg, Serdülő (13-14"/>
    <s v="Kumite, serdülő fiú 45 kg"/>
    <s v="10"/>
    <s v="16 fős egyenes kiesés"/>
    <s v="1"/>
    <s v="Bárkovics Áron"/>
    <x v="28"/>
    <s v="HUN"/>
    <n v="10"/>
    <m/>
    <s v="Szigetszentmiklós"/>
    <d v="2026-03-22T00:00:00"/>
    <s v="Bárkovics Áron - KKE - Spartacus"/>
    <x v="0"/>
    <s v="KKE - Spartacus"/>
    <x v="1"/>
    <s v="serdülő"/>
  </r>
  <r>
    <x v="3"/>
    <s v="3A"/>
    <n v="699"/>
    <x v="0"/>
    <s v="Kumite, -, 40-45 kg, Serdülő (13-14"/>
    <s v="Kumite, serdülő fiú 45 kg"/>
    <s v="10"/>
    <s v="16 fős egyenes kiesés"/>
    <s v="2"/>
    <s v="Békési Nándor István"/>
    <x v="3"/>
    <s v="HUN"/>
    <n v="8"/>
    <m/>
    <s v="Szigetszentmiklós"/>
    <d v="2026-03-22T00:00:00"/>
    <s v="Békési Nándor István - Shogun"/>
    <x v="0"/>
    <s v="Shogun"/>
    <x v="1"/>
    <s v="serdülő"/>
  </r>
  <r>
    <x v="3"/>
    <s v="3A"/>
    <n v="700"/>
    <x v="0"/>
    <s v="Kumite, -, 40-45 kg, Serdülő (13-14"/>
    <s v="Kumite, serdülő fiú 45 kg"/>
    <s v="10"/>
    <s v="16 fős egyenes kiesés"/>
    <s v="3"/>
    <s v="Takács Sárkány Balázs"/>
    <x v="7"/>
    <s v="HUN"/>
    <n v="6"/>
    <m/>
    <s v="Szigetszentmiklós"/>
    <d v="2026-03-22T00:00:00"/>
    <s v="Takács Sárkány Balázs - KHSE"/>
    <x v="0"/>
    <s v="KHSE"/>
    <x v="1"/>
    <s v="serdülő"/>
  </r>
  <r>
    <x v="3"/>
    <s v="3A"/>
    <n v="701"/>
    <x v="0"/>
    <s v="Kumite, -, 40-45 kg, Serdülő (13-14"/>
    <s v="Kumite, serdülő fiú 45 kg"/>
    <s v="10"/>
    <s v="16 fős egyenes kiesés"/>
    <s v="3"/>
    <s v="Hidegh Flórián"/>
    <x v="23"/>
    <s v="HUN"/>
    <n v="6"/>
    <m/>
    <s v="Szigetszentmiklós"/>
    <d v="2026-03-22T00:00:00"/>
    <s v="Hidegh Flórián - Rakurai"/>
    <x v="0"/>
    <s v="Rakurai"/>
    <x v="1"/>
    <s v="serdülő"/>
  </r>
  <r>
    <x v="3"/>
    <s v="3A"/>
    <n v="702"/>
    <x v="0"/>
    <s v="Kumite, -, 40-45 kg, Serdülő (13-14"/>
    <s v="Kumite, serdülő fiú 45 kg"/>
    <s v="10"/>
    <s v="16 fős egyenes kiesés"/>
    <s v="5"/>
    <s v="Jankovics Marcell"/>
    <x v="22"/>
    <s v="HUN"/>
    <n v="0"/>
    <s v="nem volt nyertes mérkőzése"/>
    <s v="Szigetszentmiklós"/>
    <d v="2026-03-22T00:00:00"/>
    <s v="Jankovics Marcell - Siófok KSE"/>
    <x v="0"/>
    <s v="Siófok KSE"/>
    <x v="1"/>
    <s v="serdülő"/>
  </r>
  <r>
    <x v="3"/>
    <s v="3A"/>
    <n v="703"/>
    <x v="0"/>
    <s v="Kumite, -, 40-45 kg, Serdülő (13-14"/>
    <s v="Kumite, serdülő fiú 45 kg"/>
    <s v="10"/>
    <s v="16 fős egyenes kiesés"/>
    <s v="6"/>
    <s v="Rudi Gergő"/>
    <x v="23"/>
    <s v="HUN"/>
    <n v="0"/>
    <s v="nem volt nyertes mérkőzése"/>
    <s v="Szigetszentmiklós"/>
    <d v="2026-03-22T00:00:00"/>
    <s v="Rudi Gergő - Rakurai"/>
    <x v="0"/>
    <s v="Rakurai"/>
    <x v="1"/>
    <s v="serdülő"/>
  </r>
  <r>
    <x v="3"/>
    <s v="3A"/>
    <n v="704"/>
    <x v="0"/>
    <s v="Kumite, -, 40-45 kg, Serdülő (13-14"/>
    <s v="Kumite, serdülő fiú 45 kg"/>
    <s v="10"/>
    <s v="16 fős egyenes kiesés"/>
    <s v="7-8"/>
    <s v="Kovács Marcell András"/>
    <x v="0"/>
    <s v="HUN"/>
    <n v="0"/>
    <s v="nem volt nyertes mérkőzése"/>
    <s v="Szigetszentmiklós"/>
    <d v="2026-03-22T00:00:00"/>
    <s v="Kovács Marcell András - Victory"/>
    <x v="0"/>
    <s v="Victory"/>
    <x v="1"/>
    <s v="serdülő"/>
  </r>
  <r>
    <x v="3"/>
    <s v="3A"/>
    <n v="705"/>
    <x v="0"/>
    <s v="Kumite, -, 40-45 kg, Serdülő (13-14"/>
    <s v="Kumite, serdülő fiú 45 kg"/>
    <s v="10"/>
    <s v="16 fős egyenes kiesés"/>
    <s v="7-8"/>
    <s v="Béres Bence"/>
    <x v="19"/>
    <s v="HUN"/>
    <n v="0"/>
    <s v="nem volt nyertes mérkőzése"/>
    <s v="Szigetszentmiklós"/>
    <d v="2026-03-22T00:00:00"/>
    <s v="Béres Bence - VTSE"/>
    <x v="1"/>
    <s v="VTSE"/>
    <x v="1"/>
    <s v="serdülő"/>
  </r>
  <r>
    <x v="3"/>
    <s v="3A"/>
    <n v="706"/>
    <x v="0"/>
    <s v="Kumite, -, 45-50 kg, Serdülő (13-14"/>
    <s v="Kumite, serdülő fiú 50 kg"/>
    <s v="10"/>
    <s v="16 fős egyenes kiesés"/>
    <s v="1"/>
    <s v="Remenyik Dániel"/>
    <x v="3"/>
    <s v="HUN"/>
    <n v="10"/>
    <m/>
    <s v="Szigetszentmiklós"/>
    <d v="2026-03-22T00:00:00"/>
    <s v="Remenyik Dániel - Shogun"/>
    <x v="0"/>
    <s v="Shogun"/>
    <x v="1"/>
    <s v="serdülő"/>
  </r>
  <r>
    <x v="3"/>
    <s v="3A"/>
    <n v="707"/>
    <x v="0"/>
    <s v="Kumite, -, 45-50 kg, Serdülő (13-14"/>
    <s v="Kumite, serdülő fiú 50 kg"/>
    <s v="10"/>
    <s v="16 fős egyenes kiesés"/>
    <s v="2"/>
    <s v="Tóth Kornél"/>
    <x v="28"/>
    <s v="HUN"/>
    <n v="8"/>
    <m/>
    <s v="Szigetszentmiklós"/>
    <d v="2026-03-22T00:00:00"/>
    <s v="Tóth Kornél - KKE - Spartacus"/>
    <x v="0"/>
    <s v="KKE - Spartacus"/>
    <x v="1"/>
    <s v="serdülő"/>
  </r>
  <r>
    <x v="3"/>
    <s v="3A"/>
    <n v="708"/>
    <x v="0"/>
    <s v="Kumite, -, 45-50 kg, Serdülő (13-14"/>
    <s v="Kumite, serdülő fiú 50 kg"/>
    <s v="10"/>
    <s v="16 fős egyenes kiesés"/>
    <s v="3"/>
    <s v="Antal Dániel Kristóf"/>
    <x v="15"/>
    <s v="HUN"/>
    <n v="6"/>
    <m/>
    <s v="Szigetszentmiklós"/>
    <d v="2026-03-22T00:00:00"/>
    <s v="Antal Dániel Kristóf - KSE Tarján"/>
    <x v="0"/>
    <s v="KSE Tarján"/>
    <x v="1"/>
    <s v="serdülő"/>
  </r>
  <r>
    <x v="3"/>
    <s v="3A"/>
    <n v="709"/>
    <x v="0"/>
    <s v="Kumite, -, 45-50 kg, Serdülő (13-14"/>
    <s v="Kumite, serdülő fiú 50 kg"/>
    <s v="10"/>
    <s v="16 fős egyenes kiesés"/>
    <s v="3"/>
    <s v="Pista Áron"/>
    <x v="12"/>
    <s v="HUN"/>
    <n v="6"/>
    <m/>
    <s v="Szigetszentmiklós"/>
    <d v="2026-03-22T00:00:00"/>
    <s v="Pista Áron - Bendiák Dojo"/>
    <x v="0"/>
    <s v="Bendiák Dojo"/>
    <x v="1"/>
    <s v="serdülő"/>
  </r>
  <r>
    <x v="3"/>
    <s v="3A"/>
    <n v="710"/>
    <x v="0"/>
    <s v="Kumite, -, 45-50 kg, Serdülő (13-14"/>
    <s v="Kumite, serdülő fiú 50 kg"/>
    <s v="10"/>
    <s v="16 fős egyenes kiesés"/>
    <s v="5"/>
    <s v="Szymon Fraczek"/>
    <x v="18"/>
    <s v="HUN"/>
    <n v="3"/>
    <m/>
    <s v="Szigetszentmiklós"/>
    <d v="2026-03-22T00:00:00"/>
    <s v="Szymon Fraczek - Bátor KSE"/>
    <x v="0"/>
    <s v="Bátor KSE"/>
    <x v="1"/>
    <s v="serdülő"/>
  </r>
  <r>
    <x v="3"/>
    <s v="3A"/>
    <n v="711"/>
    <x v="0"/>
    <s v="Kumite, -, 45-50 kg, Serdülő (13-14"/>
    <s v="Kumite, serdülő fiú 50 kg"/>
    <s v="10"/>
    <s v="16 fős egyenes kiesés"/>
    <s v="6"/>
    <s v="Turcsán Barnabás"/>
    <x v="54"/>
    <s v="HUN"/>
    <n v="3"/>
    <m/>
    <s v="Szigetszentmiklós"/>
    <d v="2026-03-22T00:00:00"/>
    <s v="Turcsán Barnabás - Borza Dojo"/>
    <x v="1"/>
    <s v="Borza Dojo"/>
    <x v="1"/>
    <s v="serdülő"/>
  </r>
  <r>
    <x v="3"/>
    <s v="3A"/>
    <n v="712"/>
    <x v="0"/>
    <s v="Kumite, -, 45-50 kg, Serdülő (13-14"/>
    <s v="Kumite, serdülő fiú 50 kg"/>
    <s v="10"/>
    <s v="16 fős egyenes kiesés"/>
    <s v="7-8"/>
    <s v="Tóth Benedek"/>
    <x v="33"/>
    <s v="HUN"/>
    <n v="0"/>
    <s v="nem volt nyertes mérkőzése"/>
    <s v="Szigetszentmiklós"/>
    <d v="2026-03-22T00:00:00"/>
    <s v="Tóth Benedek - Ichiro Dojo"/>
    <x v="1"/>
    <s v="Ichiro Dojo"/>
    <x v="1"/>
    <s v="serdülő"/>
  </r>
  <r>
    <x v="3"/>
    <s v="3A"/>
    <n v="713"/>
    <x v="0"/>
    <s v="Kumite, -, 45-50 kg, Serdülő (13-14"/>
    <s v="Kumite, serdülő fiú 50 kg"/>
    <s v="10"/>
    <s v="16 fős egyenes kiesés"/>
    <s v="7-8"/>
    <s v="Kámán Márton"/>
    <x v="23"/>
    <s v="HUN"/>
    <n v="0"/>
    <s v="nem volt nyertes mérkőzése"/>
    <s v="Szigetszentmiklós"/>
    <d v="2026-03-22T00:00:00"/>
    <s v="Kámán Márton - Rakurai"/>
    <x v="0"/>
    <s v="Rakurai"/>
    <x v="1"/>
    <s v="serdülő"/>
  </r>
  <r>
    <x v="3"/>
    <s v="3A"/>
    <n v="714"/>
    <x v="0"/>
    <s v="Kumite, -, 45-50 kg, Serdülő (13-14"/>
    <s v="Kumite, serdülő fiú 50 kg"/>
    <s v="10"/>
    <s v="16 fős egyenes kiesés"/>
    <s v="11-16"/>
    <s v="Tarjányi Zétény Ferenc"/>
    <x v="32"/>
    <s v="HUN"/>
    <n v="0"/>
    <m/>
    <s v="Szigetszentmiklós"/>
    <d v="2026-03-22T00:00:00"/>
    <s v="Tarjányi Zétény Ferenc - ARSC"/>
    <x v="0"/>
    <s v="ARSC"/>
    <x v="1"/>
    <s v="serdülő"/>
  </r>
  <r>
    <x v="3"/>
    <s v="3A"/>
    <n v="715"/>
    <x v="0"/>
    <s v="Kumite, -, 45-50 kg, Serdülő (13-14"/>
    <s v="Kumite, serdülő fiú 50 kg"/>
    <s v="10"/>
    <s v="16 fős egyenes kiesés"/>
    <s v="11-16"/>
    <s v="Halász Zente"/>
    <x v="20"/>
    <s v="HUN"/>
    <n v="0"/>
    <m/>
    <s v="Szigetszentmiklós"/>
    <d v="2026-03-22T00:00:00"/>
    <s v="Halász Zente - Griff SE"/>
    <x v="0"/>
    <s v="Griff SE"/>
    <x v="1"/>
    <s v="serdülő"/>
  </r>
  <r>
    <x v="3"/>
    <s v="3A"/>
    <n v="716"/>
    <x v="0"/>
    <s v="Kumite, -, 50-60 kg, Serdülő (13-14"/>
    <s v="Kumite, serdülő fiú 60 kg"/>
    <s v="11"/>
    <s v="16 fős egyenes kiesés"/>
    <s v="1"/>
    <s v="Vig Bendegúz"/>
    <x v="19"/>
    <s v="HUN"/>
    <n v="10"/>
    <m/>
    <s v="Szigetszentmiklós"/>
    <d v="2026-03-22T00:00:00"/>
    <s v="Vig Bendegúz - VTSE"/>
    <x v="1"/>
    <s v="VTSE"/>
    <x v="1"/>
    <s v="serdülő"/>
  </r>
  <r>
    <x v="3"/>
    <s v="3A"/>
    <n v="717"/>
    <x v="0"/>
    <s v="Kumite, -, 50-60 kg, Serdülő (13-14"/>
    <s v="Kumite, serdülő fiú 60 kg"/>
    <s v="11"/>
    <s v="16 fős egyenes kiesés"/>
    <s v="2"/>
    <s v="Viszugyel Bálint"/>
    <x v="19"/>
    <s v="HUN"/>
    <n v="8"/>
    <m/>
    <s v="Szigetszentmiklós"/>
    <d v="2026-03-22T00:00:00"/>
    <s v="Viszugyel Bálint - VTSE"/>
    <x v="1"/>
    <s v="VTSE"/>
    <x v="1"/>
    <s v="serdülő"/>
  </r>
  <r>
    <x v="3"/>
    <s v="3A"/>
    <n v="718"/>
    <x v="0"/>
    <s v="Kumite, -, 50-60 kg, Serdülő (13-14"/>
    <s v="Kumite, serdülő fiú 60 kg"/>
    <s v="11"/>
    <s v="16 fős egyenes kiesés"/>
    <s v="3"/>
    <s v="Tángyes Ricardo"/>
    <x v="2"/>
    <s v="HUN"/>
    <n v="6"/>
    <m/>
    <s v="Szigetszentmiklós"/>
    <d v="2026-03-22T00:00:00"/>
    <s v="Tángyes Ricardo - Kisvárda KKDOSC"/>
    <x v="0"/>
    <s v="Kisvárda KKDOSC"/>
    <x v="1"/>
    <s v="serdülő"/>
  </r>
  <r>
    <x v="3"/>
    <s v="3A"/>
    <n v="719"/>
    <x v="0"/>
    <s v="Kumite, -, 50-60 kg, Serdülő (13-14"/>
    <s v="Kumite, serdülő fiú 60 kg"/>
    <s v="11"/>
    <s v="16 fős egyenes kiesés"/>
    <s v="3"/>
    <s v="Szabó Levente Botond"/>
    <x v="15"/>
    <s v="HUN"/>
    <n v="6"/>
    <m/>
    <s v="Szigetszentmiklós"/>
    <d v="2026-03-22T00:00:00"/>
    <s v="Szabó Levente Botond - KSE Tarján"/>
    <x v="0"/>
    <s v="KSE Tarján"/>
    <x v="1"/>
    <s v="serdülő"/>
  </r>
  <r>
    <x v="3"/>
    <s v="3A"/>
    <n v="720"/>
    <x v="0"/>
    <s v="Kumite, -, 50-60 kg, Serdülő (13-14"/>
    <s v="Kumite, serdülő fiú 60 kg"/>
    <s v="11"/>
    <s v="16 fős egyenes kiesés"/>
    <s v="5"/>
    <s v="Ferenczhalmy Félix"/>
    <x v="17"/>
    <s v="HUN"/>
    <n v="0"/>
    <s v="nem volt nyertes mérkőzése"/>
    <s v="Szigetszentmiklós"/>
    <d v="2026-03-22T00:00:00"/>
    <s v="Ferenczhalmy Félix - BHMSE"/>
    <x v="0"/>
    <s v="BHMSE"/>
    <x v="1"/>
    <s v="serdülő"/>
  </r>
  <r>
    <x v="3"/>
    <s v="3A"/>
    <n v="721"/>
    <x v="0"/>
    <s v="Kumite, -, 50-60 kg, Serdülő (13-14"/>
    <s v="Kumite, serdülő fiú 60 kg"/>
    <s v="11"/>
    <s v="16 fős egyenes kiesés"/>
    <s v="6"/>
    <s v="Szabó Dominik"/>
    <x v="49"/>
    <s v="HUN"/>
    <n v="3"/>
    <m/>
    <s v="Szigetszentmiklós"/>
    <d v="2026-03-22T00:00:00"/>
    <s v="Szabó Dominik - Buke Reikon HRSE"/>
    <x v="0"/>
    <s v="Buke Reikon HRSE"/>
    <x v="1"/>
    <s v="serdülő"/>
  </r>
  <r>
    <x v="3"/>
    <s v="3A"/>
    <n v="722"/>
    <x v="0"/>
    <s v="Kumite, -, 50-60 kg, Serdülő (13-14"/>
    <s v="Kumite, serdülő fiú 60 kg"/>
    <s v="11"/>
    <s v="16 fős egyenes kiesés"/>
    <s v="7-8"/>
    <s v="Bánfi Botond"/>
    <x v="26"/>
    <s v="HUN"/>
    <n v="3"/>
    <m/>
    <s v="Szigetszentmiklós"/>
    <d v="2026-03-22T00:00:00"/>
    <s v="Bánfi Botond - Rokku KKSE"/>
    <x v="0"/>
    <s v="Rokku KKSE"/>
    <x v="1"/>
    <s v="serdülő"/>
  </r>
  <r>
    <x v="3"/>
    <s v="3A"/>
    <n v="723"/>
    <x v="0"/>
    <s v="Kumite, -, 50-60 kg, Serdülő (13-14"/>
    <s v="Kumite, serdülő fiú 60 kg"/>
    <s v="11"/>
    <s v="16 fős egyenes kiesés"/>
    <s v="7-8"/>
    <s v="Sádt Zétény"/>
    <x v="49"/>
    <s v="HUN"/>
    <n v="0"/>
    <s v="nem volt nyertes mérkőzése"/>
    <s v="Szigetszentmiklós"/>
    <d v="2026-03-22T00:00:00"/>
    <s v="Sádt Zétény - Buke Reikon HRSE"/>
    <x v="0"/>
    <s v="Buke Reikon HRSE"/>
    <x v="1"/>
    <s v="serdülő"/>
  </r>
  <r>
    <x v="3"/>
    <s v="3A"/>
    <n v="724"/>
    <x v="0"/>
    <s v="Kumite, -, 50-60 kg, Serdülő (13-14"/>
    <s v="Kumite, serdülő fiú 60 kg"/>
    <s v="11"/>
    <s v="16 fős egyenes kiesés"/>
    <s v="9"/>
    <s v="Munkácsi Ádám"/>
    <x v="4"/>
    <s v="HUN"/>
    <n v="0"/>
    <m/>
    <s v="Szigetszentmiklós"/>
    <d v="2026-03-22T00:00:00"/>
    <s v="Munkácsi Ádám - Főnix Dojo"/>
    <x v="0"/>
    <s v="Főnix Dojo"/>
    <x v="1"/>
    <s v="serdülő"/>
  </r>
  <r>
    <x v="3"/>
    <s v="3A"/>
    <n v="725"/>
    <x v="0"/>
    <s v="Kumite, -, 50-60 kg, Serdülő (13-14"/>
    <s v="Kumite, serdülő fiú 60 kg"/>
    <s v="11"/>
    <s v="16 fős egyenes kiesés"/>
    <s v="11-16"/>
    <s v="Hadnagy Barnabás"/>
    <x v="26"/>
    <s v="HUN"/>
    <n v="0"/>
    <m/>
    <s v="Szigetszentmiklós"/>
    <d v="2026-03-22T00:00:00"/>
    <s v="Hadnagy Barnabás - Rokku KKSE"/>
    <x v="0"/>
    <s v="Rokku KKSE"/>
    <x v="1"/>
    <s v="serdülő"/>
  </r>
  <r>
    <x v="3"/>
    <s v="3A"/>
    <n v="726"/>
    <x v="0"/>
    <s v="Kumite, -, 50-60 kg, Serdülő (13-14"/>
    <s v="Kumite, serdülő fiú 60 kg"/>
    <s v="11"/>
    <s v="16 fős egyenes kiesés"/>
    <s v="11-16"/>
    <s v="Szutor Levente"/>
    <x v="3"/>
    <s v="HUN"/>
    <n v="0"/>
    <m/>
    <s v="Szigetszentmiklós"/>
    <d v="2026-03-22T00:00:00"/>
    <s v="Szutor Levente - Shogun"/>
    <x v="0"/>
    <s v="Shogun"/>
    <x v="1"/>
    <s v="serdülő"/>
  </r>
  <r>
    <x v="3"/>
    <s v="3A"/>
    <n v="727"/>
    <x v="0"/>
    <s v="Kumite, -, 70-999 kg, Serdülő (13-14"/>
    <s v="Kumite, serdülő fiú +70 kg"/>
    <s v="8"/>
    <s v="8 fős egyenes kiesés"/>
    <s v="1"/>
    <s v="Villasenor Babos Viktor Éliás"/>
    <x v="23"/>
    <s v="HUN"/>
    <n v="0"/>
    <m/>
    <s v="Szigetszentmiklós"/>
    <d v="2026-03-22T00:00:00"/>
    <s v="Villasenor Babos Viktor Éliás - Rakurai"/>
    <x v="0"/>
    <s v="Rakurai"/>
    <x v="1"/>
    <s v="serdülő"/>
  </r>
  <r>
    <x v="3"/>
    <s v="3A"/>
    <n v="728"/>
    <x v="0"/>
    <s v="Kumite, -, 70-999 kg, Serdülő (13-14"/>
    <s v="Kumite, serdülő fiú +70 kg"/>
    <s v="8"/>
    <s v="8 fős egyenes kiesés"/>
    <s v="2"/>
    <s v="Riczu Bendegúz"/>
    <x v="14"/>
    <s v="HUN"/>
    <n v="0"/>
    <m/>
    <s v="Szigetszentmiklós"/>
    <d v="2026-03-22T00:00:00"/>
    <s v="Riczu Bendegúz - Nozomu Dojo"/>
    <x v="0"/>
    <s v="Nozomu Dojo"/>
    <x v="1"/>
    <s v="serdülő"/>
  </r>
  <r>
    <x v="3"/>
    <s v="3A"/>
    <n v="729"/>
    <x v="0"/>
    <s v="Kumite, -, 70-999 kg, Serdülő (13-14"/>
    <s v="Kumite, serdülő fiú +70 kg"/>
    <s v="8"/>
    <s v="8 fős egyenes kiesés"/>
    <s v="3"/>
    <s v="Salga Márton"/>
    <x v="26"/>
    <s v="HUN"/>
    <n v="0"/>
    <m/>
    <s v="Szigetszentmiklós"/>
    <d v="2026-03-22T00:00:00"/>
    <s v="Salga Márton - Rokku KKSE"/>
    <x v="0"/>
    <s v="Rokku KKSE"/>
    <x v="1"/>
    <s v="serdülő"/>
  </r>
  <r>
    <x v="3"/>
    <s v="3A"/>
    <n v="730"/>
    <x v="0"/>
    <s v="Kumite, -, 70-999 kg, Serdülő (13-14"/>
    <s v="Kumite, serdülő fiú +70 kg"/>
    <s v="8"/>
    <s v="8 fős egyenes kiesés"/>
    <s v="3"/>
    <s v="Virág Marcell Máté"/>
    <x v="7"/>
    <s v="HUN"/>
    <n v="4"/>
    <m/>
    <s v="Szigetszentmiklós"/>
    <d v="2026-03-22T00:00:00"/>
    <s v="Virág Marcell Máté - KHSE"/>
    <x v="0"/>
    <s v="KHSE"/>
    <x v="1"/>
    <s v="serdülő"/>
  </r>
  <r>
    <x v="3"/>
    <s v="3A"/>
    <n v="731"/>
    <x v="0"/>
    <s v="Kumite, -, 70-999 kg, Serdülő (13-14"/>
    <s v="Kumite, serdülő fiú +70 kg"/>
    <s v="8"/>
    <s v="8 fős egyenes kiesés"/>
    <s v="5"/>
    <s v="Simon Timon"/>
    <x v="49"/>
    <s v="HUN"/>
    <n v="0"/>
    <m/>
    <s v="Szigetszentmiklós"/>
    <d v="2026-03-22T00:00:00"/>
    <s v="Simon Timon - Buke Reikon HRSE"/>
    <x v="0"/>
    <s v="Buke Reikon HRSE"/>
    <x v="1"/>
    <s v="serdülő"/>
  </r>
  <r>
    <x v="3"/>
    <s v="3A"/>
    <n v="732"/>
    <x v="0"/>
    <s v="Kumite, -, 70-999 kg, Serdülő (13-14"/>
    <s v="Kumite, serdülő fiú +70 kg"/>
    <s v="8"/>
    <s v="8 fős egyenes kiesés"/>
    <s v="6"/>
    <s v="Finta Csanád"/>
    <x v="23"/>
    <s v="HUN"/>
    <n v="0"/>
    <m/>
    <s v="Szigetszentmiklós"/>
    <d v="2026-03-22T00:00:00"/>
    <s v="Finta Csanád - Rakurai"/>
    <x v="0"/>
    <s v="Rakurai"/>
    <x v="1"/>
    <s v="serdülő"/>
  </r>
  <r>
    <x v="3"/>
    <s v="3A"/>
    <n v="733"/>
    <x v="0"/>
    <s v="Kumite, -, 70-999 kg, Serdülő (13-14"/>
    <s v="Kumite, serdülő fiú +70 kg"/>
    <s v="8"/>
    <s v="8 fős egyenes kiesés"/>
    <s v="7-8"/>
    <s v="Gaál-Vajai Tamás"/>
    <x v="4"/>
    <s v="HUN"/>
    <n v="0"/>
    <m/>
    <s v="Szigetszentmiklós"/>
    <d v="2026-03-22T00:00:00"/>
    <s v="Gaál-Vajai Tamás - Főnix Dojo"/>
    <x v="0"/>
    <s v="Főnix Dojo"/>
    <x v="1"/>
    <s v="serdülő"/>
  </r>
  <r>
    <x v="3"/>
    <s v="3A"/>
    <n v="734"/>
    <x v="0"/>
    <s v="Kumite, -, 70-999 kg, Serdülő (13-14"/>
    <s v="Kumite, serdülő fiú +70 kg"/>
    <s v="8"/>
    <s v="8 fős egyenes kiesés"/>
    <s v="7-8"/>
    <s v="Nagy Nimród"/>
    <x v="23"/>
    <s v="HUN"/>
    <n v="0"/>
    <m/>
    <s v="Szigetszentmiklós"/>
    <d v="2026-03-22T00:00:00"/>
    <s v="Nagy Nimród - Rakurai"/>
    <x v="0"/>
    <s v="Rakurai"/>
    <x v="1"/>
    <s v="serdülő"/>
  </r>
  <r>
    <x v="3"/>
    <s v="3A"/>
    <n v="735"/>
    <x v="0"/>
    <s v="Kumite, -, 60-70 kg, Serdülő (13-14"/>
    <s v="Kumite, serdülő fiú 70 kg"/>
    <s v="10"/>
    <s v="16 fős egyenes kiesés"/>
    <s v="1"/>
    <s v="Száraz Zsombor"/>
    <x v="51"/>
    <s v="HUN"/>
    <n v="10"/>
    <m/>
    <s v="Szigetszentmiklós"/>
    <d v="2026-03-22T00:00:00"/>
    <s v="Száraz Zsombor - Derecske BUDO"/>
    <x v="0"/>
    <s v="Derecske BUDO"/>
    <x v="1"/>
    <s v="serdülő"/>
  </r>
  <r>
    <x v="3"/>
    <s v="3A"/>
    <n v="736"/>
    <x v="0"/>
    <s v="Kumite, -, 60-70 kg, Serdülő (13-14"/>
    <s v="Kumite, serdülő fiú 70 kg"/>
    <s v="10"/>
    <s v="16 fős egyenes kiesés"/>
    <s v="2"/>
    <s v="Tokaji Bocsárd Norbert"/>
    <x v="7"/>
    <s v="HUN"/>
    <n v="8"/>
    <m/>
    <s v="Szigetszentmiklós"/>
    <d v="2026-03-22T00:00:00"/>
    <s v="Tokaji Bocsárd Norbert - KHSE"/>
    <x v="0"/>
    <s v="KHSE"/>
    <x v="1"/>
    <s v="serdülő"/>
  </r>
  <r>
    <x v="3"/>
    <s v="3A"/>
    <n v="737"/>
    <x v="0"/>
    <s v="Kumite, -, 60-70 kg, Serdülő (13-14"/>
    <s v="Kumite, serdülő fiú 70 kg"/>
    <s v="10"/>
    <s v="16 fős egyenes kiesés"/>
    <s v="3"/>
    <s v="Kárpáti Bence"/>
    <x v="34"/>
    <s v="HUN"/>
    <n v="6"/>
    <m/>
    <s v="Szigetszentmiklós"/>
    <d v="2026-03-22T00:00:00"/>
    <s v="Kárpáti Bence - Cs.S.E."/>
    <x v="0"/>
    <s v="Cs.S.E."/>
    <x v="1"/>
    <s v="serdülő"/>
  </r>
  <r>
    <x v="3"/>
    <s v="3A"/>
    <n v="738"/>
    <x v="0"/>
    <s v="Kumite, -, 60-70 kg, Serdülő (13-14"/>
    <s v="Kumite, serdülő fiú 70 kg"/>
    <s v="10"/>
    <s v="16 fős egyenes kiesés"/>
    <s v="3"/>
    <s v="Farkas Álmos"/>
    <x v="47"/>
    <s v="HUN"/>
    <n v="6"/>
    <m/>
    <s v="Szigetszentmiklós"/>
    <d v="2026-03-22T00:00:00"/>
    <s v="Farkas Álmos - KYO Fighter SE"/>
    <x v="0"/>
    <s v="KYO Fighter SE"/>
    <x v="1"/>
    <s v="serdülő"/>
  </r>
  <r>
    <x v="3"/>
    <s v="3A"/>
    <n v="739"/>
    <x v="0"/>
    <s v="Kumite, -, 60-70 kg, Serdülő (13-14"/>
    <s v="Kumite, serdülő fiú 70 kg"/>
    <s v="10"/>
    <s v="16 fős egyenes kiesés"/>
    <s v="5"/>
    <s v="Reinhofer Patrik"/>
    <x v="26"/>
    <s v="HUN"/>
    <n v="0"/>
    <s v="nem volt nyertes mérkőzése"/>
    <s v="Szigetszentmiklós"/>
    <d v="2026-03-22T00:00:00"/>
    <s v="Reinhofer Patrik - Rokku KKSE"/>
    <x v="0"/>
    <s v="Rokku KKSE"/>
    <x v="1"/>
    <s v="serdülő"/>
  </r>
  <r>
    <x v="3"/>
    <s v="3A"/>
    <n v="740"/>
    <x v="0"/>
    <s v="Kumite, -, 60-70 kg, Serdülő (13-14"/>
    <s v="Kumite, serdülő fiú 70 kg"/>
    <s v="10"/>
    <s v="16 fős egyenes kiesés"/>
    <s v="6"/>
    <s v="Adámi Áron"/>
    <x v="33"/>
    <s v="HUN"/>
    <n v="0"/>
    <s v="nem volt nyertes mérkőzése"/>
    <s v="Szigetszentmiklós"/>
    <d v="2026-03-22T00:00:00"/>
    <s v="Adámi Áron - Ichiro Dojo"/>
    <x v="1"/>
    <s v="Ichiro Dojo"/>
    <x v="1"/>
    <s v="serdülő"/>
  </r>
  <r>
    <x v="3"/>
    <s v="3A"/>
    <n v="741"/>
    <x v="0"/>
    <s v="Kumite, -, 60-70 kg, Serdülő (13-14"/>
    <s v="Kumite, serdülő fiú 70 kg"/>
    <s v="10"/>
    <s v="16 fős egyenes kiesés"/>
    <s v="7-8"/>
    <s v="Kovács Máté Noel"/>
    <x v="18"/>
    <s v="HUN"/>
    <n v="0"/>
    <s v="nem volt nyertes mérkőzése"/>
    <s v="Szigetszentmiklós"/>
    <d v="2026-03-22T00:00:00"/>
    <s v="Kovács Máté Noel - Bátor KSE"/>
    <x v="0"/>
    <s v="Bátor KSE"/>
    <x v="1"/>
    <s v="serdülő"/>
  </r>
  <r>
    <x v="3"/>
    <s v="3A"/>
    <n v="742"/>
    <x v="0"/>
    <s v="Kumite, -, 60-70 kg, Serdülő (13-14"/>
    <s v="Kumite, serdülő fiú 70 kg"/>
    <s v="10"/>
    <s v="16 fős egyenes kiesés"/>
    <s v="7-8"/>
    <s v="Urszuly Noel"/>
    <x v="26"/>
    <s v="HUN"/>
    <n v="0"/>
    <s v="nem volt nyertes mérkőzése"/>
    <s v="Szigetszentmiklós"/>
    <d v="2026-03-22T00:00:00"/>
    <s v="Urszuly Noel - Rokku KKSE"/>
    <x v="0"/>
    <s v="Rokku KKSE"/>
    <x v="1"/>
    <s v="serdülő"/>
  </r>
  <r>
    <x v="3"/>
    <s v="3A"/>
    <n v="743"/>
    <x v="0"/>
    <s v="Kumite, -, 60-70 kg, Serdülő (13-14"/>
    <s v="Kumite, serdülő fiú 70 kg"/>
    <s v="10"/>
    <s v="16 fős egyenes kiesés"/>
    <s v="11-16"/>
    <s v="Horváth Bence László"/>
    <x v="23"/>
    <s v="HUN"/>
    <n v="0"/>
    <m/>
    <s v="Szigetszentmiklós"/>
    <d v="2026-03-22T00:00:00"/>
    <s v="Horváth Bence László - Rakurai"/>
    <x v="0"/>
    <s v="Rakurai"/>
    <x v="1"/>
    <s v="serdülő"/>
  </r>
  <r>
    <x v="3"/>
    <s v="3A"/>
    <n v="744"/>
    <x v="0"/>
    <s v="Kumite, -, 60-70 kg, Serdülő (13-14"/>
    <s v="Kumite, serdülő fiú 70 kg"/>
    <s v="10"/>
    <s v="16 fős egyenes kiesés"/>
    <s v="11-16"/>
    <s v="Varga Bence"/>
    <x v="15"/>
    <s v="HUN"/>
    <n v="0"/>
    <m/>
    <s v="Szigetszentmiklós"/>
    <d v="2026-03-22T00:00:00"/>
    <s v="Varga Bence - KSE Tarján"/>
    <x v="0"/>
    <s v="KSE Tarján"/>
    <x v="1"/>
    <s v="serdülő"/>
  </r>
  <r>
    <x v="3"/>
    <s v="3A"/>
    <n v="745"/>
    <x v="1"/>
    <s v="Kata, -, 0-150 kg, Serdülő (13-14"/>
    <s v="Kata, serdülő fiú"/>
    <s v="17"/>
    <s v="32 fős egyenes kiesés"/>
    <s v="1"/>
    <s v="Maklaga Norbert"/>
    <x v="21"/>
    <s v="HUN"/>
    <n v="10"/>
    <m/>
    <s v="Szigetszentmiklós"/>
    <d v="2026-03-22T00:00:00"/>
    <s v="Maklaga Norbert - Kagami"/>
    <x v="0"/>
    <s v="Kagami"/>
    <x v="1"/>
    <s v="serdülő"/>
  </r>
  <r>
    <x v="3"/>
    <s v="3A"/>
    <n v="746"/>
    <x v="1"/>
    <s v="Kata, -, 0-150 kg, Serdülő (13-14"/>
    <s v="Kata, serdülő fiú"/>
    <s v="17"/>
    <s v="32 fős egyenes kiesés"/>
    <s v="2"/>
    <s v="Kis Ádám Zsolt"/>
    <x v="47"/>
    <s v="HUN"/>
    <n v="7"/>
    <m/>
    <s v="Szigetszentmiklós"/>
    <d v="2026-03-22T00:00:00"/>
    <s v="Kis Ádám Zsolt - KYO Fighter SE"/>
    <x v="0"/>
    <s v="KYO Fighter SE"/>
    <x v="1"/>
    <s v="serdülő"/>
  </r>
  <r>
    <x v="3"/>
    <s v="3A"/>
    <n v="747"/>
    <x v="1"/>
    <s v="Kata, -, 0-150 kg, Serdülő (13-14"/>
    <s v="Kata, serdülő fiú"/>
    <s v="17"/>
    <s v="32 fős egyenes kiesés"/>
    <s v="3"/>
    <s v="Moosbauer Kevin"/>
    <x v="15"/>
    <s v="HUN"/>
    <n v="5"/>
    <m/>
    <s v="Szigetszentmiklós"/>
    <d v="2026-03-22T00:00:00"/>
    <s v="Moosbauer Kevin - KSE Tarján"/>
    <x v="0"/>
    <s v="KSE Tarján"/>
    <x v="1"/>
    <s v="serdülő"/>
  </r>
  <r>
    <x v="3"/>
    <s v="3A"/>
    <n v="748"/>
    <x v="1"/>
    <s v="Kata, -, 0-150 kg, Serdülő (13-14"/>
    <s v="Kata, serdülő fiú"/>
    <s v="17"/>
    <s v="32 fős egyenes kiesés"/>
    <s v="3"/>
    <s v="Remenyik Dániel"/>
    <x v="3"/>
    <s v="HUN"/>
    <n v="5"/>
    <m/>
    <s v="Szigetszentmiklós"/>
    <d v="2026-03-22T00:00:00"/>
    <s v="Remenyik Dániel - Shogun"/>
    <x v="0"/>
    <s v="Shogun"/>
    <x v="1"/>
    <s v="serdülő"/>
  </r>
  <r>
    <x v="3"/>
    <s v="3A"/>
    <n v="749"/>
    <x v="1"/>
    <s v="Kata, -, 0-150 kg, Serdülő (13-14"/>
    <s v="Kata, serdülő fiú"/>
    <s v="17"/>
    <s v="32 fős egyenes kiesés"/>
    <s v="5"/>
    <s v="Berényi Bence"/>
    <x v="3"/>
    <s v="HUN"/>
    <n v="3"/>
    <m/>
    <s v="Szigetszentmiklós"/>
    <d v="2026-03-22T00:00:00"/>
    <s v="Berényi Bence - Shogun"/>
    <x v="0"/>
    <s v="Shogun"/>
    <x v="1"/>
    <s v="serdülő"/>
  </r>
  <r>
    <x v="3"/>
    <s v="3A"/>
    <n v="750"/>
    <x v="1"/>
    <s v="Kata, -, 0-150 kg, Serdülő (13-14"/>
    <s v="Kata, serdülő fiú"/>
    <s v="17"/>
    <s v="32 fős egyenes kiesés"/>
    <s v="6"/>
    <s v="Kovács Mihály Ágoston"/>
    <x v="54"/>
    <s v="HUN"/>
    <n v="3"/>
    <m/>
    <s v="Szigetszentmiklós"/>
    <d v="2026-03-22T00:00:00"/>
    <s v="Kovács Mihály Ágoston - Borza Dojo"/>
    <x v="1"/>
    <s v="Borza Dojo"/>
    <x v="1"/>
    <s v="serdülő"/>
  </r>
  <r>
    <x v="3"/>
    <s v="3A"/>
    <n v="751"/>
    <x v="1"/>
    <s v="Kata, -, 0-150 kg, Serdülő (13-14"/>
    <s v="Kata, serdülő fiú"/>
    <s v="17"/>
    <s v="32 fős egyenes kiesés"/>
    <s v="7-8"/>
    <s v="Jankovics Marcell"/>
    <x v="22"/>
    <s v="HUN"/>
    <n v="3"/>
    <m/>
    <s v="Szigetszentmiklós"/>
    <d v="2026-03-22T00:00:00"/>
    <s v="Jankovics Marcell - Siófok KSE"/>
    <x v="0"/>
    <s v="Siófok KSE"/>
    <x v="1"/>
    <s v="serdülő"/>
  </r>
  <r>
    <x v="3"/>
    <s v="3A"/>
    <n v="752"/>
    <x v="1"/>
    <s v="Kata, -, 0-150 kg, Serdülő (13-14"/>
    <s v="Kata, serdülő fiú"/>
    <s v="17"/>
    <s v="32 fős egyenes kiesés"/>
    <s v="7-8"/>
    <s v="Avramov Dávid"/>
    <x v="5"/>
    <s v="HUN"/>
    <n v="3"/>
    <m/>
    <s v="Szigetszentmiklós"/>
    <d v="2026-03-22T00:00:00"/>
    <s v="Avramov Dávid - TADASHII "/>
    <x v="1"/>
    <s v="TADASHII "/>
    <x v="1"/>
    <s v="serdülő"/>
  </r>
  <r>
    <x v="3"/>
    <s v="3A"/>
    <n v="753"/>
    <x v="1"/>
    <s v="Kata, -, 0-150 kg, Serdülő (13-14"/>
    <s v="Kata, serdülő fiú"/>
    <s v="17"/>
    <s v="32 fős egyenes kiesés"/>
    <s v="9"/>
    <s v="Kárpáti Bence"/>
    <x v="34"/>
    <s v="HUN"/>
    <n v="0"/>
    <m/>
    <s v="Szigetszentmiklós"/>
    <d v="2026-03-22T00:00:00"/>
    <s v="Kárpáti Bence - Cs.S.E."/>
    <x v="0"/>
    <s v="Cs.S.E."/>
    <x v="1"/>
    <s v="serdülő"/>
  </r>
  <r>
    <x v="3"/>
    <s v="3A"/>
    <n v="754"/>
    <x v="1"/>
    <s v="Kata, -, 0-150 kg, Serdülő (13-14"/>
    <s v="Kata, serdülő fiú"/>
    <s v="17"/>
    <s v="32 fős egyenes kiesés"/>
    <s v="10"/>
    <s v="Tarjányi Zétény Ferenc"/>
    <x v="32"/>
    <s v="HUN"/>
    <n v="0"/>
    <m/>
    <s v="Szigetszentmiklós"/>
    <d v="2026-03-22T00:00:00"/>
    <s v="Tarjányi Zétény Ferenc - ARSC"/>
    <x v="0"/>
    <s v="ARSC"/>
    <x v="1"/>
    <s v="serdülő"/>
  </r>
  <r>
    <x v="3"/>
    <s v="3A"/>
    <n v="755"/>
    <x v="1"/>
    <s v="Kata, -, 0-150 kg, Serdülő (13-14"/>
    <s v="Kata, serdülő fiú"/>
    <s v="17"/>
    <s v="32 fős egyenes kiesés"/>
    <s v="11-16"/>
    <s v="Kleé Krisztián"/>
    <x v="23"/>
    <s v="HUN"/>
    <n v="0"/>
    <m/>
    <s v="Szigetszentmiklós"/>
    <d v="2026-03-22T00:00:00"/>
    <s v="Kleé Krisztián - Rakurai"/>
    <x v="0"/>
    <s v="Rakurai"/>
    <x v="1"/>
    <s v="serdülő"/>
  </r>
  <r>
    <x v="3"/>
    <s v="3A"/>
    <n v="756"/>
    <x v="1"/>
    <s v="Kata, -, 0-150 kg, Serdülő (13-14"/>
    <s v="Kata, serdülő fiú"/>
    <s v="17"/>
    <s v="32 fős egyenes kiesés"/>
    <s v="11-16"/>
    <s v="Patai Dávid"/>
    <x v="53"/>
    <s v="HUN"/>
    <n v="0"/>
    <m/>
    <s v="Szigetszentmiklós"/>
    <d v="2026-03-22T00:00:00"/>
    <s v="Patai Dávid - ShinzóDojo"/>
    <x v="0"/>
    <s v="ShinzóDojo"/>
    <x v="1"/>
    <s v="serdülő"/>
  </r>
  <r>
    <x v="3"/>
    <s v="3A"/>
    <n v="757"/>
    <x v="1"/>
    <s v="Kata, -, 0-150 kg, Serdülő (13-14"/>
    <s v="Kata, serdülő fiú"/>
    <s v="17"/>
    <s v="32 fős egyenes kiesés"/>
    <s v="11-16"/>
    <s v="Sövér Levente"/>
    <x v="17"/>
    <s v="HUN"/>
    <n v="0"/>
    <m/>
    <s v="Szigetszentmiklós"/>
    <d v="2026-03-22T00:00:00"/>
    <s v="Sövér Levente - BHMSE"/>
    <x v="0"/>
    <s v="BHMSE"/>
    <x v="1"/>
    <s v="serdülő"/>
  </r>
  <r>
    <x v="3"/>
    <s v="3A"/>
    <n v="758"/>
    <x v="1"/>
    <s v="Kata, -, 0-150 kg, Serdülő (13-14"/>
    <s v="Kata, serdülő fiú"/>
    <s v="17"/>
    <s v="32 fős egyenes kiesés"/>
    <s v="11-16"/>
    <s v="Székely Lázár"/>
    <x v="47"/>
    <s v="HUN"/>
    <n v="0"/>
    <m/>
    <s v="Szigetszentmiklós"/>
    <d v="2026-03-22T00:00:00"/>
    <s v="Székely Lázár - KYO Fighter SE"/>
    <x v="0"/>
    <s v="KYO Fighter SE"/>
    <x v="1"/>
    <s v="serdülő"/>
  </r>
  <r>
    <x v="3"/>
    <s v="3A"/>
    <n v="759"/>
    <x v="1"/>
    <s v="Kata, -, 0-150 kg, Serdülő (13-14"/>
    <s v="Kata, serdülő fiú"/>
    <s v="17"/>
    <s v="32 fős egyenes kiesés"/>
    <s v="11-16"/>
    <s v="Turcsán Barnabás"/>
    <x v="54"/>
    <s v="HUN"/>
    <n v="0"/>
    <m/>
    <s v="Szigetszentmiklós"/>
    <d v="2026-03-22T00:00:00"/>
    <s v="Turcsán Barnabás - Borza Dojo"/>
    <x v="1"/>
    <s v="Borza Dojo"/>
    <x v="1"/>
    <s v="serdülő"/>
  </r>
  <r>
    <x v="3"/>
    <s v="3A"/>
    <n v="760"/>
    <x v="1"/>
    <s v="Kata, -, 0-150 kg, Serdülő (13-14"/>
    <s v="Kata, serdülő fiú"/>
    <s v="17"/>
    <s v="32 fős egyenes kiesés"/>
    <s v="11-16"/>
    <s v="Ferenczhalmy Félix"/>
    <x v="17"/>
    <s v="HUN"/>
    <n v="0"/>
    <m/>
    <s v="Szigetszentmiklós"/>
    <d v="2026-03-22T00:00:00"/>
    <s v="Ferenczhalmy Félix - BHMSE"/>
    <x v="0"/>
    <s v="BHMSE"/>
    <x v="1"/>
    <s v="serdülő"/>
  </r>
  <r>
    <x v="3"/>
    <s v="3A"/>
    <n v="761"/>
    <x v="0"/>
    <s v="Kumite, -, 0-40 kg, Serdülő (13-14"/>
    <s v="Kumite, serdülő lány 40 kg"/>
    <s v="3"/>
    <s v="3 fős körmérkőzés"/>
    <s v="1"/>
    <s v="Bogdán Szonja Boróka"/>
    <x v="23"/>
    <s v="HUN"/>
    <n v="6"/>
    <m/>
    <s v="Szigetszentmiklós"/>
    <d v="2026-03-22T00:00:00"/>
    <s v="Bogdán Szonja Boróka - Rakurai"/>
    <x v="0"/>
    <s v="Rakurai"/>
    <x v="1"/>
    <s v="serdülő"/>
  </r>
  <r>
    <x v="3"/>
    <s v="3A"/>
    <n v="762"/>
    <x v="0"/>
    <s v="Kumite, -, 0-40 kg, Serdülő (13-14"/>
    <s v="Kumite, serdülő lány 40 kg"/>
    <s v="3"/>
    <s v="3 fős körmérkőzés"/>
    <s v="2"/>
    <s v="Koszorus Brigitta"/>
    <x v="52"/>
    <s v="HUN"/>
    <n v="4"/>
    <m/>
    <s v="Szigetszentmiklós"/>
    <d v="2026-03-22T00:00:00"/>
    <s v="Koszorus Brigitta - SONGOKU SE"/>
    <x v="0"/>
    <s v="SONGOKU SE"/>
    <x v="1"/>
    <s v="serdülő"/>
  </r>
  <r>
    <x v="3"/>
    <s v="3A"/>
    <n v="763"/>
    <x v="0"/>
    <s v="Kumite, -, 0-40 kg, Serdülő (13-14"/>
    <s v="Kumite, serdülő lány 40 kg"/>
    <s v="3"/>
    <s v="3 fős körmérkőzés"/>
    <s v="3"/>
    <s v="Rékai Bianka"/>
    <x v="22"/>
    <s v="HUN"/>
    <n v="0"/>
    <m/>
    <s v="Szigetszentmiklós"/>
    <d v="2026-03-22T00:00:00"/>
    <s v="Rékai Bianka - Siófok KSE"/>
    <x v="0"/>
    <s v="Siófok KSE"/>
    <x v="1"/>
    <s v="serdülő"/>
  </r>
  <r>
    <x v="3"/>
    <s v="3A"/>
    <n v="764"/>
    <x v="0"/>
    <s v="Kumite, -, 45-55 kg, Serdülő (13-14"/>
    <s v="Kumite, serdülő lány 55 kg"/>
    <s v="16"/>
    <s v="16 fős egyenes kiesés"/>
    <s v="1"/>
    <s v="Reichert Hanna "/>
    <x v="19"/>
    <s v="HUN"/>
    <n v="10"/>
    <m/>
    <s v="Szigetszentmiklós"/>
    <d v="2026-03-22T00:00:00"/>
    <s v="Reichert Hanna  - VTSE"/>
    <x v="1"/>
    <s v="VTSE"/>
    <x v="1"/>
    <s v="serdülő"/>
  </r>
  <r>
    <x v="3"/>
    <s v="3A"/>
    <n v="765"/>
    <x v="0"/>
    <s v="Kumite, -, 45-55 kg, Serdülő (13-14"/>
    <s v="Kumite, serdülő lány 55 kg"/>
    <s v="16"/>
    <s v="16 fős egyenes kiesés"/>
    <s v="2"/>
    <s v="Sóskuti Lili"/>
    <x v="50"/>
    <s v="HUN"/>
    <n v="8"/>
    <m/>
    <s v="Szigetszentmiklós"/>
    <d v="2026-03-22T00:00:00"/>
    <s v="Sóskuti Lili - Keizoku SE"/>
    <x v="0"/>
    <s v="Keizoku SE"/>
    <x v="1"/>
    <s v="serdülő"/>
  </r>
  <r>
    <x v="3"/>
    <s v="3A"/>
    <n v="766"/>
    <x v="0"/>
    <s v="Kumite, -, 45-55 kg, Serdülő (13-14"/>
    <s v="Kumite, serdülő lány 55 kg"/>
    <s v="16"/>
    <s v="16 fős egyenes kiesés"/>
    <s v="3"/>
    <s v="Radnóti Lilla"/>
    <x v="36"/>
    <s v="HUN"/>
    <n v="6"/>
    <m/>
    <s v="Szigetszentmiklós"/>
    <d v="2026-03-22T00:00:00"/>
    <s v="Radnóti Lilla - POWER SE."/>
    <x v="0"/>
    <s v="POWER SE."/>
    <x v="1"/>
    <s v="serdülő"/>
  </r>
  <r>
    <x v="3"/>
    <s v="3A"/>
    <n v="767"/>
    <x v="0"/>
    <s v="Kumite, -, 45-55 kg, Serdülő (13-14"/>
    <s v="Kumite, serdülő lány 55 kg"/>
    <s v="16"/>
    <s v="16 fős egyenes kiesés"/>
    <s v="3"/>
    <s v="Villasenor Babos Natália "/>
    <x v="23"/>
    <s v="HUN"/>
    <n v="6"/>
    <m/>
    <s v="Szigetszentmiklós"/>
    <d v="2026-03-22T00:00:00"/>
    <s v="Villasenor Babos Natália  - Rakurai"/>
    <x v="0"/>
    <s v="Rakurai"/>
    <x v="1"/>
    <s v="serdülő"/>
  </r>
  <r>
    <x v="3"/>
    <s v="3A"/>
    <n v="768"/>
    <x v="0"/>
    <s v="Kumite, -, 45-55 kg, Serdülő (13-14"/>
    <s v="Kumite, serdülő lány 55 kg"/>
    <s v="16"/>
    <s v="16 fős egyenes kiesés"/>
    <s v="5"/>
    <s v="Papp Gréta"/>
    <x v="6"/>
    <s v="HUN"/>
    <n v="3"/>
    <m/>
    <s v="Szigetszentmiklós"/>
    <d v="2026-03-22T00:00:00"/>
    <s v="Papp Gréta - Castrum"/>
    <x v="0"/>
    <s v="Castrum"/>
    <x v="1"/>
    <s v="serdülő"/>
  </r>
  <r>
    <x v="3"/>
    <s v="3A"/>
    <n v="769"/>
    <x v="0"/>
    <s v="Kumite, -, 45-55 kg, Serdülő (13-14"/>
    <s v="Kumite, serdülő lány 55 kg"/>
    <s v="16"/>
    <s v="16 fős egyenes kiesés"/>
    <s v="6"/>
    <s v="Nagy Anna"/>
    <x v="4"/>
    <s v="HUN"/>
    <n v="3"/>
    <m/>
    <s v="Szigetszentmiklós"/>
    <d v="2026-03-22T00:00:00"/>
    <s v="Nagy Anna - Főnix Dojo"/>
    <x v="0"/>
    <s v="Főnix Dojo"/>
    <x v="1"/>
    <s v="serdülő"/>
  </r>
  <r>
    <x v="3"/>
    <s v="3A"/>
    <n v="770"/>
    <x v="0"/>
    <s v="Kumite, -, 45-55 kg, Serdülő (13-14"/>
    <s v="Kumite, serdülő lány 55 kg"/>
    <s v="16"/>
    <s v="16 fős egyenes kiesés"/>
    <s v="7-8"/>
    <s v="Gaál-Vajai Tamara"/>
    <x v="4"/>
    <s v="HUN"/>
    <n v="3"/>
    <m/>
    <s v="Szigetszentmiklós"/>
    <d v="2026-03-22T00:00:00"/>
    <s v="Gaál-Vajai Tamara - Főnix Dojo"/>
    <x v="0"/>
    <s v="Főnix Dojo"/>
    <x v="1"/>
    <s v="serdülő"/>
  </r>
  <r>
    <x v="3"/>
    <s v="3A"/>
    <n v="771"/>
    <x v="0"/>
    <s v="Kumite, -, 45-55 kg, Serdülő (13-14"/>
    <s v="Kumite, serdülő lány 55 kg"/>
    <s v="16"/>
    <s v="16 fős egyenes kiesés"/>
    <s v="7-8"/>
    <s v="Volenszki Adél"/>
    <x v="29"/>
    <s v="HUN"/>
    <n v="3"/>
    <m/>
    <s v="Szigetszentmiklós"/>
    <d v="2026-03-22T00:00:00"/>
    <s v="Volenszki Adél - WARRIORS TEAM"/>
    <x v="0"/>
    <s v="WARRIORS TEAM"/>
    <x v="1"/>
    <s v="serdülő"/>
  </r>
  <r>
    <x v="3"/>
    <s v="3A"/>
    <n v="772"/>
    <x v="0"/>
    <s v="Kumite, -, 45-55 kg, Serdülő (13-14"/>
    <s v="Kumite, serdülő lány 55 kg"/>
    <s v="16"/>
    <s v="16 fős egyenes kiesés"/>
    <s v="9"/>
    <s v="Volenszki Mira"/>
    <x v="29"/>
    <s v="HUN"/>
    <n v="0"/>
    <m/>
    <s v="Szigetszentmiklós"/>
    <d v="2026-03-22T00:00:00"/>
    <s v="Volenszki Mira - WARRIORS TEAM"/>
    <x v="0"/>
    <s v="WARRIORS TEAM"/>
    <x v="1"/>
    <s v="serdülő"/>
  </r>
  <r>
    <x v="3"/>
    <s v="3A"/>
    <n v="773"/>
    <x v="0"/>
    <s v="Kumite, -, 45-55 kg, Serdülő (13-14"/>
    <s v="Kumite, serdülő lány 55 kg"/>
    <s v="16"/>
    <s v="16 fős egyenes kiesés"/>
    <s v="10"/>
    <s v="Solymári Orsolya Dalma"/>
    <x v="29"/>
    <s v="HUN"/>
    <n v="0"/>
    <m/>
    <s v="Szigetszentmiklós"/>
    <d v="2026-03-22T00:00:00"/>
    <s v="Solymári Orsolya Dalma - WARRIORS TEAM"/>
    <x v="0"/>
    <s v="WARRIORS TEAM"/>
    <x v="1"/>
    <s v="serdülő"/>
  </r>
  <r>
    <x v="3"/>
    <s v="3A"/>
    <n v="774"/>
    <x v="0"/>
    <s v="Kumite, -, 45-55 kg, Serdülő (13-14"/>
    <s v="Kumite, serdülő lány 55 kg"/>
    <s v="16"/>
    <s v="16 fős egyenes kiesés"/>
    <s v="11-16"/>
    <s v="Szabó Lili"/>
    <x v="2"/>
    <s v="HUN"/>
    <n v="0"/>
    <m/>
    <s v="Szigetszentmiklós"/>
    <d v="2026-03-22T00:00:00"/>
    <s v="Szabó Lili - Kisvárda KKDOSC"/>
    <x v="0"/>
    <s v="Kisvárda KKDOSC"/>
    <x v="1"/>
    <s v="serdülő"/>
  </r>
  <r>
    <x v="3"/>
    <s v="3A"/>
    <n v="775"/>
    <x v="0"/>
    <s v="Kumite, -, 45-55 kg, Serdülő (13-14"/>
    <s v="Kumite, serdülő lány 55 kg"/>
    <s v="16"/>
    <s v="16 fős egyenes kiesés"/>
    <s v="11-16"/>
    <s v="Gazdag Csinszka"/>
    <x v="37"/>
    <s v="HUN"/>
    <n v="0"/>
    <m/>
    <s v="Szigetszentmiklós"/>
    <d v="2026-03-22T00:00:00"/>
    <s v="Gazdag Csinszka - ASE Bulldog KKSZCS"/>
    <x v="0"/>
    <s v="ASE Bulldog KKSZCS"/>
    <x v="1"/>
    <s v="serdülő"/>
  </r>
  <r>
    <x v="3"/>
    <s v="3A"/>
    <n v="776"/>
    <x v="0"/>
    <s v="Kumite, -, 45-55 kg, Serdülő (13-14"/>
    <s v="Kumite, serdülő lány 55 kg"/>
    <s v="16"/>
    <s v="16 fős egyenes kiesés"/>
    <s v="11-16"/>
    <s v="Farkas Luca"/>
    <x v="47"/>
    <s v="HUN"/>
    <n v="0"/>
    <m/>
    <s v="Szigetszentmiklós"/>
    <d v="2026-03-22T00:00:00"/>
    <s v="Farkas Luca - KYO Fighter SE"/>
    <x v="0"/>
    <s v="KYO Fighter SE"/>
    <x v="1"/>
    <s v="serdülő"/>
  </r>
  <r>
    <x v="3"/>
    <s v="3A"/>
    <n v="777"/>
    <x v="0"/>
    <s v="Kumite, -, 45-55 kg, Serdülő (13-14"/>
    <s v="Kumite, serdülő lány 55 kg"/>
    <s v="16"/>
    <s v="16 fős egyenes kiesés"/>
    <s v="11-16"/>
    <s v="Vida Zora"/>
    <x v="49"/>
    <s v="HUN"/>
    <n v="0"/>
    <m/>
    <s v="Szigetszentmiklós"/>
    <d v="2026-03-22T00:00:00"/>
    <s v="Vida Zora - Buke Reikon HRSE"/>
    <x v="0"/>
    <s v="Buke Reikon HRSE"/>
    <x v="1"/>
    <s v="serdülő"/>
  </r>
  <r>
    <x v="3"/>
    <s v="3A"/>
    <n v="778"/>
    <x v="0"/>
    <s v="Kumite, -, 45-55 kg, Serdülő (13-14"/>
    <s v="Kumite, serdülő lány 55 kg"/>
    <s v="16"/>
    <s v="16 fős egyenes kiesés"/>
    <s v="11-16"/>
    <s v="Gonda Lea"/>
    <x v="45"/>
    <s v="HUN"/>
    <n v="0"/>
    <m/>
    <s v="Szigetszentmiklós"/>
    <d v="2026-03-22T00:00:00"/>
    <s v="Gonda Lea - Kelemen-Team"/>
    <x v="0"/>
    <s v="Kelemen-Team"/>
    <x v="1"/>
    <s v="serdülő"/>
  </r>
  <r>
    <x v="3"/>
    <s v="3A"/>
    <n v="779"/>
    <x v="0"/>
    <s v="Kumite, -, 45-55 kg, Serdülő (13-14"/>
    <s v="Kumite, serdülő lány 55 kg"/>
    <s v="16"/>
    <s v="16 fős egyenes kiesés"/>
    <s v="11-16"/>
    <s v="Ványi Amira"/>
    <x v="36"/>
    <s v="HUN"/>
    <n v="0"/>
    <m/>
    <s v="Szigetszentmiklós"/>
    <d v="2026-03-22T00:00:00"/>
    <s v="Ványi Amira - POWER SE."/>
    <x v="0"/>
    <s v="POWER SE."/>
    <x v="1"/>
    <s v="serdülő"/>
  </r>
  <r>
    <x v="3"/>
    <s v="3A"/>
    <n v="780"/>
    <x v="0"/>
    <s v="Kumite, -, 55-65 kg, Serdülő (13-14"/>
    <s v="Kumite, serdülő lány 65 kg"/>
    <s v="8"/>
    <s v="8 fős egyenes kiesés"/>
    <s v="1"/>
    <s v="Bennárik Bella"/>
    <x v="29"/>
    <s v="HUN"/>
    <n v="8"/>
    <m/>
    <s v="Szigetszentmiklós"/>
    <d v="2026-03-22T00:00:00"/>
    <s v="Bennárik Bella - WARRIORS TEAM"/>
    <x v="0"/>
    <s v="WARRIORS TEAM"/>
    <x v="1"/>
    <s v="serdülő"/>
  </r>
  <r>
    <x v="3"/>
    <s v="3A"/>
    <n v="781"/>
    <x v="0"/>
    <s v="Kumite, -, 55-65 kg, Serdülő (13-14"/>
    <s v="Kumite, serdülő lány 65 kg"/>
    <s v="8"/>
    <s v="8 fős egyenes kiesés"/>
    <s v="2"/>
    <s v="Nándori Emma"/>
    <x v="46"/>
    <s v="HUN"/>
    <n v="6"/>
    <m/>
    <s v="Szigetszentmiklós"/>
    <d v="2026-03-22T00:00:00"/>
    <s v="Nándori Emma - Kemecse SE"/>
    <x v="0"/>
    <s v="Kemecse SE"/>
    <x v="1"/>
    <s v="serdülő"/>
  </r>
  <r>
    <x v="3"/>
    <s v="3A"/>
    <n v="782"/>
    <x v="0"/>
    <s v="Kumite, -, 55-65 kg, Serdülő (13-14"/>
    <s v="Kumite, serdülő lány 65 kg"/>
    <s v="8"/>
    <s v="8 fős egyenes kiesés"/>
    <s v="3"/>
    <s v="Mészáros Lili Dóra"/>
    <x v="15"/>
    <s v="HUN"/>
    <n v="4"/>
    <m/>
    <s v="Szigetszentmiklós"/>
    <d v="2026-03-22T00:00:00"/>
    <s v="Mészáros Lili Dóra - KSE Tarján"/>
    <x v="0"/>
    <s v="KSE Tarján"/>
    <x v="1"/>
    <s v="serdülő"/>
  </r>
  <r>
    <x v="3"/>
    <s v="3A"/>
    <n v="783"/>
    <x v="0"/>
    <s v="Kumite, -, 55-65 kg, Serdülő (13-14"/>
    <s v="Kumite, serdülő lány 65 kg"/>
    <s v="8"/>
    <s v="8 fős egyenes kiesés"/>
    <s v="3"/>
    <s v="Szabó Zsófi"/>
    <x v="53"/>
    <s v="HUN"/>
    <n v="4"/>
    <m/>
    <s v="Szigetszentmiklós"/>
    <d v="2026-03-22T00:00:00"/>
    <s v="Szabó Zsófi - ShinzóDojo"/>
    <x v="0"/>
    <s v="ShinzóDojo"/>
    <x v="1"/>
    <s v="serdülő"/>
  </r>
  <r>
    <x v="3"/>
    <s v="3A"/>
    <n v="784"/>
    <x v="0"/>
    <s v="Kumite, -, 55-65 kg, Serdülő (13-14"/>
    <s v="Kumite, serdülő lány 65 kg"/>
    <s v="8"/>
    <s v="8 fős egyenes kiesés"/>
    <s v="5"/>
    <s v="Horváth Réka"/>
    <x v="6"/>
    <s v="HUN"/>
    <n v="0"/>
    <m/>
    <s v="Szigetszentmiklós"/>
    <d v="2026-03-22T00:00:00"/>
    <s v="Horváth Réka - Castrum"/>
    <x v="0"/>
    <s v="Castrum"/>
    <x v="1"/>
    <s v="serdülő"/>
  </r>
  <r>
    <x v="3"/>
    <s v="3A"/>
    <n v="785"/>
    <x v="0"/>
    <s v="Kumite, -, 55-65 kg, Serdülő (13-14"/>
    <s v="Kumite, serdülő lány 65 kg"/>
    <s v="8"/>
    <s v="8 fős egyenes kiesés"/>
    <s v="6"/>
    <s v="Kovács Maja"/>
    <x v="25"/>
    <s v="HUN"/>
    <n v="0"/>
    <m/>
    <s v="Szigetszentmiklós"/>
    <d v="2026-03-22T00:00:00"/>
    <s v="Kovács Maja - Katana SE"/>
    <x v="0"/>
    <s v="Katana SE"/>
    <x v="1"/>
    <s v="serdülő"/>
  </r>
  <r>
    <x v="3"/>
    <s v="3A"/>
    <n v="786"/>
    <x v="0"/>
    <s v="Kumite, -, 55-65 kg, Serdülő (13-14"/>
    <s v="Kumite, serdülő lány 65 kg"/>
    <s v="8"/>
    <s v="8 fős egyenes kiesés"/>
    <s v="7-8"/>
    <s v="Szabó Anna Tímea"/>
    <x v="25"/>
    <s v="HUN"/>
    <n v="0"/>
    <m/>
    <s v="Szigetszentmiklós"/>
    <d v="2026-03-22T00:00:00"/>
    <s v="Szabó Anna Tímea - Katana SE"/>
    <x v="0"/>
    <s v="Katana SE"/>
    <x v="1"/>
    <s v="serdülő"/>
  </r>
  <r>
    <x v="3"/>
    <s v="3A"/>
    <n v="787"/>
    <x v="0"/>
    <s v="Kumite, -, 55-65 kg, Serdülő (13-14"/>
    <s v="Kumite, serdülő lány 65 kg"/>
    <s v="8"/>
    <s v="8 fős egyenes kiesés"/>
    <s v="7-8"/>
    <s v="Abou Hussein Maya"/>
    <x v="1"/>
    <s v="HUN"/>
    <n v="0"/>
    <m/>
    <s v="Szigetszentmiklós"/>
    <d v="2026-03-22T00:00:00"/>
    <s v="Abou Hussein Maya - Ippon KKSE"/>
    <x v="0"/>
    <s v="Ippon KKSE"/>
    <x v="1"/>
    <s v="serdülő"/>
  </r>
  <r>
    <x v="3"/>
    <s v="3A"/>
    <n v="788"/>
    <x v="0"/>
    <s v="Kumite, -, 65-150 kg, Serdülő (13-14"/>
    <s v="Kumite, serdülő lány +65 kg"/>
    <s v="2"/>
    <s v="2 fős egyenes kiesés"/>
    <s v="1"/>
    <s v="Bota Sára"/>
    <x v="23"/>
    <s v="HUN"/>
    <n v="4"/>
    <m/>
    <s v="Szigetszentmiklós"/>
    <d v="2026-03-22T00:00:00"/>
    <s v="Bota Sára - Rakurai"/>
    <x v="0"/>
    <s v="Rakurai"/>
    <x v="1"/>
    <s v="serdülő"/>
  </r>
  <r>
    <x v="3"/>
    <s v="3A"/>
    <n v="789"/>
    <x v="0"/>
    <s v="Kumite, -, 65-150 kg, Serdülő (13-14"/>
    <s v="Kumite, serdülő lány +65 kg"/>
    <s v="2"/>
    <s v="2 fős egyenes kiesés"/>
    <s v="2"/>
    <s v="Lukácsi Réka"/>
    <x v="1"/>
    <s v="HUN"/>
    <n v="0"/>
    <m/>
    <s v="Szigetszentmiklós"/>
    <d v="2026-03-22T00:00:00"/>
    <s v="Lukácsi Réka - Ippon KKSE"/>
    <x v="0"/>
    <s v="Ippon KKSE"/>
    <x v="1"/>
    <s v="serdülő"/>
  </r>
  <r>
    <x v="3"/>
    <s v="3A"/>
    <n v="790"/>
    <x v="0"/>
    <s v="Kumite, -, 40-45 kg, Serdülő (13-14"/>
    <s v="Kumite, serdülő lány 45 kg"/>
    <s v="5"/>
    <s v="5 fős körmérkőzés"/>
    <s v="1"/>
    <s v="Csató Réka"/>
    <x v="50"/>
    <s v="HUN"/>
    <n v="10"/>
    <m/>
    <s v="Szigetszentmiklós"/>
    <d v="2026-03-22T00:00:00"/>
    <s v="Csató Réka - Keizoku SE"/>
    <x v="0"/>
    <s v="Keizoku SE"/>
    <x v="1"/>
    <s v="serdülő"/>
  </r>
  <r>
    <x v="3"/>
    <s v="3A"/>
    <n v="791"/>
    <x v="0"/>
    <s v="Kumite, -, 40-45 kg, Serdülő (13-14"/>
    <s v="Kumite, serdülő lány 45 kg"/>
    <s v="5"/>
    <s v="5 fős körmérkőzés"/>
    <s v="2"/>
    <s v="Almási Petra"/>
    <x v="7"/>
    <s v="HUN"/>
    <n v="8"/>
    <m/>
    <s v="Szigetszentmiklós"/>
    <d v="2026-03-22T00:00:00"/>
    <s v="Almási Petra - KHSE"/>
    <x v="0"/>
    <s v="KHSE"/>
    <x v="1"/>
    <s v="serdülő"/>
  </r>
  <r>
    <x v="3"/>
    <s v="3A"/>
    <n v="792"/>
    <x v="0"/>
    <s v="Kumite, -, 40-45 kg, Serdülő (13-14"/>
    <s v="Kumite, serdülő lány 45 kg"/>
    <s v="5"/>
    <s v="5 fős körmérkőzés"/>
    <s v="3"/>
    <s v="Mihályi Tünde"/>
    <x v="17"/>
    <s v="HUN"/>
    <n v="6"/>
    <m/>
    <s v="Szigetszentmiklós"/>
    <d v="2026-03-22T00:00:00"/>
    <s v="Mihályi Tünde - BHMSE"/>
    <x v="0"/>
    <s v="BHMSE"/>
    <x v="1"/>
    <s v="serdülő"/>
  </r>
  <r>
    <x v="3"/>
    <s v="3A"/>
    <n v="793"/>
    <x v="0"/>
    <s v="Kumite, -, 40-45 kg, Serdülő (13-14"/>
    <s v="Kumite, serdülő lány 45 kg"/>
    <s v="5"/>
    <s v="5 fős körmérkőzés"/>
    <s v="4"/>
    <s v="Horváth Liliána"/>
    <x v="13"/>
    <s v="HUN"/>
    <n v="4"/>
    <m/>
    <s v="Szigetszentmiklós"/>
    <d v="2026-03-22T00:00:00"/>
    <s v="Horváth Liliána - Kamikaze S"/>
    <x v="0"/>
    <s v="Kamikaze S"/>
    <x v="1"/>
    <s v="serdülő"/>
  </r>
  <r>
    <x v="3"/>
    <s v="3A"/>
    <n v="794"/>
    <x v="0"/>
    <s v="Kumite, -, 40-45 kg, Serdülő (13-14"/>
    <s v="Kumite, serdülő lány 45 kg"/>
    <s v="5"/>
    <s v="5 fős körmérkőzés"/>
    <s v="5"/>
    <s v="Hegyesi Mia"/>
    <x v="51"/>
    <s v="HUN"/>
    <n v="3"/>
    <m/>
    <s v="Szigetszentmiklós"/>
    <d v="2026-03-22T00:00:00"/>
    <s v="Hegyesi Mia - Derecske BUDO"/>
    <x v="0"/>
    <s v="Derecske BUDO"/>
    <x v="1"/>
    <s v="serdülő"/>
  </r>
  <r>
    <x v="3"/>
    <s v="3A"/>
    <n v="795"/>
    <x v="1"/>
    <s v="Kata, -, 0-150 kg, Serdülő (13-14"/>
    <s v="Kata, serdülő lány"/>
    <s v="18"/>
    <s v="32 fős egyenes kiesés"/>
    <s v="1"/>
    <s v="Nándori Emma"/>
    <x v="46"/>
    <s v="HUN"/>
    <n v="10"/>
    <m/>
    <s v="Szigetszentmiklós"/>
    <d v="2026-03-22T00:00:00"/>
    <s v="Nándori Emma - Kemecse SE"/>
    <x v="0"/>
    <s v="Kemecse SE"/>
    <x v="1"/>
    <s v="serdülő"/>
  </r>
  <r>
    <x v="3"/>
    <s v="3A"/>
    <n v="796"/>
    <x v="1"/>
    <s v="Kata, -, 0-150 kg, Serdülő (13-14"/>
    <s v="Kata, serdülő lány"/>
    <s v="18"/>
    <s v="32 fős egyenes kiesés"/>
    <s v="2"/>
    <s v="Szabó Zsófi"/>
    <x v="53"/>
    <s v="HUN"/>
    <n v="7"/>
    <m/>
    <s v="Szigetszentmiklós"/>
    <d v="2026-03-22T00:00:00"/>
    <s v="Szabó Zsófi - ShinzóDojo"/>
    <x v="0"/>
    <s v="ShinzóDojo"/>
    <x v="1"/>
    <s v="serdülő"/>
  </r>
  <r>
    <x v="3"/>
    <s v="3A"/>
    <n v="797"/>
    <x v="1"/>
    <s v="Kata, -, 0-150 kg, Serdülő (13-14"/>
    <s v="Kata, serdülő lány"/>
    <s v="18"/>
    <s v="32 fős egyenes kiesés"/>
    <s v="3"/>
    <s v="Csató Réka"/>
    <x v="50"/>
    <s v="HUN"/>
    <n v="5"/>
    <m/>
    <s v="Szigetszentmiklós"/>
    <d v="2026-03-22T00:00:00"/>
    <s v="Csató Réka - Keizoku SE"/>
    <x v="0"/>
    <s v="Keizoku SE"/>
    <x v="1"/>
    <s v="serdülő"/>
  </r>
  <r>
    <x v="3"/>
    <s v="3A"/>
    <n v="798"/>
    <x v="1"/>
    <s v="Kata, -, 0-150 kg, Serdülő (13-14"/>
    <s v="Kata, serdülő lány"/>
    <s v="18"/>
    <s v="32 fős egyenes kiesés"/>
    <s v="3"/>
    <s v="Szabó Anna Tímea"/>
    <x v="25"/>
    <s v="HUN"/>
    <n v="5"/>
    <m/>
    <s v="Szigetszentmiklós"/>
    <d v="2026-03-22T00:00:00"/>
    <s v="Szabó Anna Tímea - Katana SE"/>
    <x v="0"/>
    <s v="Katana SE"/>
    <x v="1"/>
    <s v="serdülő"/>
  </r>
  <r>
    <x v="3"/>
    <s v="3A"/>
    <n v="799"/>
    <x v="1"/>
    <s v="Kata, -, 0-150 kg, Serdülő (13-14"/>
    <s v="Kata, serdülő lány"/>
    <s v="18"/>
    <s v="32 fős egyenes kiesés"/>
    <s v="5"/>
    <s v="Mészáros Lili Dóra"/>
    <x v="15"/>
    <s v="HUN"/>
    <n v="3"/>
    <m/>
    <s v="Szigetszentmiklós"/>
    <d v="2026-03-22T00:00:00"/>
    <s v="Mészáros Lili Dóra - KSE Tarján"/>
    <x v="0"/>
    <s v="KSE Tarján"/>
    <x v="1"/>
    <s v="serdülő"/>
  </r>
  <r>
    <x v="3"/>
    <s v="3A"/>
    <n v="800"/>
    <x v="1"/>
    <s v="Kata, -, 0-150 kg, Serdülő (13-14"/>
    <s v="Kata, serdülő lány"/>
    <s v="18"/>
    <s v="32 fős egyenes kiesés"/>
    <s v="6"/>
    <s v="Novák Noémi"/>
    <x v="12"/>
    <s v="HUN"/>
    <n v="3"/>
    <m/>
    <s v="Szigetszentmiklós"/>
    <d v="2026-03-22T00:00:00"/>
    <s v="Novák Noémi - Bendiák Dojo"/>
    <x v="0"/>
    <s v="Bendiák Dojo"/>
    <x v="1"/>
    <s v="serdülő"/>
  </r>
  <r>
    <x v="3"/>
    <s v="3A"/>
    <n v="801"/>
    <x v="1"/>
    <s v="Kata, -, 0-150 kg, Serdülő (13-14"/>
    <s v="Kata, serdülő lány"/>
    <s v="18"/>
    <s v="32 fős egyenes kiesés"/>
    <s v="7-8"/>
    <s v="Szűcs Anna"/>
    <x v="33"/>
    <s v="HUN"/>
    <n v="3"/>
    <m/>
    <s v="Szigetszentmiklós"/>
    <d v="2026-03-22T00:00:00"/>
    <s v="Szűcs Anna - Ichiro Dojo"/>
    <x v="1"/>
    <s v="Ichiro Dojo"/>
    <x v="1"/>
    <s v="serdülő"/>
  </r>
  <r>
    <x v="3"/>
    <s v="3A"/>
    <n v="802"/>
    <x v="1"/>
    <s v="Kata, -, 0-150 kg, Serdülő (13-14"/>
    <s v="Kata, serdülő lány"/>
    <s v="18"/>
    <s v="32 fős egyenes kiesés"/>
    <s v="7-8"/>
    <s v="Radnóti Lilla"/>
    <x v="36"/>
    <s v="HUN"/>
    <n v="3"/>
    <m/>
    <s v="Szigetszentmiklós"/>
    <d v="2026-03-22T00:00:00"/>
    <s v="Radnóti Lilla - POWER SE."/>
    <x v="0"/>
    <s v="POWER SE."/>
    <x v="1"/>
    <s v="serdülő"/>
  </r>
  <r>
    <x v="3"/>
    <s v="3A"/>
    <n v="803"/>
    <x v="1"/>
    <s v="Kata, -, 0-150 kg, Serdülő (13-14"/>
    <s v="Kata, serdülő lány"/>
    <s v="18"/>
    <s v="32 fős egyenes kiesés"/>
    <s v="9"/>
    <s v="Kovács Linett"/>
    <x v="38"/>
    <s v="HUN"/>
    <n v="0"/>
    <m/>
    <s v="Szigetszentmiklós"/>
    <d v="2026-03-22T00:00:00"/>
    <s v="Kovács Linett - RDKKSE"/>
    <x v="0"/>
    <s v="RDKKSE"/>
    <x v="1"/>
    <s v="serdülő"/>
  </r>
  <r>
    <x v="3"/>
    <s v="3A"/>
    <n v="804"/>
    <x v="1"/>
    <s v="Kata, -, 0-150 kg, Serdülő (13-14"/>
    <s v="Kata, serdülő lány"/>
    <s v="18"/>
    <s v="32 fős egyenes kiesés"/>
    <s v="10"/>
    <s v="Mihályi Tünde"/>
    <x v="17"/>
    <s v="HUN"/>
    <n v="0"/>
    <m/>
    <s v="Szigetszentmiklós"/>
    <d v="2026-03-22T00:00:00"/>
    <s v="Mihályi Tünde - BHMSE"/>
    <x v="0"/>
    <s v="BHMSE"/>
    <x v="1"/>
    <s v="serdülő"/>
  </r>
  <r>
    <x v="3"/>
    <s v="3A"/>
    <n v="805"/>
    <x v="1"/>
    <s v="Kata, -, 0-150 kg, Serdülő (13-14"/>
    <s v="Kata, serdülő lány"/>
    <s v="18"/>
    <s v="32 fős egyenes kiesés"/>
    <s v="11-16"/>
    <s v="Orosz Elizabett"/>
    <x v="15"/>
    <s v="HUN"/>
    <n v="0"/>
    <m/>
    <s v="Szigetszentmiklós"/>
    <d v="2026-03-22T00:00:00"/>
    <s v="Orosz Elizabett - KSE Tarján"/>
    <x v="0"/>
    <s v="KSE Tarján"/>
    <x v="1"/>
    <s v="serdülő"/>
  </r>
  <r>
    <x v="3"/>
    <s v="3A"/>
    <n v="806"/>
    <x v="1"/>
    <s v="Kata, -, 0-150 kg, Serdülő (13-14"/>
    <s v="Kata, serdülő lány"/>
    <s v="18"/>
    <s v="32 fős egyenes kiesés"/>
    <s v="11-16"/>
    <s v="Horváth Dóra Lili"/>
    <x v="17"/>
    <s v="HUN"/>
    <n v="0"/>
    <m/>
    <s v="Szigetszentmiklós"/>
    <d v="2026-03-22T00:00:00"/>
    <s v="Horváth Dóra Lili - BHMSE"/>
    <x v="0"/>
    <s v="BHMSE"/>
    <x v="1"/>
    <s v="serdülő"/>
  </r>
  <r>
    <x v="3"/>
    <s v="3A"/>
    <n v="807"/>
    <x v="1"/>
    <s v="Kata, -, 0-150 kg, Serdülő (13-14"/>
    <s v="Kata, serdülő lány"/>
    <s v="18"/>
    <s v="32 fős egyenes kiesés"/>
    <s v="11-16"/>
    <s v="Gál Petra Andrea"/>
    <x v="35"/>
    <s v="HUN"/>
    <n v="0"/>
    <m/>
    <s v="Szigetszentmiklós"/>
    <d v="2026-03-22T00:00:00"/>
    <s v="Gál Petra Andrea - Fitt KKSE"/>
    <x v="0"/>
    <s v="Fitt KKSE"/>
    <x v="1"/>
    <s v="serdülő"/>
  </r>
  <r>
    <x v="3"/>
    <s v="3A"/>
    <n v="808"/>
    <x v="1"/>
    <s v="Kata, -, 0-150 kg, Serdülő (13-14"/>
    <s v="Kata, serdülő lány"/>
    <s v="18"/>
    <s v="32 fős egyenes kiesés"/>
    <s v="11-16"/>
    <s v="Kiss Jázmin"/>
    <x v="5"/>
    <s v="HUN"/>
    <n v="0"/>
    <m/>
    <s v="Szigetszentmiklós"/>
    <d v="2026-03-22T00:00:00"/>
    <s v="Kiss Jázmin - TADASHII "/>
    <x v="1"/>
    <s v="TADASHII "/>
    <x v="1"/>
    <s v="serdülő"/>
  </r>
  <r>
    <x v="3"/>
    <s v="3A"/>
    <n v="809"/>
    <x v="1"/>
    <s v="Kata, -, 0-150 kg, Serdülő (13-14"/>
    <s v="Kata, serdülő lány"/>
    <s v="18"/>
    <s v="32 fős egyenes kiesés"/>
    <s v="11-16"/>
    <s v="Gaál-Vajai Tamara"/>
    <x v="4"/>
    <s v="HUN"/>
    <n v="0"/>
    <m/>
    <s v="Szigetszentmiklós"/>
    <d v="2026-03-22T00:00:00"/>
    <s v="Gaál-Vajai Tamara - Főnix Dojo"/>
    <x v="0"/>
    <s v="Főnix Dojo"/>
    <x v="1"/>
    <s v="serdülő"/>
  </r>
  <r>
    <x v="3"/>
    <s v="3A"/>
    <n v="810"/>
    <x v="1"/>
    <s v="Kata, -, 0-150 kg, Serdülő (13-14"/>
    <s v="Kata, serdülő lány"/>
    <s v="18"/>
    <s v="32 fős egyenes kiesés"/>
    <s v="11-16"/>
    <s v="Tóth-Krisó Míra"/>
    <x v="25"/>
    <s v="HUN"/>
    <n v="0"/>
    <m/>
    <s v="Szigetszentmiklós"/>
    <d v="2026-03-22T00:00:00"/>
    <s v="Tóth-Krisó Míra - Katana SE"/>
    <x v="0"/>
    <s v="Katana SE"/>
    <x v="1"/>
    <s v="serdülő"/>
  </r>
  <r>
    <x v="3"/>
    <s v="3A"/>
    <n v="811"/>
    <x v="0"/>
    <s v="Kumite, -, 0-50 kg, Ifjúsági (15-16"/>
    <s v="Kumite, ifjúsági fiú 50 kg"/>
    <s v="10"/>
    <s v="16 fős egyenes kiesés"/>
    <s v="1"/>
    <s v="Gombos-Weidinger Barnabás"/>
    <x v="17"/>
    <s v="HUN"/>
    <n v="10"/>
    <m/>
    <s v="Szigetszentmiklós"/>
    <d v="2026-03-22T00:00:00"/>
    <s v="Gombos-Weidinger Barnabás - BHMSE"/>
    <x v="0"/>
    <s v="BHMSE"/>
    <x v="1"/>
    <s v="ifjúsági"/>
  </r>
  <r>
    <x v="3"/>
    <s v="3A"/>
    <n v="812"/>
    <x v="0"/>
    <s v="Kumite, -, 0-50 kg, Ifjúsági (15-16"/>
    <s v="Kumite, ifjúsági fiú 50 kg"/>
    <s v="10"/>
    <s v="16 fős egyenes kiesés"/>
    <s v="2"/>
    <s v="Bollók Zalán"/>
    <x v="19"/>
    <s v="HUN"/>
    <n v="8"/>
    <m/>
    <s v="Szigetszentmiklós"/>
    <d v="2026-03-22T00:00:00"/>
    <s v="Bollók Zalán - VTSE"/>
    <x v="1"/>
    <s v="VTSE"/>
    <x v="1"/>
    <s v="ifjúsági"/>
  </r>
  <r>
    <x v="3"/>
    <s v="3A"/>
    <n v="813"/>
    <x v="0"/>
    <s v="Kumite, -, 0-50 kg, Ifjúsági (15-16"/>
    <s v="Kumite, ifjúsági fiú 50 kg"/>
    <s v="10"/>
    <s v="16 fős egyenes kiesés"/>
    <s v="3"/>
    <s v="Stoffán Ádám Vilmos"/>
    <x v="0"/>
    <s v="HUN"/>
    <n v="6"/>
    <m/>
    <s v="Szigetszentmiklós"/>
    <d v="2026-03-22T00:00:00"/>
    <s v="Stoffán Ádám Vilmos - Victory"/>
    <x v="0"/>
    <s v="Victory"/>
    <x v="1"/>
    <s v="ifjúsági"/>
  </r>
  <r>
    <x v="3"/>
    <s v="3A"/>
    <n v="814"/>
    <x v="0"/>
    <s v="Kumite, -, 0-50 kg, Ifjúsági (15-16"/>
    <s v="Kumite, ifjúsági fiú 50 kg"/>
    <s v="10"/>
    <s v="16 fős egyenes kiesés"/>
    <s v="3"/>
    <s v="Dorka Zalán"/>
    <x v="7"/>
    <s v="HUN"/>
    <n v="6"/>
    <m/>
    <s v="Szigetszentmiklós"/>
    <d v="2026-03-22T00:00:00"/>
    <s v="Dorka Zalán - KHSE"/>
    <x v="0"/>
    <s v="KHSE"/>
    <x v="1"/>
    <s v="ifjúsági"/>
  </r>
  <r>
    <x v="3"/>
    <s v="3A"/>
    <n v="815"/>
    <x v="0"/>
    <s v="Kumite, -, 0-50 kg, Ifjúsági (15-16"/>
    <s v="Kumite, ifjúsági fiú 50 kg"/>
    <s v="10"/>
    <s v="16 fős egyenes kiesés"/>
    <s v="5"/>
    <s v="Nagy Hunor"/>
    <x v="51"/>
    <s v="HUN"/>
    <n v="0"/>
    <s v="nem volt nyertes mérkőzése"/>
    <s v="Szigetszentmiklós"/>
    <d v="2026-03-22T00:00:00"/>
    <s v="Nagy Hunor - Derecske BUDO"/>
    <x v="0"/>
    <s v="Derecske BUDO"/>
    <x v="1"/>
    <s v="ifjúsági"/>
  </r>
  <r>
    <x v="3"/>
    <s v="3A"/>
    <n v="816"/>
    <x v="0"/>
    <s v="Kumite, -, 0-50 kg, Ifjúsági (15-16"/>
    <s v="Kumite, ifjúsági fiú 50 kg"/>
    <s v="10"/>
    <s v="16 fős egyenes kiesés"/>
    <s v="6"/>
    <s v="Zhang Dávid"/>
    <x v="7"/>
    <s v="HUN"/>
    <n v="3"/>
    <m/>
    <s v="Szigetszentmiklós"/>
    <d v="2026-03-22T00:00:00"/>
    <s v="Zhang Dávid - KHSE"/>
    <x v="0"/>
    <s v="KHSE"/>
    <x v="1"/>
    <s v="ifjúsági"/>
  </r>
  <r>
    <x v="3"/>
    <s v="3A"/>
    <n v="817"/>
    <x v="0"/>
    <s v="Kumite, -, 0-50 kg, Ifjúsági (15-16"/>
    <s v="Kumite, ifjúsági fiú 50 kg"/>
    <s v="10"/>
    <s v="16 fős egyenes kiesés"/>
    <s v="7-8"/>
    <s v="MOLNÁR MARCELL"/>
    <x v="0"/>
    <s v="HUN"/>
    <n v="0"/>
    <s v="nem volt nyertes mérkőzése"/>
    <s v="Szigetszentmiklós"/>
    <d v="2026-03-22T00:00:00"/>
    <s v="MOLNÁR MARCELL - Victory"/>
    <x v="0"/>
    <s v="Victory"/>
    <x v="1"/>
    <s v="ifjúsági"/>
  </r>
  <r>
    <x v="3"/>
    <s v="3A"/>
    <n v="818"/>
    <x v="0"/>
    <s v="Kumite, -, 0-50 kg, Ifjúsági (15-16"/>
    <s v="Kumite, ifjúsági fiú 50 kg"/>
    <s v="10"/>
    <s v="16 fős egyenes kiesés"/>
    <s v="7-8"/>
    <s v="Papp Dávid"/>
    <x v="55"/>
    <s v="HUN"/>
    <n v="3"/>
    <m/>
    <s v="Szigetszentmiklós"/>
    <d v="2026-03-22T00:00:00"/>
    <s v="Papp Dávid - Nyíradonyi KKE"/>
    <x v="0"/>
    <s v="Nyíradonyi KKE"/>
    <x v="1"/>
    <s v="ifjúsági"/>
  </r>
  <r>
    <x v="3"/>
    <s v="3A"/>
    <n v="819"/>
    <x v="0"/>
    <s v="Kumite, -, 0-50 kg, Ifjúsági (15-16"/>
    <s v="Kumite, ifjúsági fiú 50 kg"/>
    <s v="10"/>
    <s v="16 fős egyenes kiesés"/>
    <s v="11-16"/>
    <s v="Gáncs Arnold"/>
    <x v="20"/>
    <s v="HUN"/>
    <n v="0"/>
    <m/>
    <s v="Szigetszentmiklós"/>
    <d v="2026-03-22T00:00:00"/>
    <s v="Gáncs Arnold - Griff SE"/>
    <x v="0"/>
    <s v="Griff SE"/>
    <x v="1"/>
    <s v="ifjúsági"/>
  </r>
  <r>
    <x v="3"/>
    <s v="3A"/>
    <n v="820"/>
    <x v="0"/>
    <s v="Kumite, -, 0-50 kg, Ifjúsági (15-16"/>
    <s v="Kumite, ifjúsági fiú 50 kg"/>
    <s v="10"/>
    <s v="16 fős egyenes kiesés"/>
    <s v="11-16"/>
    <s v="Lukács Filip"/>
    <x v="17"/>
    <s v="HUN"/>
    <n v="0"/>
    <m/>
    <s v="Szigetszentmiklós"/>
    <d v="2026-03-22T00:00:00"/>
    <s v="Lukács Filip - BHMSE"/>
    <x v="0"/>
    <s v="BHMSE"/>
    <x v="1"/>
    <s v="ifjúsági"/>
  </r>
  <r>
    <x v="3"/>
    <s v="3A"/>
    <n v="821"/>
    <x v="0"/>
    <s v="Kumite, -, 50-55 kg, Ifjúsági (15-16"/>
    <s v="Kumite, ifjúsági fiú 55 kg"/>
    <s v="4"/>
    <s v="4 fős körmérkőzés"/>
    <s v="1"/>
    <s v="Berényi Imre Márk"/>
    <x v="3"/>
    <s v="HUN"/>
    <n v="8"/>
    <m/>
    <s v="Szigetszentmiklós"/>
    <d v="2026-03-22T00:00:00"/>
    <s v="Berényi Imre Márk - Shogun"/>
    <x v="0"/>
    <s v="Shogun"/>
    <x v="1"/>
    <s v="ifjúsági"/>
  </r>
  <r>
    <x v="3"/>
    <s v="3A"/>
    <n v="822"/>
    <x v="0"/>
    <s v="Kumite, -, 50-55 kg, Ifjúsági (15-16"/>
    <s v="Kumite, ifjúsági fiú 55 kg"/>
    <s v="4"/>
    <s v="4 fős körmérkőzés"/>
    <s v="2"/>
    <s v="Szőke Zalán"/>
    <x v="19"/>
    <s v="HUN"/>
    <n v="6"/>
    <m/>
    <s v="Szigetszentmiklós"/>
    <d v="2026-03-22T00:00:00"/>
    <s v="Szőke Zalán - VTSE"/>
    <x v="1"/>
    <s v="VTSE"/>
    <x v="1"/>
    <s v="ifjúsági"/>
  </r>
  <r>
    <x v="3"/>
    <s v="3A"/>
    <n v="823"/>
    <x v="0"/>
    <s v="Kumite, -, 50-55 kg, Ifjúsági (15-16"/>
    <s v="Kumite, ifjúsági fiú 55 kg"/>
    <s v="4"/>
    <s v="4 fős körmérkőzés"/>
    <s v="3"/>
    <s v="Balázs Máté"/>
    <x v="7"/>
    <s v="HUN"/>
    <n v="4"/>
    <m/>
    <s v="Szigetszentmiklós"/>
    <d v="2026-03-22T00:00:00"/>
    <s v="Balázs Máté - KHSE"/>
    <x v="0"/>
    <s v="KHSE"/>
    <x v="1"/>
    <s v="ifjúsági"/>
  </r>
  <r>
    <x v="3"/>
    <s v="3A"/>
    <n v="824"/>
    <x v="0"/>
    <s v="Kumite, -, 50-55 kg, Ifjúsági (15-16"/>
    <s v="Kumite, ifjúsági fiú 55 kg"/>
    <s v="4"/>
    <s v="4 fős körmérkőzés"/>
    <s v="4"/>
    <s v="Dürgő Máté"/>
    <x v="0"/>
    <s v="HUN"/>
    <n v="0"/>
    <m/>
    <s v="Szigetszentmiklós"/>
    <d v="2026-03-22T00:00:00"/>
    <s v="Dürgő Máté - Victory"/>
    <x v="0"/>
    <s v="Victory"/>
    <x v="1"/>
    <s v="ifjúsági"/>
  </r>
  <r>
    <x v="3"/>
    <s v="3A"/>
    <n v="825"/>
    <x v="0"/>
    <s v="Kumite, -, 55-60 kg, Ifjúsági (15-16"/>
    <s v="Kumite, ifjúsági fiú 60 kg"/>
    <s v="5"/>
    <s v="5 fős körmérkőzés"/>
    <s v="1"/>
    <s v="Ménes Milán"/>
    <x v="7"/>
    <s v="HUN"/>
    <n v="10"/>
    <m/>
    <s v="Szigetszentmiklós"/>
    <d v="2026-03-22T00:00:00"/>
    <s v="Ménes Milán - KHSE"/>
    <x v="0"/>
    <s v="KHSE"/>
    <x v="1"/>
    <s v="ifjúsági"/>
  </r>
  <r>
    <x v="3"/>
    <s v="3A"/>
    <n v="826"/>
    <x v="0"/>
    <s v="Kumite, -, 55-60 kg, Ifjúsági (15-16"/>
    <s v="Kumite, ifjúsági fiú 60 kg"/>
    <s v="5"/>
    <s v="5 fős körmérkőzés"/>
    <s v="2"/>
    <s v="Tóth Gergely"/>
    <x v="33"/>
    <s v="HUN"/>
    <n v="8"/>
    <m/>
    <s v="Szigetszentmiklós"/>
    <d v="2026-03-22T00:00:00"/>
    <s v="Tóth Gergely - Ichiro Dojo"/>
    <x v="1"/>
    <s v="Ichiro Dojo"/>
    <x v="1"/>
    <s v="ifjúsági"/>
  </r>
  <r>
    <x v="3"/>
    <s v="3A"/>
    <n v="827"/>
    <x v="0"/>
    <s v="Kumite, -, 55-60 kg, Ifjúsági (15-16"/>
    <s v="Kumite, ifjúsági fiú 60 kg"/>
    <s v="5"/>
    <s v="5 fős körmérkőzés"/>
    <s v="3"/>
    <s v="Flaisz Attila"/>
    <x v="5"/>
    <s v="HUN"/>
    <n v="6"/>
    <m/>
    <s v="Szigetszentmiklós"/>
    <d v="2026-03-22T00:00:00"/>
    <s v="Flaisz Attila - TADASHII "/>
    <x v="1"/>
    <s v="TADASHII "/>
    <x v="1"/>
    <s v="ifjúsági"/>
  </r>
  <r>
    <x v="3"/>
    <s v="3A"/>
    <n v="828"/>
    <x v="0"/>
    <s v="Kumite, -, 55-60 kg, Ifjúsági (15-16"/>
    <s v="Kumite, ifjúsági fiú 60 kg"/>
    <s v="5"/>
    <s v="5 fős körmérkőzés"/>
    <s v="4"/>
    <s v="Banka Boldizsár"/>
    <x v="47"/>
    <s v="HUN"/>
    <n v="4"/>
    <m/>
    <s v="Szigetszentmiklós"/>
    <d v="2026-03-22T00:00:00"/>
    <s v="Banka Boldizsár - KYO Fighter SE"/>
    <x v="0"/>
    <s v="KYO Fighter SE"/>
    <x v="1"/>
    <s v="ifjúsági"/>
  </r>
  <r>
    <x v="3"/>
    <s v="3A"/>
    <n v="829"/>
    <x v="0"/>
    <s v="Kumite, -, 55-60 kg, Ifjúsági (15-16"/>
    <s v="Kumite, ifjúsági fiú 60 kg"/>
    <s v="5"/>
    <s v="5 fős körmérkőzés"/>
    <s v="5"/>
    <s v="Kovács Vajk Zoltán"/>
    <x v="25"/>
    <s v="HUN"/>
    <n v="3"/>
    <m/>
    <s v="Szigetszentmiklós"/>
    <d v="2026-03-22T00:00:00"/>
    <s v="Kovács Vajk Zoltán - Katana SE"/>
    <x v="0"/>
    <s v="Katana SE"/>
    <x v="1"/>
    <s v="ifjúsági"/>
  </r>
  <r>
    <x v="3"/>
    <s v="3A"/>
    <n v="830"/>
    <x v="0"/>
    <s v="Kumite, -, 60-65 kg, Ifjúsági (15-16"/>
    <s v="Kumite, ifjúsági fiú 65 kg"/>
    <s v="10"/>
    <s v="16 fős egyenes kiesés"/>
    <s v="1"/>
    <s v="Farkas Áron Péter"/>
    <x v="33"/>
    <s v="HUN"/>
    <n v="10"/>
    <m/>
    <s v="Szigetszentmiklós"/>
    <d v="2026-03-22T00:00:00"/>
    <s v="Farkas Áron Péter - Ichiro Dojo"/>
    <x v="1"/>
    <s v="Ichiro Dojo"/>
    <x v="1"/>
    <s v="ifjúsági"/>
  </r>
  <r>
    <x v="3"/>
    <s v="3A"/>
    <n v="831"/>
    <x v="0"/>
    <s v="Kumite, -, 60-65 kg, Ifjúsági (15-16"/>
    <s v="Kumite, ifjúsági fiú 65 kg"/>
    <s v="10"/>
    <s v="16 fős egyenes kiesés"/>
    <s v="2"/>
    <s v="Magasi Attila"/>
    <x v="4"/>
    <s v="HUN"/>
    <n v="8"/>
    <m/>
    <s v="Szigetszentmiklós"/>
    <d v="2026-03-22T00:00:00"/>
    <s v="Magasi Attila - Főnix Dojo"/>
    <x v="0"/>
    <s v="Főnix Dojo"/>
    <x v="1"/>
    <s v="ifjúsági"/>
  </r>
  <r>
    <x v="3"/>
    <s v="3A"/>
    <n v="832"/>
    <x v="0"/>
    <s v="Kumite, -, 60-65 kg, Ifjúsági (15-16"/>
    <s v="Kumite, ifjúsági fiú 65 kg"/>
    <s v="10"/>
    <s v="16 fős egyenes kiesés"/>
    <s v="3"/>
    <s v="Tarsoly Norbert"/>
    <x v="10"/>
    <s v="HUN"/>
    <n v="6"/>
    <m/>
    <s v="Szigetszentmiklós"/>
    <d v="2026-03-22T00:00:00"/>
    <s v="Tarsoly Norbert - Nintai KKSE"/>
    <x v="1"/>
    <s v="Nintai KKSE"/>
    <x v="1"/>
    <s v="ifjúsági"/>
  </r>
  <r>
    <x v="3"/>
    <s v="3A"/>
    <n v="833"/>
    <x v="0"/>
    <s v="Kumite, -, 60-65 kg, Ifjúsági (15-16"/>
    <s v="Kumite, ifjúsági fiú 65 kg"/>
    <s v="10"/>
    <s v="16 fős egyenes kiesés"/>
    <s v="3"/>
    <s v="Tutor Barnabás "/>
    <x v="51"/>
    <s v="HUN"/>
    <n v="6"/>
    <m/>
    <s v="Szigetszentmiklós"/>
    <d v="2026-03-22T00:00:00"/>
    <s v="Tutor Barnabás  - Derecske BUDO"/>
    <x v="0"/>
    <s v="Derecske BUDO"/>
    <x v="1"/>
    <s v="ifjúsági"/>
  </r>
  <r>
    <x v="3"/>
    <s v="3A"/>
    <n v="834"/>
    <x v="0"/>
    <s v="Kumite, -, 60-65 kg, Ifjúsági (15-16"/>
    <s v="Kumite, ifjúsági fiú 65 kg"/>
    <s v="10"/>
    <s v="16 fős egyenes kiesés"/>
    <s v="5"/>
    <s v="Bagó Balázs"/>
    <x v="19"/>
    <s v="HUN"/>
    <n v="3"/>
    <m/>
    <s v="Szigetszentmiklós"/>
    <d v="2026-03-22T00:00:00"/>
    <s v="Bagó Balázs - VTSE"/>
    <x v="1"/>
    <s v="VTSE"/>
    <x v="1"/>
    <s v="ifjúsági"/>
  </r>
  <r>
    <x v="3"/>
    <s v="3A"/>
    <n v="835"/>
    <x v="0"/>
    <s v="Kumite, -, 60-65 kg, Ifjúsági (15-16"/>
    <s v="Kumite, ifjúsági fiú 65 kg"/>
    <s v="10"/>
    <s v="16 fős egyenes kiesés"/>
    <s v="6"/>
    <s v="Molnár Bence Noel"/>
    <x v="29"/>
    <s v="HUN"/>
    <n v="0"/>
    <s v="nem volt nyertes mérkőzése"/>
    <s v="Szigetszentmiklós"/>
    <d v="2026-03-22T00:00:00"/>
    <s v="Molnár Bence Noel - WARRIORS TEAM"/>
    <x v="0"/>
    <s v="WARRIORS TEAM"/>
    <x v="1"/>
    <s v="ifjúsági"/>
  </r>
  <r>
    <x v="3"/>
    <s v="3A"/>
    <n v="836"/>
    <x v="0"/>
    <s v="Kumite, -, 60-65 kg, Ifjúsági (15-16"/>
    <s v="Kumite, ifjúsági fiú 65 kg"/>
    <s v="10"/>
    <s v="16 fős egyenes kiesés"/>
    <s v="7-8"/>
    <s v="Balogh Levente"/>
    <x v="56"/>
    <s v="HUN"/>
    <n v="0"/>
    <s v="nem volt nyertes mérkőzése"/>
    <s v="Szigetszentmiklós"/>
    <d v="2026-03-22T00:00:00"/>
    <s v="Balogh Levente - Wheelmaker dojo SE"/>
    <x v="1"/>
    <s v="Wheelmaker dojo SE"/>
    <x v="1"/>
    <s v="ifjúsági"/>
  </r>
  <r>
    <x v="3"/>
    <s v="3A"/>
    <n v="837"/>
    <x v="0"/>
    <s v="Kumite, -, 60-65 kg, Ifjúsági (15-16"/>
    <s v="Kumite, ifjúsági fiú 65 kg"/>
    <s v="10"/>
    <s v="16 fős egyenes kiesés"/>
    <s v="7-8"/>
    <s v="Alkaddour Ali Áron"/>
    <x v="17"/>
    <s v="HUN"/>
    <n v="3"/>
    <m/>
    <s v="Szigetszentmiklós"/>
    <d v="2026-03-22T00:00:00"/>
    <s v="Alkaddour Ali Áron - BHMSE"/>
    <x v="0"/>
    <s v="BHMSE"/>
    <x v="1"/>
    <s v="ifjúsági"/>
  </r>
  <r>
    <x v="3"/>
    <s v="3A"/>
    <n v="838"/>
    <x v="0"/>
    <s v="Kumite, -, 60-65 kg, Ifjúsági (15-16"/>
    <s v="Kumite, ifjúsági fiú 65 kg"/>
    <s v="10"/>
    <s v="16 fős egyenes kiesés"/>
    <s v="11-16"/>
    <s v="Fekete Szilárd"/>
    <x v="36"/>
    <s v="HUN"/>
    <n v="0"/>
    <m/>
    <s v="Szigetszentmiklós"/>
    <d v="2026-03-22T00:00:00"/>
    <s v="Fekete Szilárd - POWER SE."/>
    <x v="0"/>
    <s v="POWER SE."/>
    <x v="1"/>
    <s v="ifjúsági"/>
  </r>
  <r>
    <x v="3"/>
    <s v="3A"/>
    <n v="839"/>
    <x v="0"/>
    <s v="Kumite, -, 60-65 kg, Ifjúsági (15-16"/>
    <s v="Kumite, ifjúsági fiú 65 kg"/>
    <s v="10"/>
    <s v="16 fős egyenes kiesés"/>
    <s v="11-16"/>
    <s v="Baranyi Tibor"/>
    <x v="36"/>
    <s v="HUN"/>
    <n v="0"/>
    <m/>
    <s v="Szigetszentmiklós"/>
    <d v="2026-03-22T00:00:00"/>
    <s v="Baranyi Tibor - POWER SE."/>
    <x v="0"/>
    <s v="POWER SE."/>
    <x v="1"/>
    <s v="ifjúsági"/>
  </r>
  <r>
    <x v="3"/>
    <s v="3A"/>
    <n v="840"/>
    <x v="0"/>
    <s v="Kumite, -, 65-70 kg, Ifjúsági (15-16"/>
    <s v="Kumite, ifjúsági fiú 70 kg"/>
    <s v="3"/>
    <s v="3 fős körmérkőzés"/>
    <s v="1"/>
    <s v="Dezső Norbert"/>
    <x v="57"/>
    <s v="HUN"/>
    <n v="6"/>
    <m/>
    <s v="Szigetszentmiklós"/>
    <d v="2026-03-22T00:00:00"/>
    <s v="Dezső Norbert - Magna Dojo"/>
    <x v="0"/>
    <s v="Magna Dojo"/>
    <x v="1"/>
    <s v="ifjúsági"/>
  </r>
  <r>
    <x v="3"/>
    <s v="3A"/>
    <n v="841"/>
    <x v="0"/>
    <s v="Kumite, -, 65-70 kg, Ifjúsági (15-16"/>
    <s v="Kumite, ifjúsági fiú 70 kg"/>
    <s v="3"/>
    <s v="3 fős körmérkőzés"/>
    <s v="2"/>
    <s v="Kurucz Gergő"/>
    <x v="0"/>
    <s v="HUN"/>
    <n v="4"/>
    <m/>
    <s v="Szigetszentmiklós"/>
    <d v="2026-03-22T00:00:00"/>
    <s v="Kurucz Gergő - Victory"/>
    <x v="0"/>
    <s v="Victory"/>
    <x v="1"/>
    <s v="ifjúsági"/>
  </r>
  <r>
    <x v="3"/>
    <s v="3A"/>
    <n v="842"/>
    <x v="0"/>
    <s v="Kumite, -, 65-70 kg, Ifjúsági (15-16"/>
    <s v="Kumite, ifjúsági fiú 70 kg"/>
    <s v="3"/>
    <s v="3 fős körmérkőzés"/>
    <s v="3"/>
    <s v="Novák Balázs"/>
    <x v="12"/>
    <s v="HUN"/>
    <n v="0"/>
    <m/>
    <s v="Szigetszentmiklós"/>
    <d v="2026-03-22T00:00:00"/>
    <s v="Novák Balázs - Bendiák Dojo"/>
    <x v="0"/>
    <s v="Bendiák Dojo"/>
    <x v="1"/>
    <s v="ifjúsági"/>
  </r>
  <r>
    <x v="3"/>
    <s v="3A"/>
    <n v="843"/>
    <x v="0"/>
    <s v="Kumite, -, 70-75 kg, Ifjúsági (15-16"/>
    <s v="Kumite, ifjúsági fiú 75 kg"/>
    <s v="7"/>
    <s v="8 fős egyenes kiesés"/>
    <s v="1"/>
    <s v="Szabó Levente"/>
    <x v="29"/>
    <s v="HUN"/>
    <n v="8"/>
    <m/>
    <s v="Szigetszentmiklós"/>
    <d v="2026-03-22T00:00:00"/>
    <s v="Szabó Levente - WARRIORS TEAM"/>
    <x v="0"/>
    <s v="WARRIORS TEAM"/>
    <x v="1"/>
    <s v="ifjúsági"/>
  </r>
  <r>
    <x v="3"/>
    <s v="3A"/>
    <n v="844"/>
    <x v="0"/>
    <s v="Kumite, -, 70-75 kg, Ifjúsági (15-16"/>
    <s v="Kumite, ifjúsági fiú 75 kg"/>
    <s v="7"/>
    <s v="8 fős egyenes kiesés"/>
    <s v="2"/>
    <s v="Csonka Máté"/>
    <x v="13"/>
    <s v="HUN"/>
    <n v="6"/>
    <m/>
    <s v="Szigetszentmiklós"/>
    <d v="2026-03-22T00:00:00"/>
    <s v="Csonka Máté - Kamikaze S"/>
    <x v="0"/>
    <s v="Kamikaze S"/>
    <x v="1"/>
    <s v="ifjúsági"/>
  </r>
  <r>
    <x v="3"/>
    <s v="3A"/>
    <n v="845"/>
    <x v="0"/>
    <s v="Kumite, -, 70-75 kg, Ifjúsági (15-16"/>
    <s v="Kumite, ifjúsági fiú 75 kg"/>
    <s v="7"/>
    <s v="8 fős egyenes kiesés"/>
    <s v="3"/>
    <s v="Vass Noel"/>
    <x v="7"/>
    <s v="HUN"/>
    <n v="4"/>
    <m/>
    <s v="Szigetszentmiklós"/>
    <d v="2026-03-22T00:00:00"/>
    <s v="Vass Noel - KHSE"/>
    <x v="0"/>
    <s v="KHSE"/>
    <x v="1"/>
    <s v="ifjúsági"/>
  </r>
  <r>
    <x v="3"/>
    <s v="3A"/>
    <n v="846"/>
    <x v="0"/>
    <s v="Kumite, -, 70-75 kg, Ifjúsági (15-16"/>
    <s v="Kumite, ifjúsági fiú 75 kg"/>
    <s v="7"/>
    <s v="8 fős egyenes kiesés"/>
    <s v="3"/>
    <s v="Gál Milán György "/>
    <x v="51"/>
    <s v="HUN"/>
    <n v="4"/>
    <m/>
    <s v="Szigetszentmiklós"/>
    <d v="2026-03-22T00:00:00"/>
    <s v="Gál Milán György  - Derecske BUDO"/>
    <x v="0"/>
    <s v="Derecske BUDO"/>
    <x v="1"/>
    <s v="ifjúsági"/>
  </r>
  <r>
    <x v="3"/>
    <s v="3A"/>
    <n v="847"/>
    <x v="0"/>
    <s v="Kumite, -, 70-75 kg, Ifjúsági (15-16"/>
    <s v="Kumite, ifjúsági fiú 75 kg"/>
    <s v="7"/>
    <s v="8 fős egyenes kiesés"/>
    <s v="5"/>
    <s v="Németh Adrián"/>
    <x v="34"/>
    <s v="HUN"/>
    <n v="0"/>
    <m/>
    <s v="Szigetszentmiklós"/>
    <d v="2026-03-22T00:00:00"/>
    <s v="Németh Adrián - Cs.S.E."/>
    <x v="0"/>
    <s v="Cs.S.E."/>
    <x v="1"/>
    <s v="ifjúsági"/>
  </r>
  <r>
    <x v="3"/>
    <s v="3A"/>
    <n v="848"/>
    <x v="0"/>
    <s v="Kumite, -, 70-75 kg, Ifjúsági (15-16"/>
    <s v="Kumite, ifjúsági fiú 75 kg"/>
    <s v="7"/>
    <s v="8 fős egyenes kiesés"/>
    <s v="7-8"/>
    <s v="Ágoston Bence"/>
    <x v="7"/>
    <s v="HUN"/>
    <n v="0"/>
    <m/>
    <s v="Szigetszentmiklós"/>
    <d v="2026-03-22T00:00:00"/>
    <s v="Ágoston Bence - KHSE"/>
    <x v="0"/>
    <s v="KHSE"/>
    <x v="1"/>
    <s v="ifjúsági"/>
  </r>
  <r>
    <x v="3"/>
    <s v="3A"/>
    <n v="849"/>
    <x v="0"/>
    <s v="Kumite, -, 70-75 kg, Ifjúsági (15-16"/>
    <s v="Kumite, ifjúsági fiú 75 kg"/>
    <s v="7"/>
    <s v="8 fős egyenes kiesés"/>
    <s v="7-8"/>
    <s v="Vancsó Kornél"/>
    <x v="12"/>
    <s v="HUN"/>
    <n v="0"/>
    <m/>
    <s v="Szigetszentmiklós"/>
    <d v="2026-03-22T00:00:00"/>
    <s v="Vancsó Kornél - Bendiák Dojo"/>
    <x v="0"/>
    <s v="Bendiák Dojo"/>
    <x v="1"/>
    <s v="ifjúsági"/>
  </r>
  <r>
    <x v="3"/>
    <s v="3A"/>
    <n v="850"/>
    <x v="0"/>
    <s v="Kumite, -, 75-999 kg, Ifjúsági (15-16"/>
    <s v="Kumite, ifjúsági fiú +75 kg"/>
    <s v="7"/>
    <s v="8 fős egyenes kiesés"/>
    <s v="1"/>
    <s v="Garamszegi Zente"/>
    <x v="29"/>
    <s v="HUN"/>
    <n v="8"/>
    <m/>
    <s v="Szigetszentmiklós"/>
    <d v="2026-03-22T00:00:00"/>
    <s v="Garamszegi Zente - WARRIORS TEAM"/>
    <x v="0"/>
    <s v="WARRIORS TEAM"/>
    <x v="1"/>
    <s v="ifjúsági"/>
  </r>
  <r>
    <x v="3"/>
    <s v="3A"/>
    <n v="851"/>
    <x v="0"/>
    <s v="Kumite, -, 75-999 kg, Ifjúsági (15-16"/>
    <s v="Kumite, ifjúsági fiú +75 kg"/>
    <s v="7"/>
    <s v="8 fős egyenes kiesés"/>
    <s v="2"/>
    <s v="Szalai Brendon"/>
    <x v="10"/>
    <s v="HUN"/>
    <n v="6"/>
    <m/>
    <s v="Szigetszentmiklós"/>
    <d v="2026-03-22T00:00:00"/>
    <s v="Szalai Brendon - Nintai KKSE"/>
    <x v="1"/>
    <s v="Nintai KKSE"/>
    <x v="1"/>
    <s v="ifjúsági"/>
  </r>
  <r>
    <x v="3"/>
    <s v="3A"/>
    <n v="852"/>
    <x v="0"/>
    <s v="Kumite, -, 75-999 kg, Ifjúsági (15-16"/>
    <s v="Kumite, ifjúsági fiú +75 kg"/>
    <s v="7"/>
    <s v="8 fős egyenes kiesés"/>
    <s v="3"/>
    <s v="Novák Máté"/>
    <x v="12"/>
    <s v="HUN"/>
    <n v="4"/>
    <m/>
    <s v="Szigetszentmiklós"/>
    <d v="2026-03-22T00:00:00"/>
    <s v="Novák Máté - Bendiák Dojo"/>
    <x v="0"/>
    <s v="Bendiák Dojo"/>
    <x v="1"/>
    <s v="ifjúsági"/>
  </r>
  <r>
    <x v="3"/>
    <s v="3A"/>
    <n v="853"/>
    <x v="0"/>
    <s v="Kumite, -, 75-999 kg, Ifjúsági (15-16"/>
    <s v="Kumite, ifjúsági fiú +75 kg"/>
    <s v="7"/>
    <s v="8 fős egyenes kiesés"/>
    <s v="3"/>
    <s v="Vida Péter"/>
    <x v="49"/>
    <s v="HUN"/>
    <n v="4"/>
    <m/>
    <s v="Szigetszentmiklós"/>
    <d v="2026-03-22T00:00:00"/>
    <s v="Vida Péter - Buke Reikon HRSE"/>
    <x v="0"/>
    <s v="Buke Reikon HRSE"/>
    <x v="1"/>
    <s v="ifjúsági"/>
  </r>
  <r>
    <x v="3"/>
    <s v="3A"/>
    <n v="854"/>
    <x v="0"/>
    <s v="Kumite, -, 75-999 kg, Ifjúsági (15-16"/>
    <s v="Kumite, ifjúsági fiú +75 kg"/>
    <s v="7"/>
    <s v="8 fős egyenes kiesés"/>
    <s v="5"/>
    <s v="Vörös Tibor"/>
    <x v="38"/>
    <s v="HUN"/>
    <n v="0"/>
    <m/>
    <s v="Szigetszentmiklós"/>
    <d v="2026-03-22T00:00:00"/>
    <s v="Vörös Tibor - RDKKSE"/>
    <x v="0"/>
    <s v="RDKKSE"/>
    <x v="1"/>
    <s v="ifjúsági"/>
  </r>
  <r>
    <x v="3"/>
    <s v="3A"/>
    <n v="855"/>
    <x v="0"/>
    <s v="Kumite, -, 75-999 kg, Ifjúsági (15-16"/>
    <s v="Kumite, ifjúsági fiú +75 kg"/>
    <s v="7"/>
    <s v="8 fős egyenes kiesés"/>
    <s v="7-8"/>
    <s v="Nagy Gábor András"/>
    <x v="36"/>
    <s v="HUN"/>
    <n v="0"/>
    <m/>
    <s v="Szigetszentmiklós"/>
    <d v="2026-03-22T00:00:00"/>
    <s v="Nagy Gábor András - POWER SE."/>
    <x v="0"/>
    <s v="POWER SE."/>
    <x v="1"/>
    <s v="ifjúsági"/>
  </r>
  <r>
    <x v="3"/>
    <s v="3A"/>
    <n v="856"/>
    <x v="0"/>
    <s v="Kumite, -, 75-999 kg, Ifjúsági (15-16"/>
    <s v="Kumite, ifjúsági fiú +75 kg"/>
    <s v="7"/>
    <s v="8 fős egyenes kiesés"/>
    <s v="7-8"/>
    <s v="Szabó Lóránt"/>
    <x v="13"/>
    <s v="HUN"/>
    <n v="0"/>
    <m/>
    <s v="Szigetszentmiklós"/>
    <d v="2026-03-22T00:00:00"/>
    <s v="Szabó Lóránt - Kamikaze S"/>
    <x v="0"/>
    <s v="Kamikaze S"/>
    <x v="1"/>
    <s v="ifjúsági"/>
  </r>
  <r>
    <x v="3"/>
    <s v="3A"/>
    <n v="857"/>
    <x v="1"/>
    <s v="Kata, -, 0-160 kg, Ifjúsági (15-16"/>
    <s v="Kata, ifjúsági fiú"/>
    <s v="13"/>
    <s v="16 fős egyenes kiesés + 3. hely"/>
    <s v="1"/>
    <s v="Berényi Imre Márk"/>
    <x v="3"/>
    <s v="HUN"/>
    <n v="8"/>
    <s v="13 fő esetén: 1-8 helyezett"/>
    <s v="Szigetszentmiklós"/>
    <d v="2026-03-22T00:00:00"/>
    <s v="Berényi Imre Márk - Shogun"/>
    <x v="0"/>
    <s v="Shogun"/>
    <x v="1"/>
    <s v="ifjúsági"/>
  </r>
  <r>
    <x v="3"/>
    <s v="3A"/>
    <n v="858"/>
    <x v="1"/>
    <s v="Kata, -, 0-160 kg, Ifjúsági (15-16"/>
    <s v="Kata, ifjúsági fiú"/>
    <s v="13"/>
    <s v="16 fős egyenes kiesés + 3. hely"/>
    <s v="2"/>
    <s v="Lóránt Varga Milán"/>
    <x v="3"/>
    <s v="HUN"/>
    <n v="6"/>
    <s v="13 fő esetén: 1-8 helyezett"/>
    <s v="Szigetszentmiklós"/>
    <d v="2026-03-22T00:00:00"/>
    <s v="Lóránt Varga Milán - Shogun"/>
    <x v="0"/>
    <s v="Shogun"/>
    <x v="1"/>
    <s v="ifjúsági"/>
  </r>
  <r>
    <x v="3"/>
    <s v="3A"/>
    <n v="859"/>
    <x v="1"/>
    <s v="Kata, -, 0-160 kg, Ifjúsági (15-16"/>
    <s v="Kata, ifjúsági fiú"/>
    <s v="13"/>
    <s v="16 fős egyenes kiesés + 3. hely"/>
    <s v="3"/>
    <s v="Németh Adrián"/>
    <x v="34"/>
    <s v="HUN"/>
    <n v="4"/>
    <s v="13 fő esetén: 1-8 helyezett"/>
    <s v="Szigetszentmiklós"/>
    <d v="2026-03-22T00:00:00"/>
    <s v="Németh Adrián - Cs.S.E."/>
    <x v="0"/>
    <s v="Cs.S.E."/>
    <x v="1"/>
    <s v="ifjúsági"/>
  </r>
  <r>
    <x v="3"/>
    <s v="3A"/>
    <n v="860"/>
    <x v="1"/>
    <s v="Kata, -, 0-160 kg, Ifjúsági (15-16"/>
    <s v="Kata, ifjúsági fiú"/>
    <s v="13"/>
    <s v="16 fős egyenes kiesés + 3. hely"/>
    <s v="4"/>
    <s v="Szalontai Levente"/>
    <x v="15"/>
    <s v="HUN"/>
    <n v="3"/>
    <s v="13 fő esetén: 1-8 helyezett"/>
    <s v="Szigetszentmiklós"/>
    <d v="2026-03-22T00:00:00"/>
    <s v="Szalontai Levente - KSE Tarján"/>
    <x v="0"/>
    <s v="KSE Tarján"/>
    <x v="1"/>
    <s v="ifjúsági"/>
  </r>
  <r>
    <x v="3"/>
    <s v="3A"/>
    <n v="861"/>
    <x v="1"/>
    <s v="Kata, -, 0-160 kg, Ifjúsági (15-16"/>
    <s v="Kata, ifjúsági fiú"/>
    <s v="13"/>
    <s v="16 fős egyenes kiesés + 3. hely"/>
    <s v="5"/>
    <s v="MOLNÁR MARCELL"/>
    <x v="0"/>
    <s v="HUN"/>
    <n v="2"/>
    <s v="13 fő esetén: 1-8 helyezett"/>
    <s v="Szigetszentmiklós"/>
    <d v="2026-03-22T00:00:00"/>
    <s v="MOLNÁR MARCELL - Victory"/>
    <x v="0"/>
    <s v="Victory"/>
    <x v="1"/>
    <s v="ifjúsági"/>
  </r>
  <r>
    <x v="3"/>
    <s v="3A"/>
    <n v="862"/>
    <x v="1"/>
    <s v="Kata, -, 0-160 kg, Ifjúsági (15-16"/>
    <s v="Kata, ifjúsági fiú"/>
    <s v="13"/>
    <s v="16 fős egyenes kiesés + 3. hely"/>
    <s v="6"/>
    <s v="Novák Balázs"/>
    <x v="12"/>
    <s v="HUN"/>
    <n v="2"/>
    <s v="13 fő esetén: 1-8 helyezett"/>
    <s v="Szigetszentmiklós"/>
    <d v="2026-03-22T00:00:00"/>
    <s v="Novák Balázs - Bendiák Dojo"/>
    <x v="0"/>
    <s v="Bendiák Dojo"/>
    <x v="1"/>
    <s v="ifjúsági"/>
  </r>
  <r>
    <x v="3"/>
    <s v="3A"/>
    <n v="863"/>
    <x v="1"/>
    <s v="Kata, -, 0-160 kg, Ifjúsági (15-16"/>
    <s v="Kata, ifjúsági fiú"/>
    <s v="13"/>
    <s v="16 fős egyenes kiesés + 3. hely"/>
    <s v="7-8"/>
    <s v="Ungvári Levente"/>
    <x v="3"/>
    <s v="HUN"/>
    <n v="2"/>
    <s v="13 fő esetén: 1-8 helyezett"/>
    <s v="Szigetszentmiklós"/>
    <d v="2026-03-22T00:00:00"/>
    <s v="Ungvári Levente - Shogun"/>
    <x v="0"/>
    <s v="Shogun"/>
    <x v="1"/>
    <s v="ifjúsági"/>
  </r>
  <r>
    <x v="3"/>
    <s v="3A"/>
    <n v="864"/>
    <x v="1"/>
    <s v="Kata, -, 0-160 kg, Ifjúsági (15-16"/>
    <s v="Kata, ifjúsági fiú"/>
    <s v="13"/>
    <s v="16 fős egyenes kiesés + 3. hely"/>
    <s v="7-8"/>
    <s v="Novák Máté"/>
    <x v="12"/>
    <s v="HUN"/>
    <n v="2"/>
    <s v="13 fő esetén: 1-8 helyezett"/>
    <s v="Szigetszentmiklós"/>
    <d v="2026-03-22T00:00:00"/>
    <s v="Novák Máté - Bendiák Dojo"/>
    <x v="0"/>
    <s v="Bendiák Dojo"/>
    <x v="1"/>
    <s v="ifjúsági"/>
  </r>
  <r>
    <x v="3"/>
    <s v="3A"/>
    <n v="865"/>
    <x v="1"/>
    <s v="Kata, -, 0-160 kg, Ifjúsági (15-16"/>
    <s v="Kata, ifjúsági fiú"/>
    <s v="13"/>
    <s v="16 fős egyenes kiesés + 3. hely"/>
    <s v="11-16"/>
    <s v="Lukács Filip"/>
    <x v="17"/>
    <s v="HUN"/>
    <n v="0"/>
    <s v="13 fő esetén: 1-8 helyezett"/>
    <s v="Szigetszentmiklós"/>
    <d v="2026-03-22T00:00:00"/>
    <s v="Lukács Filip - BHMSE"/>
    <x v="0"/>
    <s v="BHMSE"/>
    <x v="1"/>
    <s v="ifjúsági"/>
  </r>
  <r>
    <x v="3"/>
    <s v="3A"/>
    <n v="866"/>
    <x v="1"/>
    <s v="Kata, -, 0-160 kg, Ifjúsági (15-16"/>
    <s v="Kata, ifjúsági fiú"/>
    <s v="13"/>
    <s v="16 fős egyenes kiesés + 3. hely"/>
    <s v="11-16"/>
    <s v="Baranyai Áron"/>
    <x v="17"/>
    <s v="HUN"/>
    <n v="0"/>
    <s v="13 fő esetén: 1-8 helyezett"/>
    <s v="Szigetszentmiklós"/>
    <d v="2026-03-22T00:00:00"/>
    <s v="Baranyai Áron - BHMSE"/>
    <x v="0"/>
    <s v="BHMSE"/>
    <x v="1"/>
    <s v="ifjúsági"/>
  </r>
  <r>
    <x v="3"/>
    <s v="3A"/>
    <n v="867"/>
    <x v="1"/>
    <s v="Kata, -, 0-160 kg, Ifjúsági (15-16"/>
    <s v="Kata, ifjúsági fiú"/>
    <s v="13"/>
    <s v="16 fős egyenes kiesés + 3. hely"/>
    <s v="11-16"/>
    <s v="Gyarmati Viktor"/>
    <x v="17"/>
    <s v="HUN"/>
    <n v="0"/>
    <s v="13 fő esetén: 1-8 helyezett"/>
    <s v="Szigetszentmiklós"/>
    <d v="2026-03-22T00:00:00"/>
    <s v="Gyarmati Viktor - BHMSE"/>
    <x v="0"/>
    <s v="BHMSE"/>
    <x v="1"/>
    <s v="ifjúsági"/>
  </r>
  <r>
    <x v="3"/>
    <s v="3A"/>
    <n v="868"/>
    <x v="1"/>
    <s v="Kata, -, 0-160 kg, Ifjúsági (15-16"/>
    <s v="Kata, ifjúsági fiú"/>
    <s v="13"/>
    <s v="16 fős egyenes kiesés + 3. hely"/>
    <s v="11-16"/>
    <s v="Varga Bálint Norbert"/>
    <x v="32"/>
    <s v="HUN"/>
    <n v="0"/>
    <s v="13 fő esetén: 1-8 helyezett"/>
    <s v="Szigetszentmiklós"/>
    <d v="2026-03-22T00:00:00"/>
    <s v="Varga Bálint Norbert - ARSC"/>
    <x v="0"/>
    <s v="ARSC"/>
    <x v="1"/>
    <s v="ifjúsági"/>
  </r>
  <r>
    <x v="3"/>
    <s v="3A"/>
    <n v="869"/>
    <x v="1"/>
    <s v="Kata, -, 0-160 kg, Ifjúsági (15-16"/>
    <s v="Kata, ifjúsági fiú"/>
    <s v="13"/>
    <s v="16 fős egyenes kiesés + 3. hely"/>
    <s v="11-16"/>
    <s v="Banka Boldizsár"/>
    <x v="47"/>
    <s v="HUN"/>
    <n v="0"/>
    <s v="13 fő esetén: 1-8 helyezett"/>
    <s v="Szigetszentmiklós"/>
    <d v="2026-03-22T00:00:00"/>
    <s v="Banka Boldizsár - KYO Fighter SE"/>
    <x v="0"/>
    <s v="KYO Fighter SE"/>
    <x v="1"/>
    <s v="ifjúsági"/>
  </r>
  <r>
    <x v="3"/>
    <s v="3A"/>
    <n v="870"/>
    <x v="0"/>
    <s v="Kumite, -, 0-50 kg, Ifjúsági (15-16"/>
    <s v="Kumite, ifjúsági lány 50 kg"/>
    <s v="5"/>
    <s v="5 fős körmérkőzés"/>
    <s v="1"/>
    <s v="Böcskey Emese "/>
    <x v="39"/>
    <s v="HUN"/>
    <n v="10"/>
    <m/>
    <s v="Szigetszentmiklós"/>
    <d v="2026-03-22T00:00:00"/>
    <s v="Böcskey Emese  - Nagy Sándor Dojo"/>
    <x v="1"/>
    <s v="Nagy Sándor Dojo"/>
    <x v="1"/>
    <s v="ifjúsági"/>
  </r>
  <r>
    <x v="3"/>
    <s v="3A"/>
    <n v="871"/>
    <x v="0"/>
    <s v="Kumite, -, 0-50 kg, Ifjúsági (15-16"/>
    <s v="Kumite, ifjúsági lány 50 kg"/>
    <s v="5"/>
    <s v="5 fős körmérkőzés"/>
    <s v="2"/>
    <s v="Sülyi Luca"/>
    <x v="4"/>
    <s v="HUN"/>
    <n v="8"/>
    <m/>
    <s v="Szigetszentmiklós"/>
    <d v="2026-03-22T00:00:00"/>
    <s v="Sülyi Luca - Főnix Dojo"/>
    <x v="0"/>
    <s v="Főnix Dojo"/>
    <x v="1"/>
    <s v="ifjúsági"/>
  </r>
  <r>
    <x v="3"/>
    <s v="3A"/>
    <n v="872"/>
    <x v="0"/>
    <s v="Kumite, -, 0-50 kg, Ifjúsági (15-16"/>
    <s v="Kumite, ifjúsági lány 50 kg"/>
    <s v="5"/>
    <s v="5 fős körmérkőzés"/>
    <s v="3"/>
    <s v="Aranyosi Nikolett"/>
    <x v="15"/>
    <s v="HUN"/>
    <n v="6"/>
    <m/>
    <s v="Szigetszentmiklós"/>
    <d v="2026-03-22T00:00:00"/>
    <s v="Aranyosi Nikolett - KSE Tarján"/>
    <x v="0"/>
    <s v="KSE Tarján"/>
    <x v="1"/>
    <s v="ifjúsági"/>
  </r>
  <r>
    <x v="3"/>
    <s v="3A"/>
    <n v="873"/>
    <x v="0"/>
    <s v="Kumite, -, 0-50 kg, Ifjúsági (15-16"/>
    <s v="Kumite, ifjúsági lány 50 kg"/>
    <s v="5"/>
    <s v="5 fős körmérkőzés"/>
    <s v="4"/>
    <s v="Forgács Lili"/>
    <x v="54"/>
    <s v="HUN"/>
    <n v="4"/>
    <m/>
    <s v="Szigetszentmiklós"/>
    <d v="2026-03-22T00:00:00"/>
    <s v="Forgács Lili - Borza Dojo"/>
    <x v="1"/>
    <s v="Borza Dojo"/>
    <x v="1"/>
    <s v="ifjúsági"/>
  </r>
  <r>
    <x v="3"/>
    <s v="3A"/>
    <n v="874"/>
    <x v="0"/>
    <s v="Kumite, -, 0-50 kg, Ifjúsági (15-16"/>
    <s v="Kumite, ifjúsági lány 50 kg"/>
    <s v="5"/>
    <s v="5 fős körmérkőzés"/>
    <s v="5"/>
    <s v="Szabó Hanna"/>
    <x v="48"/>
    <s v="HUN"/>
    <n v="0"/>
    <m/>
    <s v="Szigetszentmiklós"/>
    <d v="2026-03-22T00:00:00"/>
    <s v="Szabó Hanna - Hajdúszoboszló"/>
    <x v="0"/>
    <s v="Hajdúszoboszló"/>
    <x v="1"/>
    <s v="ifjúsági"/>
  </r>
  <r>
    <x v="3"/>
    <s v="3A"/>
    <n v="875"/>
    <x v="0"/>
    <s v="Kumite, -, 50-55 kg, Ifjúsági (15-16"/>
    <s v="Kumite, ifjúsági lány 55 kg"/>
    <s v="6"/>
    <s v="6 fős vegyes"/>
    <s v="1"/>
    <s v="Furó Liliána"/>
    <x v="7"/>
    <s v="HUN"/>
    <n v="8"/>
    <m/>
    <s v="Szigetszentmiklós"/>
    <d v="2026-03-22T00:00:00"/>
    <s v="Furó Liliána - KHSE"/>
    <x v="0"/>
    <s v="KHSE"/>
    <x v="1"/>
    <s v="ifjúsági"/>
  </r>
  <r>
    <x v="3"/>
    <s v="3A"/>
    <n v="876"/>
    <x v="0"/>
    <s v="Kumite, -, 50-55 kg, Ifjúsági (15-16"/>
    <s v="Kumite, ifjúsági lány 55 kg"/>
    <s v="6"/>
    <s v="6 fős vegyes"/>
    <s v="2"/>
    <s v="Kiss Boglárka"/>
    <x v="51"/>
    <s v="HUN"/>
    <n v="6"/>
    <m/>
    <s v="Szigetszentmiklós"/>
    <d v="2026-03-22T00:00:00"/>
    <s v="Kiss Boglárka - Derecske BUDO"/>
    <x v="0"/>
    <s v="Derecske BUDO"/>
    <x v="1"/>
    <s v="ifjúsági"/>
  </r>
  <r>
    <x v="3"/>
    <s v="3A"/>
    <n v="877"/>
    <x v="0"/>
    <s v="Kumite, -, 50-55 kg, Ifjúsági (15-16"/>
    <s v="Kumite, ifjúsági lány 55 kg"/>
    <s v="6"/>
    <s v="6 fős vegyes"/>
    <s v="3"/>
    <s v="Serfőző Lia Zoé"/>
    <x v="6"/>
    <s v="HUN"/>
    <n v="4"/>
    <m/>
    <s v="Szigetszentmiklós"/>
    <d v="2026-03-22T00:00:00"/>
    <s v="Serfőző Lia Zoé - Castrum"/>
    <x v="0"/>
    <s v="Castrum"/>
    <x v="1"/>
    <s v="ifjúsági"/>
  </r>
  <r>
    <x v="3"/>
    <s v="3A"/>
    <n v="878"/>
    <x v="0"/>
    <s v="Kumite, -, 50-55 kg, Ifjúsági (15-16"/>
    <s v="Kumite, ifjúsági lány 55 kg"/>
    <s v="6"/>
    <s v="6 fős vegyes"/>
    <s v="4"/>
    <s v="Ható Amanda"/>
    <x v="23"/>
    <s v="HUN"/>
    <n v="0"/>
    <m/>
    <s v="Szigetszentmiklós"/>
    <d v="2026-03-22T00:00:00"/>
    <s v="Ható Amanda - Rakurai"/>
    <x v="0"/>
    <s v="Rakurai"/>
    <x v="1"/>
    <s v="ifjúsági"/>
  </r>
  <r>
    <x v="3"/>
    <s v="3A"/>
    <n v="879"/>
    <x v="0"/>
    <s v="Kumite, -, 50-55 kg, Ifjúsági (15-16"/>
    <s v="Kumite, ifjúsági lány 55 kg"/>
    <s v="6"/>
    <s v="6 fős vegyes"/>
    <s v="5"/>
    <s v="Bognár Judit"/>
    <x v="6"/>
    <s v="HUN"/>
    <n v="0"/>
    <m/>
    <s v="Szigetszentmiklós"/>
    <d v="2026-03-22T00:00:00"/>
    <s v="Bognár Judit - Castrum"/>
    <x v="0"/>
    <s v="Castrum"/>
    <x v="1"/>
    <s v="ifjúsági"/>
  </r>
  <r>
    <x v="3"/>
    <s v="3A"/>
    <n v="880"/>
    <x v="0"/>
    <s v="Kumite, -, 50-55 kg, Ifjúsági (15-16"/>
    <s v="Kumite, ifjúsági lány 55 kg"/>
    <s v="6"/>
    <s v="6 fős vegyes"/>
    <s v="6"/>
    <s v="Karap Anna"/>
    <x v="3"/>
    <s v="HUN"/>
    <n v="0"/>
    <m/>
    <s v="Szigetszentmiklós"/>
    <d v="2026-03-22T00:00:00"/>
    <s v="Karap Anna - Shogun"/>
    <x v="0"/>
    <s v="Shogun"/>
    <x v="1"/>
    <s v="ifjúsági"/>
  </r>
  <r>
    <x v="3"/>
    <s v="3A"/>
    <n v="881"/>
    <x v="0"/>
    <s v="Kumite, -, 55-60 kg, Ifjúsági (15-16"/>
    <s v="Kumite, ifjúsági lány 60 kg"/>
    <s v="6"/>
    <s v="6 fős vegyes"/>
    <s v="1"/>
    <s v="Zsin Zsófia"/>
    <x v="17"/>
    <s v="HUN"/>
    <n v="8"/>
    <m/>
    <s v="Szigetszentmiklós"/>
    <d v="2026-03-22T00:00:00"/>
    <s v="Zsin Zsófia - BHMSE"/>
    <x v="0"/>
    <s v="BHMSE"/>
    <x v="1"/>
    <s v="ifjúsági"/>
  </r>
  <r>
    <x v="3"/>
    <s v="3A"/>
    <n v="882"/>
    <x v="0"/>
    <s v="Kumite, -, 55-60 kg, Ifjúsági (15-16"/>
    <s v="Kumite, ifjúsági lány 60 kg"/>
    <s v="6"/>
    <s v="6 fős vegyes"/>
    <s v="2"/>
    <s v="Demeter Zsófia"/>
    <x v="29"/>
    <s v="HUN"/>
    <n v="6"/>
    <m/>
    <s v="Szigetszentmiklós"/>
    <d v="2026-03-22T00:00:00"/>
    <s v="Demeter Zsófia - WARRIORS TEAM"/>
    <x v="0"/>
    <s v="WARRIORS TEAM"/>
    <x v="1"/>
    <s v="ifjúsági"/>
  </r>
  <r>
    <x v="3"/>
    <s v="3A"/>
    <n v="883"/>
    <x v="0"/>
    <s v="Kumite, -, 55-60 kg, Ifjúsági (15-16"/>
    <s v="Kumite, ifjúsági lány 60 kg"/>
    <s v="6"/>
    <s v="6 fős vegyes"/>
    <s v="3"/>
    <s v="Lukács Éva"/>
    <x v="19"/>
    <s v="HUN"/>
    <n v="4"/>
    <m/>
    <s v="Szigetszentmiklós"/>
    <d v="2026-03-22T00:00:00"/>
    <s v="Lukács Éva - VTSE"/>
    <x v="1"/>
    <s v="VTSE"/>
    <x v="1"/>
    <s v="ifjúsági"/>
  </r>
  <r>
    <x v="3"/>
    <s v="3A"/>
    <n v="884"/>
    <x v="0"/>
    <s v="Kumite, -, 55-60 kg, Ifjúsági (15-16"/>
    <s v="Kumite, ifjúsági lány 60 kg"/>
    <s v="6"/>
    <s v="6 fős vegyes"/>
    <s v="4"/>
    <s v="Magyar Viktória"/>
    <x v="47"/>
    <s v="HUN"/>
    <n v="0"/>
    <m/>
    <s v="Szigetszentmiklós"/>
    <d v="2026-03-22T00:00:00"/>
    <s v="Magyar Viktória - KYO Fighter SE"/>
    <x v="0"/>
    <s v="KYO Fighter SE"/>
    <x v="1"/>
    <s v="ifjúsági"/>
  </r>
  <r>
    <x v="3"/>
    <s v="3A"/>
    <n v="885"/>
    <x v="0"/>
    <s v="Kumite, -, 55-60 kg, Ifjúsági (15-16"/>
    <s v="Kumite, ifjúsági lány 60 kg"/>
    <s v="6"/>
    <s v="6 fős vegyes"/>
    <s v="5"/>
    <s v="Hanics Luca"/>
    <x v="4"/>
    <s v="HUN"/>
    <n v="0"/>
    <m/>
    <s v="Szigetszentmiklós"/>
    <d v="2026-03-22T00:00:00"/>
    <s v="Hanics Luca - Főnix Dojo"/>
    <x v="0"/>
    <s v="Főnix Dojo"/>
    <x v="1"/>
    <s v="ifjúsági"/>
  </r>
  <r>
    <x v="3"/>
    <s v="3A"/>
    <n v="886"/>
    <x v="0"/>
    <s v="Kumite, -, 55-60 kg, Ifjúsági (15-16"/>
    <s v="Kumite, ifjúsági lány 60 kg"/>
    <s v="6"/>
    <s v="6 fős vegyes"/>
    <s v="6"/>
    <s v="Timár Alíz"/>
    <x v="17"/>
    <s v="HUN"/>
    <n v="0"/>
    <m/>
    <s v="Szigetszentmiklós"/>
    <d v="2026-03-22T00:00:00"/>
    <s v="Timár Alíz - BHMSE"/>
    <x v="0"/>
    <s v="BHMSE"/>
    <x v="1"/>
    <s v="ifjúsági"/>
  </r>
  <r>
    <x v="3"/>
    <s v="3A"/>
    <n v="887"/>
    <x v="0"/>
    <s v="Kumite, -, 60-65 kg, Ifjúsági (15-16"/>
    <s v="Kumite, ifjúsági lány 65 kg"/>
    <s v="5"/>
    <s v="5 fős körmérkőzés"/>
    <s v="1"/>
    <s v="Pénzes Zsófia"/>
    <x v="7"/>
    <s v="HUN"/>
    <n v="10"/>
    <m/>
    <s v="Szigetszentmiklós"/>
    <d v="2026-03-22T00:00:00"/>
    <s v="Pénzes Zsófia - KHSE"/>
    <x v="0"/>
    <s v="KHSE"/>
    <x v="1"/>
    <s v="ifjúsági"/>
  </r>
  <r>
    <x v="3"/>
    <s v="3A"/>
    <n v="888"/>
    <x v="0"/>
    <s v="Kumite, -, 60-65 kg, Ifjúsági (15-16"/>
    <s v="Kumite, ifjúsági lány 65 kg"/>
    <s v="5"/>
    <s v="5 fős körmérkőzés"/>
    <s v="2"/>
    <s v="Albert Szilvia Cintia"/>
    <x v="51"/>
    <s v="HUN"/>
    <n v="8"/>
    <m/>
    <s v="Szigetszentmiklós"/>
    <d v="2026-03-22T00:00:00"/>
    <s v="Albert Szilvia Cintia - Derecske BUDO"/>
    <x v="0"/>
    <s v="Derecske BUDO"/>
    <x v="1"/>
    <s v="ifjúsági"/>
  </r>
  <r>
    <x v="3"/>
    <s v="3A"/>
    <n v="889"/>
    <x v="0"/>
    <s v="Kumite, -, 60-65 kg, Ifjúsági (15-16"/>
    <s v="Kumite, ifjúsági lány 65 kg"/>
    <s v="5"/>
    <s v="5 fős körmérkőzés"/>
    <s v="3"/>
    <s v="Barna Emese Nikolett"/>
    <x v="12"/>
    <s v="HUN"/>
    <n v="6"/>
    <m/>
    <s v="Szigetszentmiklós"/>
    <d v="2026-03-22T00:00:00"/>
    <s v="Barna Emese Nikolett - Bendiák Dojo"/>
    <x v="0"/>
    <s v="Bendiák Dojo"/>
    <x v="1"/>
    <s v="ifjúsági"/>
  </r>
  <r>
    <x v="3"/>
    <s v="3A"/>
    <n v="890"/>
    <x v="0"/>
    <s v="Kumite, -, 60-65 kg, Ifjúsági (15-16"/>
    <s v="Kumite, ifjúsági lány 65 kg"/>
    <s v="5"/>
    <s v="5 fős körmérkőzés"/>
    <s v="4"/>
    <s v="Harsányi Tímea"/>
    <x v="45"/>
    <s v="HUN"/>
    <n v="4"/>
    <m/>
    <s v="Szigetszentmiklós"/>
    <d v="2026-03-22T00:00:00"/>
    <s v="Harsányi Tímea - Kelemen-Team"/>
    <x v="0"/>
    <s v="Kelemen-Team"/>
    <x v="1"/>
    <s v="ifjúsági"/>
  </r>
  <r>
    <x v="3"/>
    <s v="3A"/>
    <n v="891"/>
    <x v="0"/>
    <s v="Kumite, -, 60-65 kg, Ifjúsági (15-16"/>
    <s v="Kumite, ifjúsági lány 65 kg"/>
    <s v="5"/>
    <s v="5 fős körmérkőzés"/>
    <s v="5"/>
    <s v="Bognár Boglárka"/>
    <x v="23"/>
    <s v="HUN"/>
    <n v="0"/>
    <m/>
    <s v="Szigetszentmiklós"/>
    <d v="2026-03-22T00:00:00"/>
    <s v="Bognár Boglárka - Rakurai"/>
    <x v="0"/>
    <s v="Rakurai"/>
    <x v="1"/>
    <s v="ifjúsági"/>
  </r>
  <r>
    <x v="3"/>
    <s v="3A"/>
    <n v="892"/>
    <x v="0"/>
    <s v="Kumite, -, 65-200 kg, Ifjúsági (15-16"/>
    <s v="Kumite, ifjúsági lány +65 kg"/>
    <s v="5"/>
    <s v="5 fős körmérkőzés"/>
    <s v="1"/>
    <s v="Csonka Kata"/>
    <x v="13"/>
    <s v="HUN"/>
    <n v="10"/>
    <m/>
    <s v="Szigetszentmiklós"/>
    <d v="2026-03-22T00:00:00"/>
    <s v="Csonka Kata - Kamikaze S"/>
    <x v="0"/>
    <s v="Kamikaze S"/>
    <x v="1"/>
    <s v="ifjúsági"/>
  </r>
  <r>
    <x v="3"/>
    <s v="3A"/>
    <n v="893"/>
    <x v="0"/>
    <s v="Kumite, -, 65-200 kg, Ifjúsági (15-16"/>
    <s v="Kumite, ifjúsági lány +65 kg"/>
    <s v="5"/>
    <s v="5 fős körmérkőzés"/>
    <s v="2"/>
    <s v="Soós Flóra"/>
    <x v="24"/>
    <s v="HUN"/>
    <n v="8"/>
    <m/>
    <s v="Szigetszentmiklós"/>
    <d v="2026-03-22T00:00:00"/>
    <s v="Soós Flóra - Nagykátai Bushido SE"/>
    <x v="0"/>
    <s v="Nagykátai Bushido SE"/>
    <x v="1"/>
    <s v="ifjúsági"/>
  </r>
  <r>
    <x v="3"/>
    <s v="3A"/>
    <n v="894"/>
    <x v="0"/>
    <s v="Kumite, -, 65-200 kg, Ifjúsági (15-16"/>
    <s v="Kumite, ifjúsági lány +65 kg"/>
    <s v="5"/>
    <s v="5 fős körmérkőzés"/>
    <s v="3"/>
    <s v="Bartha Zsuzsanna"/>
    <x v="17"/>
    <s v="HUN"/>
    <n v="6"/>
    <m/>
    <s v="Szigetszentmiklós"/>
    <d v="2026-03-22T00:00:00"/>
    <s v="Bartha Zsuzsanna - BHMSE"/>
    <x v="0"/>
    <s v="BHMSE"/>
    <x v="1"/>
    <s v="ifjúsági"/>
  </r>
  <r>
    <x v="3"/>
    <s v="3A"/>
    <n v="895"/>
    <x v="0"/>
    <s v="Kumite, -, 65-200 kg, Ifjúsági (15-16"/>
    <s v="Kumite, ifjúsági lány +65 kg"/>
    <s v="5"/>
    <s v="5 fős körmérkőzés"/>
    <s v="4"/>
    <s v="Komondi Veronika Nilla"/>
    <x v="40"/>
    <s v="HUN"/>
    <n v="4"/>
    <m/>
    <s v="Szigetszentmiklós"/>
    <d v="2026-03-22T00:00:00"/>
    <s v="Komondi Veronika Nilla - Keszth.KKK"/>
    <x v="0"/>
    <s v="Keszth.KKK"/>
    <x v="1"/>
    <s v="ifjúsági"/>
  </r>
  <r>
    <x v="3"/>
    <s v="3A"/>
    <n v="896"/>
    <x v="0"/>
    <s v="Kumite, -, 65-200 kg, Ifjúsági (15-16"/>
    <s v="Kumite, ifjúsági lány +65 kg"/>
    <s v="5"/>
    <s v="5 fős körmérkőzés"/>
    <s v="5"/>
    <s v="Szalai Kitti"/>
    <x v="20"/>
    <s v="HUN"/>
    <n v="0"/>
    <m/>
    <s v="Szigetszentmiklós"/>
    <d v="2026-03-22T00:00:00"/>
    <s v="Szalai Kitti - Griff SE"/>
    <x v="0"/>
    <s v="Griff SE"/>
    <x v="1"/>
    <s v="ifjúsági"/>
  </r>
  <r>
    <x v="3"/>
    <s v="3A"/>
    <n v="897"/>
    <x v="1"/>
    <s v="Kata, -, 0-160 kg, Ifjúsági (15-16"/>
    <s v="Kata, ifjúsági lány"/>
    <s v="11"/>
    <s v="16 fős egyenes kiesés + 3. hely"/>
    <s v="1"/>
    <s v="Uszkai Flóra"/>
    <x v="3"/>
    <s v="HUN"/>
    <n v="8"/>
    <s v="11 fő esetén: 1-7 helyezett"/>
    <s v="Szigetszentmiklós"/>
    <d v="2026-03-22T00:00:00"/>
    <s v="Uszkai Flóra - Shogun"/>
    <x v="0"/>
    <s v="Shogun"/>
    <x v="1"/>
    <s v="ifjúsági"/>
  </r>
  <r>
    <x v="3"/>
    <s v="3A"/>
    <n v="898"/>
    <x v="1"/>
    <s v="Kata, -, 0-160 kg, Ifjúsági (15-16"/>
    <s v="Kata, ifjúsági lány"/>
    <s v="11"/>
    <s v="16 fős egyenes kiesés + 3. hely"/>
    <s v="2"/>
    <s v="Kovács Anna"/>
    <x v="2"/>
    <s v="HUN"/>
    <n v="6"/>
    <s v="11 fő esetén: 1-7 helyezett"/>
    <s v="Szigetszentmiklós"/>
    <d v="2026-03-22T00:00:00"/>
    <s v="Kovács Anna - Kisvárda KKDOSC"/>
    <x v="0"/>
    <s v="Kisvárda KKDOSC"/>
    <x v="1"/>
    <s v="ifjúsági"/>
  </r>
  <r>
    <x v="3"/>
    <s v="3A"/>
    <n v="899"/>
    <x v="1"/>
    <s v="Kata, -, 0-160 kg, Ifjúsági (15-16"/>
    <s v="Kata, ifjúsági lány"/>
    <s v="11"/>
    <s v="16 fős egyenes kiesés + 3. hely"/>
    <s v="3"/>
    <s v="Böcskey Emese "/>
    <x v="39"/>
    <s v="HUN"/>
    <n v="4"/>
    <s v="11 fő esetén: 1-7 helyezett"/>
    <s v="Szigetszentmiklós"/>
    <d v="2026-03-22T00:00:00"/>
    <s v="Böcskey Emese  - Nagy Sándor Dojo"/>
    <x v="1"/>
    <s v="Nagy Sándor Dojo"/>
    <x v="1"/>
    <s v="ifjúsági"/>
  </r>
  <r>
    <x v="3"/>
    <s v="3A"/>
    <n v="900"/>
    <x v="1"/>
    <s v="Kata, -, 0-160 kg, Ifjúsági (15-16"/>
    <s v="Kata, ifjúsági lány"/>
    <s v="11"/>
    <s v="16 fős egyenes kiesés + 3. hely"/>
    <s v="4"/>
    <s v="Nagy Hanna Míra"/>
    <x v="16"/>
    <s v="HUN"/>
    <n v="3"/>
    <s v="11 fő esetén: 1-7 helyezett"/>
    <s v="Szigetszentmiklós"/>
    <d v="2026-03-22T00:00:00"/>
    <s v="Nagy Hanna Míra - Genbu dojo"/>
    <x v="1"/>
    <s v="Genbu dojo"/>
    <x v="1"/>
    <s v="ifjúsági"/>
  </r>
  <r>
    <x v="3"/>
    <s v="3A"/>
    <n v="901"/>
    <x v="1"/>
    <s v="Kata, -, 0-160 kg, Ifjúsági (15-16"/>
    <s v="Kata, ifjúsági lány"/>
    <s v="11"/>
    <s v="16 fős egyenes kiesés + 3. hely"/>
    <s v="5"/>
    <s v="Aranyosi Nikolett"/>
    <x v="15"/>
    <s v="HUN"/>
    <n v="2"/>
    <s v="11 fő esetén: 1-7 helyezett"/>
    <s v="Szigetszentmiklós"/>
    <d v="2026-03-22T00:00:00"/>
    <s v="Aranyosi Nikolett - KSE Tarján"/>
    <x v="0"/>
    <s v="KSE Tarján"/>
    <x v="1"/>
    <s v="ifjúsági"/>
  </r>
  <r>
    <x v="3"/>
    <s v="3A"/>
    <n v="902"/>
    <x v="1"/>
    <s v="Kata, -, 0-160 kg, Ifjúsági (15-16"/>
    <s v="Kata, ifjúsági lány"/>
    <s v="11"/>
    <s v="16 fős egyenes kiesés + 3. hely"/>
    <s v="6"/>
    <s v="Czakó Natália"/>
    <x v="24"/>
    <s v="HUN"/>
    <n v="2"/>
    <s v="11 fő esetén: 1-7 helyezett"/>
    <s v="Szigetszentmiklós"/>
    <d v="2026-03-22T00:00:00"/>
    <s v="Czakó Natália - Nagykátai Bushido SE"/>
    <x v="0"/>
    <s v="Nagykátai Bushido SE"/>
    <x v="1"/>
    <s v="ifjúsági"/>
  </r>
  <r>
    <x v="3"/>
    <s v="3A"/>
    <n v="904"/>
    <x v="1"/>
    <s v="Kata, -, 0-160 kg, Ifjúsági (15-16"/>
    <s v="Kata, ifjúsági lány"/>
    <s v="11"/>
    <s v="16 fős egyenes kiesés + 3. hely"/>
    <n v="7"/>
    <s v="Karap Anna"/>
    <x v="3"/>
    <s v="HUN"/>
    <n v="2"/>
    <s v="11 fő esetén: 1-7 helyezett"/>
    <s v="Szigetszentmiklós"/>
    <d v="2026-03-22T00:00:00"/>
    <s v="Karap Anna - Shogun"/>
    <x v="0"/>
    <s v="Shogun"/>
    <x v="1"/>
    <s v="ifjúsági"/>
  </r>
  <r>
    <x v="3"/>
    <s v="3A"/>
    <n v="903"/>
    <x v="1"/>
    <s v="Kata, -, 0-160 kg, Ifjúsági (15-16"/>
    <s v="Kata, ifjúsági lány"/>
    <s v="11"/>
    <s v="16 fős egyenes kiesés + 3. hely"/>
    <n v="8"/>
    <s v="Sülyi Luca"/>
    <x v="4"/>
    <s v="HUN"/>
    <n v="0"/>
    <s v="11 fő esetén: 1-7 helyezett"/>
    <s v="Szigetszentmiklós"/>
    <d v="2026-03-22T00:00:00"/>
    <s v="Sülyi Luca - Főnix Dojo"/>
    <x v="0"/>
    <s v="Főnix Dojo"/>
    <x v="1"/>
    <s v="ifjúsági"/>
  </r>
  <r>
    <x v="3"/>
    <s v="3A"/>
    <n v="905"/>
    <x v="1"/>
    <s v="Kata, -, 0-160 kg, Ifjúsági (15-16"/>
    <s v="Kata, ifjúsági lány"/>
    <s v="11"/>
    <s v="16 fős egyenes kiesés + 3. hely"/>
    <s v="11-16"/>
    <s v="Princz Anna"/>
    <x v="32"/>
    <s v="HUN"/>
    <n v="0"/>
    <s v="11 fő esetén: 1-7 helyezett"/>
    <s v="Szigetszentmiklós"/>
    <d v="2026-03-22T00:00:00"/>
    <s v="Princz Anna - ARSC"/>
    <x v="0"/>
    <s v="ARSC"/>
    <x v="1"/>
    <s v="ifjúsági"/>
  </r>
  <r>
    <x v="3"/>
    <s v="3A"/>
    <n v="906"/>
    <x v="1"/>
    <s v="Kata, -, 0-160 kg, Ifjúsági (15-16"/>
    <s v="Kata, ifjúsági lány"/>
    <s v="11"/>
    <s v="16 fős egyenes kiesés + 3. hely"/>
    <s v="11-16"/>
    <s v="Timár Alíz"/>
    <x v="17"/>
    <s v="HUN"/>
    <n v="0"/>
    <s v="11 fő esetén: 1-7 helyezett"/>
    <s v="Szigetszentmiklós"/>
    <d v="2026-03-22T00:00:00"/>
    <s v="Timár Alíz - BHMSE"/>
    <x v="0"/>
    <s v="BHMSE"/>
    <x v="1"/>
    <s v="ifjúsági"/>
  </r>
  <r>
    <x v="3"/>
    <s v="3A"/>
    <n v="907"/>
    <x v="1"/>
    <s v="Kata, -, 0-160 kg, Ifjúsági (15-16"/>
    <s v="Kata, ifjúsági lány"/>
    <s v="11"/>
    <s v="16 fős egyenes kiesés + 3. hely"/>
    <s v="11-16"/>
    <s v="Berényi Lina Boróka"/>
    <x v="21"/>
    <s v="HUN"/>
    <n v="0"/>
    <s v="11 fő esetén: 1-7 helyezett"/>
    <s v="Szigetszentmiklós"/>
    <d v="2026-03-22T00:00:00"/>
    <s v="Berényi Lina Boróka - Kagami"/>
    <x v="0"/>
    <s v="Kagami"/>
    <x v="1"/>
    <s v="ifjúsági"/>
  </r>
  <r>
    <x v="3"/>
    <s v="3A"/>
    <n v="908"/>
    <x v="0"/>
    <s v="Kumite, -, 0-60 kg, Junior DOL (17-19"/>
    <s v="Kumite, junior fiú 60 kg"/>
    <s v="3"/>
    <s v="3 fős körmérkőzés"/>
    <s v="1"/>
    <s v="Nagy Péter"/>
    <x v="7"/>
    <s v="HUN"/>
    <n v="6"/>
    <m/>
    <s v="Szigetszentmiklós"/>
    <d v="2026-03-22T00:00:00"/>
    <s v="Nagy Péter - KHSE"/>
    <x v="0"/>
    <s v="KHSE"/>
    <x v="1"/>
    <s v="junior"/>
  </r>
  <r>
    <x v="3"/>
    <s v="3A"/>
    <n v="909"/>
    <x v="0"/>
    <s v="Kumite, -, 0-60 kg, Junior DOL (17-19"/>
    <s v="Kumite, junior fiú 60 kg"/>
    <s v="3"/>
    <s v="3 fős körmérkőzés"/>
    <s v="2"/>
    <s v="Rimóczi Alex Benedek"/>
    <x v="14"/>
    <s v="HUN"/>
    <n v="4"/>
    <m/>
    <s v="Szigetszentmiklós"/>
    <d v="2026-03-22T00:00:00"/>
    <s v="Rimóczi Alex Benedek - Nozomu Dojo"/>
    <x v="0"/>
    <s v="Nozomu Dojo"/>
    <x v="1"/>
    <s v="junior"/>
  </r>
  <r>
    <x v="3"/>
    <s v="3A"/>
    <n v="910"/>
    <x v="0"/>
    <s v="Kumite, -, 0-60 kg, Junior DOL (17-19"/>
    <s v="Kumite, junior fiú 60 kg"/>
    <s v="3"/>
    <s v="3 fős körmérkőzés"/>
    <s v="3"/>
    <s v="Bíró Krisztián"/>
    <x v="4"/>
    <s v="HUN"/>
    <n v="0"/>
    <m/>
    <s v="Szigetszentmiklós"/>
    <d v="2026-03-22T00:00:00"/>
    <s v="Bíró Krisztián - Főnix Dojo"/>
    <x v="0"/>
    <s v="Főnix Dojo"/>
    <x v="1"/>
    <s v="junior"/>
  </r>
  <r>
    <x v="3"/>
    <s v="3A"/>
    <n v="911"/>
    <x v="0"/>
    <s v="Kumite, -, 60-65 kg, Junior DOL (17-19"/>
    <s v="Kumite, junior fiú 65 kg"/>
    <s v="7"/>
    <s v="8 fős egyenes kiesés + 3. hely"/>
    <s v="1"/>
    <s v="Szabó Ákos Roland"/>
    <x v="7"/>
    <s v="HUN"/>
    <n v="8"/>
    <m/>
    <s v="Szigetszentmiklós"/>
    <d v="2026-03-22T00:00:00"/>
    <s v="Szabó Ákos Roland - KHSE"/>
    <x v="0"/>
    <s v="KHSE"/>
    <x v="1"/>
    <s v="junior"/>
  </r>
  <r>
    <x v="3"/>
    <s v="3A"/>
    <n v="912"/>
    <x v="0"/>
    <s v="Kumite, -, 60-65 kg, Junior DOL (17-19"/>
    <s v="Kumite, junior fiú 65 kg"/>
    <s v="7"/>
    <s v="8 fős egyenes kiesés + 3. hely"/>
    <s v="2"/>
    <s v="Bacskai Bence"/>
    <x v="7"/>
    <s v="HUN"/>
    <n v="6"/>
    <m/>
    <s v="Szigetszentmiklós"/>
    <d v="2026-03-22T00:00:00"/>
    <s v="Bacskai Bence - KHSE"/>
    <x v="0"/>
    <s v="KHSE"/>
    <x v="1"/>
    <s v="junior"/>
  </r>
  <r>
    <x v="3"/>
    <s v="3A"/>
    <n v="913"/>
    <x v="0"/>
    <s v="Kumite, -, 60-65 kg, Junior DOL (17-19"/>
    <s v="Kumite, junior fiú 65 kg"/>
    <s v="7"/>
    <s v="8 fős egyenes kiesés + 3. hely"/>
    <s v="3"/>
    <s v="Danka Hunor"/>
    <x v="24"/>
    <s v="HUN"/>
    <n v="4"/>
    <m/>
    <s v="Szigetszentmiklós"/>
    <d v="2026-03-22T00:00:00"/>
    <s v="Danka Hunor - Nagykátai Bushido SE"/>
    <x v="0"/>
    <s v="Nagykátai Bushido SE"/>
    <x v="1"/>
    <s v="junior"/>
  </r>
  <r>
    <x v="3"/>
    <s v="3A"/>
    <n v="914"/>
    <x v="0"/>
    <s v="Kumite, -, 60-65 kg, Junior DOL (17-19"/>
    <s v="Kumite, junior fiú 65 kg"/>
    <s v="7"/>
    <s v="8 fős egyenes kiesés + 3. hely"/>
    <s v="4"/>
    <s v="Vincze Balázs"/>
    <x v="5"/>
    <s v="HUN"/>
    <n v="4"/>
    <m/>
    <s v="Szigetszentmiklós"/>
    <d v="2026-03-22T00:00:00"/>
    <s v="Vincze Balázs - TADASHII "/>
    <x v="1"/>
    <s v="TADASHII "/>
    <x v="1"/>
    <s v="junior"/>
  </r>
  <r>
    <x v="3"/>
    <s v="3A"/>
    <n v="915"/>
    <x v="0"/>
    <s v="Kumite, -, 60-65 kg, Junior DOL (17-19"/>
    <s v="Kumite, junior fiú 65 kg"/>
    <s v="7"/>
    <s v="8 fős egyenes kiesés + 3. hely"/>
    <s v="5"/>
    <s v="Varga Tamás"/>
    <x v="41"/>
    <s v="HUN"/>
    <n v="0"/>
    <m/>
    <s v="Szigetszentmiklós"/>
    <d v="2026-03-22T00:00:00"/>
    <s v="Varga Tamás - Goukai KSE"/>
    <x v="0"/>
    <s v="Goukai KSE"/>
    <x v="1"/>
    <s v="junior"/>
  </r>
  <r>
    <x v="3"/>
    <s v="3A"/>
    <n v="916"/>
    <x v="0"/>
    <s v="Kumite, -, 60-65 kg, Junior DOL (17-19"/>
    <s v="Kumite, junior fiú 65 kg"/>
    <s v="7"/>
    <s v="8 fős egyenes kiesés + 3. hely"/>
    <s v="7-8"/>
    <s v="Balogh András Barnabás"/>
    <x v="1"/>
    <s v="HUN"/>
    <n v="0"/>
    <m/>
    <s v="Szigetszentmiklós"/>
    <d v="2026-03-22T00:00:00"/>
    <s v="Balogh András Barnabás - Ippon KKSE"/>
    <x v="0"/>
    <s v="Ippon KKSE"/>
    <x v="1"/>
    <s v="junior"/>
  </r>
  <r>
    <x v="3"/>
    <s v="3A"/>
    <n v="917"/>
    <x v="0"/>
    <s v="Kumite, -, 60-65 kg, Junior DOL (17-19"/>
    <s v="Kumite, junior fiú 65 kg"/>
    <s v="7"/>
    <s v="8 fős egyenes kiesés + 3. hely"/>
    <s v="7-8"/>
    <s v="Kovácsay Gergely"/>
    <x v="1"/>
    <s v="HUN"/>
    <n v="0"/>
    <m/>
    <s v="Szigetszentmiklós"/>
    <d v="2026-03-22T00:00:00"/>
    <s v="Kovácsay Gergely - Ippon KKSE"/>
    <x v="0"/>
    <s v="Ippon KKSE"/>
    <x v="1"/>
    <s v="junior"/>
  </r>
  <r>
    <x v="3"/>
    <s v="3A"/>
    <n v="918"/>
    <x v="0"/>
    <s v="Kumite, -, 65-70 kg, Junior DOL (17-19"/>
    <s v="Kumite, junior fiú 70 kg"/>
    <s v="8"/>
    <s v="8 fős egyenes kiesés"/>
    <s v="1"/>
    <s v="Böszörményi Gergő"/>
    <x v="0"/>
    <s v="HUN"/>
    <n v="8"/>
    <m/>
    <s v="Szigetszentmiklós"/>
    <d v="2026-03-22T00:00:00"/>
    <s v="Böszörményi Gergő - Victory"/>
    <x v="0"/>
    <s v="Victory"/>
    <x v="1"/>
    <s v="junior"/>
  </r>
  <r>
    <x v="3"/>
    <s v="3A"/>
    <n v="919"/>
    <x v="0"/>
    <s v="Kumite, -, 65-70 kg, Junior DOL (17-19"/>
    <s v="Kumite, junior fiú 70 kg"/>
    <s v="8"/>
    <s v="8 fős egyenes kiesés"/>
    <s v="2"/>
    <s v="Nagy Benedek"/>
    <x v="42"/>
    <s v="HUN"/>
    <n v="6"/>
    <m/>
    <s v="Szigetszentmiklós"/>
    <d v="2026-03-22T00:00:00"/>
    <s v="Nagy Benedek - Tora HSE"/>
    <x v="1"/>
    <s v="Tora HSE"/>
    <x v="1"/>
    <s v="junior"/>
  </r>
  <r>
    <x v="3"/>
    <s v="3A"/>
    <n v="920"/>
    <x v="0"/>
    <s v="Kumite, -, 65-70 kg, Junior DOL (17-19"/>
    <s v="Kumite, junior fiú 70 kg"/>
    <s v="8"/>
    <s v="8 fős egyenes kiesés"/>
    <s v="3"/>
    <s v="Takács-Sárkány Csanád"/>
    <x v="7"/>
    <s v="HUN"/>
    <n v="4"/>
    <m/>
    <s v="Szigetszentmiklós"/>
    <d v="2026-03-22T00:00:00"/>
    <s v="Takács-Sárkány Csanád - KHSE"/>
    <x v="0"/>
    <s v="KHSE"/>
    <x v="1"/>
    <s v="junior"/>
  </r>
  <r>
    <x v="3"/>
    <s v="3A"/>
    <n v="921"/>
    <x v="0"/>
    <s v="Kumite, -, 65-70 kg, Junior DOL (17-19"/>
    <s v="Kumite, junior fiú 70 kg"/>
    <s v="8"/>
    <s v="8 fős egyenes kiesés"/>
    <s v="3"/>
    <s v="Szente Szabolcs"/>
    <x v="19"/>
    <s v="HUN"/>
    <n v="4"/>
    <m/>
    <s v="Szigetszentmiklós"/>
    <d v="2026-03-22T00:00:00"/>
    <s v="Szente Szabolcs - VTSE"/>
    <x v="1"/>
    <s v="VTSE"/>
    <x v="1"/>
    <s v="junior"/>
  </r>
  <r>
    <x v="3"/>
    <s v="3A"/>
    <n v="978"/>
    <x v="0"/>
    <s v="Kumite, -, 65-70 kg, Junior DOL (17-19"/>
    <s v="Kumite, junior fiú 70 kg"/>
    <s v="8"/>
    <s v="8 fős egyenes kiesés"/>
    <s v="5"/>
    <s v="Sebők Zsombor"/>
    <x v="3"/>
    <s v="HUN"/>
    <n v="0"/>
    <m/>
    <s v="Szigetszentmiklós"/>
    <d v="2026-03-22T00:00:00"/>
    <s v="Sebők Zsombor - Shogun"/>
    <x v="0"/>
    <s v="Shogun"/>
    <x v="1"/>
    <s v="junior"/>
  </r>
  <r>
    <x v="3"/>
    <s v="3A"/>
    <n v="922"/>
    <x v="0"/>
    <s v="Kumite, -, 65-70 kg, Junior DOL (17-19"/>
    <s v="Kumite, junior fiú 70 kg"/>
    <s v="8"/>
    <s v="8 fős egyenes kiesés"/>
    <s v="6"/>
    <s v="Kovács Levente"/>
    <x v="14"/>
    <s v="HUN"/>
    <n v="0"/>
    <m/>
    <s v="Szigetszentmiklós"/>
    <d v="2026-03-22T00:00:00"/>
    <s v="Kovács Levente - Nozomu Dojo"/>
    <x v="0"/>
    <s v="Nozomu Dojo"/>
    <x v="1"/>
    <s v="junior"/>
  </r>
  <r>
    <x v="3"/>
    <s v="3A"/>
    <n v="923"/>
    <x v="0"/>
    <s v="Kumite, -, 65-70 kg, Junior DOL (17-19"/>
    <s v="Kumite, junior fiú 70 kg"/>
    <s v="8"/>
    <s v="8 fős egyenes kiesés"/>
    <s v="7-8"/>
    <s v="Rád Balázs"/>
    <x v="10"/>
    <s v="HUN"/>
    <n v="0"/>
    <m/>
    <s v="Szigetszentmiklós"/>
    <d v="2026-03-22T00:00:00"/>
    <s v="Rád Balázs - Nintai KKSE"/>
    <x v="1"/>
    <s v="Nintai KKSE"/>
    <x v="1"/>
    <s v="junior"/>
  </r>
  <r>
    <x v="3"/>
    <s v="3A"/>
    <n v="924"/>
    <x v="0"/>
    <s v="Kumite, -, 65-70 kg, Junior DOL (17-19"/>
    <s v="Kumite, junior fiú 70 kg"/>
    <s v="8"/>
    <s v="8 fős egyenes kiesés"/>
    <s v="7-8"/>
    <s v="Földi Bence "/>
    <x v="0"/>
    <s v="HUN"/>
    <n v="0"/>
    <m/>
    <s v="Szigetszentmiklós"/>
    <d v="2026-03-22T00:00:00"/>
    <s v="Földi Bence  - Victory"/>
    <x v="0"/>
    <s v="Victory"/>
    <x v="1"/>
    <s v="junior"/>
  </r>
  <r>
    <x v="3"/>
    <s v="3A"/>
    <n v="925"/>
    <x v="0"/>
    <s v="Kumite, -, 70-75 kg, Junior DOL (17-19"/>
    <s v="Kumite, junior fiú 75 kg"/>
    <s v="8"/>
    <s v="8 fős egyenes kiesés + 3. hely"/>
    <s v="1"/>
    <s v="Földi Balázs"/>
    <x v="0"/>
    <s v="HUN"/>
    <n v="8"/>
    <m/>
    <s v="Szigetszentmiklós"/>
    <d v="2026-03-22T00:00:00"/>
    <s v="Földi Balázs - Victory"/>
    <x v="0"/>
    <s v="Victory"/>
    <x v="1"/>
    <s v="junior"/>
  </r>
  <r>
    <x v="3"/>
    <s v="3A"/>
    <n v="926"/>
    <x v="0"/>
    <s v="Kumite, -, 70-75 kg, Junior DOL (17-19"/>
    <s v="Kumite, junior fiú 75 kg"/>
    <s v="8"/>
    <s v="8 fős egyenes kiesés + 3. hely"/>
    <s v="2"/>
    <s v="Kiss Gábor"/>
    <x v="0"/>
    <s v="HUN"/>
    <n v="6"/>
    <m/>
    <s v="Szigetszentmiklós"/>
    <d v="2026-03-22T00:00:00"/>
    <s v="Kiss Gábor - Victory"/>
    <x v="0"/>
    <s v="Victory"/>
    <x v="1"/>
    <s v="junior"/>
  </r>
  <r>
    <x v="3"/>
    <s v="3A"/>
    <n v="927"/>
    <x v="0"/>
    <s v="Kumite, -, 70-75 kg, Junior DOL (17-19"/>
    <s v="Kumite, junior fiú 75 kg"/>
    <s v="8"/>
    <s v="8 fős egyenes kiesés + 3. hely"/>
    <s v="4"/>
    <s v="Ferenczi Attila"/>
    <x v="19"/>
    <s v="HUN"/>
    <n v="0"/>
    <m/>
    <s v="Szigetszentmiklós"/>
    <d v="2026-03-22T00:00:00"/>
    <s v="Ferenczi Attila - VTSE"/>
    <x v="1"/>
    <s v="VTSE"/>
    <x v="1"/>
    <s v="junior"/>
  </r>
  <r>
    <x v="3"/>
    <s v="3A"/>
    <n v="928"/>
    <x v="0"/>
    <s v="Kumite, -, 70-75 kg, Junior DOL (17-19"/>
    <s v="Kumite, junior fiú 75 kg"/>
    <s v="8"/>
    <s v="8 fős egyenes kiesés + 3. hely"/>
    <s v="5"/>
    <s v="Vancsó Ákos"/>
    <x v="12"/>
    <s v="HUN"/>
    <n v="0"/>
    <m/>
    <s v="Szigetszentmiklós"/>
    <d v="2026-03-22T00:00:00"/>
    <s v="Vancsó Ákos - Bendiák Dojo"/>
    <x v="0"/>
    <s v="Bendiák Dojo"/>
    <x v="1"/>
    <s v="junior"/>
  </r>
  <r>
    <x v="3"/>
    <s v="3A"/>
    <n v="929"/>
    <x v="0"/>
    <s v="Kumite, -, 70-75 kg, Junior DOL (17-19"/>
    <s v="Kumite, junior fiú 75 kg"/>
    <s v="8"/>
    <s v="8 fős egyenes kiesés + 3. hely"/>
    <s v="6"/>
    <s v="Miskolczi Zalán"/>
    <x v="46"/>
    <s v="HUN"/>
    <n v="0"/>
    <m/>
    <s v="Szigetszentmiklós"/>
    <d v="2026-03-22T00:00:00"/>
    <s v="Miskolczi Zalán - Kemecse SE"/>
    <x v="0"/>
    <s v="Kemecse SE"/>
    <x v="1"/>
    <s v="junior"/>
  </r>
  <r>
    <x v="3"/>
    <s v="3A"/>
    <n v="930"/>
    <x v="0"/>
    <s v="Kumite, -, 70-75 kg, Junior DOL (17-19"/>
    <s v="Kumite, junior fiú 75 kg"/>
    <s v="8"/>
    <s v="8 fős egyenes kiesés + 3. hely"/>
    <s v="7-8"/>
    <s v="Szabó Roland"/>
    <x v="29"/>
    <s v="HUN"/>
    <n v="0"/>
    <m/>
    <s v="Szigetszentmiklós"/>
    <d v="2026-03-22T00:00:00"/>
    <s v="Szabó Roland - WARRIORS TEAM"/>
    <x v="0"/>
    <s v="WARRIORS TEAM"/>
    <x v="1"/>
    <s v="junior"/>
  </r>
  <r>
    <x v="3"/>
    <s v="3A"/>
    <n v="931"/>
    <x v="0"/>
    <s v="Kumite, -, 70-75 kg, Junior DOL (17-19"/>
    <s v="Kumite, junior fiú 75 kg"/>
    <s v="8"/>
    <s v="8 fős egyenes kiesés + 3. hely"/>
    <s v="7-8"/>
    <s v="Csáti Bence Máté"/>
    <x v="50"/>
    <s v="HUN"/>
    <n v="0"/>
    <m/>
    <s v="Szigetszentmiklós"/>
    <d v="2026-03-22T00:00:00"/>
    <s v="Csáti Bence Máté - Keizoku SE"/>
    <x v="0"/>
    <s v="Keizoku SE"/>
    <x v="1"/>
    <s v="junior"/>
  </r>
  <r>
    <x v="3"/>
    <s v="3A"/>
    <n v="932"/>
    <x v="0"/>
    <s v="Kumite, -, 75-80 kg, Junior DOL (17-19"/>
    <s v="Kumite, junior fiú 80 kg"/>
    <s v="4"/>
    <s v="4 fős körmérkőzés"/>
    <s v="1"/>
    <s v="Breznyiczki Barnabás"/>
    <x v="14"/>
    <s v="HUN"/>
    <n v="8"/>
    <m/>
    <s v="Szigetszentmiklós"/>
    <d v="2026-03-22T00:00:00"/>
    <s v="Breznyiczki Barnabás - Nozomu Dojo"/>
    <x v="0"/>
    <s v="Nozomu Dojo"/>
    <x v="1"/>
    <s v="junior"/>
  </r>
  <r>
    <x v="3"/>
    <s v="3A"/>
    <n v="933"/>
    <x v="0"/>
    <s v="Kumite, -, 75-80 kg, Junior DOL (17-19"/>
    <s v="Kumite, junior fiú 80 kg"/>
    <s v="4"/>
    <s v="4 fős körmérkőzés"/>
    <s v="2"/>
    <s v="Bessenyei Csongor"/>
    <x v="3"/>
    <s v="HUN"/>
    <n v="6"/>
    <m/>
    <s v="Szigetszentmiklós"/>
    <d v="2026-03-22T00:00:00"/>
    <s v="Bessenyei Csongor - Shogun"/>
    <x v="0"/>
    <s v="Shogun"/>
    <x v="1"/>
    <s v="junior"/>
  </r>
  <r>
    <x v="3"/>
    <s v="3A"/>
    <n v="934"/>
    <x v="0"/>
    <s v="Kumite, -, 75-80 kg, Junior DOL (17-19"/>
    <s v="Kumite, junior fiú 80 kg"/>
    <s v="4"/>
    <s v="4 fős körmérkőzés"/>
    <s v="3"/>
    <s v="Flaisz Róbert"/>
    <x v="5"/>
    <s v="HUN"/>
    <n v="4"/>
    <m/>
    <s v="Szigetszentmiklós"/>
    <d v="2026-03-22T00:00:00"/>
    <s v="Flaisz Róbert - TADASHII "/>
    <x v="1"/>
    <s v="TADASHII "/>
    <x v="1"/>
    <s v="junior"/>
  </r>
  <r>
    <x v="3"/>
    <s v="3A"/>
    <n v="935"/>
    <x v="0"/>
    <s v="Kumite, -, 75-80 kg, Junior DOL (17-19"/>
    <s v="Kumite, junior fiú 80 kg"/>
    <s v="4"/>
    <s v="4 fős körmérkőzés"/>
    <s v="4"/>
    <s v="Szabó István Balázs"/>
    <x v="11"/>
    <s v="HUN"/>
    <n v="0"/>
    <m/>
    <s v="Szigetszentmiklós"/>
    <d v="2026-03-22T00:00:00"/>
    <s v="Szabó István Balázs - KyoDabas SE."/>
    <x v="1"/>
    <s v="KyoDabas SE."/>
    <x v="1"/>
    <s v="junior"/>
  </r>
  <r>
    <x v="3"/>
    <s v="3A"/>
    <n v="980"/>
    <x v="0"/>
    <s v="Kumite, -, 80-200 kg, Junior DOL (17-19"/>
    <s v="Kumite, junior fiú +80 kg"/>
    <s v="7"/>
    <s v="8 fős egyenes kiesés"/>
    <s v="1"/>
    <s v="Spanjevic Dániel"/>
    <x v="17"/>
    <s v="HUN"/>
    <n v="8"/>
    <m/>
    <s v="Szigetszentmiklós"/>
    <d v="2026-03-22T00:00:00"/>
    <s v="Spanjevic Dániel - BHMSE"/>
    <x v="0"/>
    <s v="BHMSE"/>
    <x v="1"/>
    <s v="junior"/>
  </r>
  <r>
    <x v="3"/>
    <s v="3A"/>
    <n v="936"/>
    <x v="0"/>
    <s v="Kumite, -, 80-200 kg, Junior DOL (17-19"/>
    <s v="Kumite, junior fiú +80 kg"/>
    <s v="7"/>
    <s v="8 fős egyenes kiesés"/>
    <s v="2"/>
    <s v="Csorba Kristóf"/>
    <x v="3"/>
    <s v="HUN"/>
    <n v="6"/>
    <m/>
    <s v="Szigetszentmiklós"/>
    <d v="2026-03-22T00:00:00"/>
    <s v="Csorba Kristóf - Shogun"/>
    <x v="0"/>
    <s v="Shogun"/>
    <x v="1"/>
    <s v="junior"/>
  </r>
  <r>
    <x v="3"/>
    <s v="3A"/>
    <n v="937"/>
    <x v="0"/>
    <s v="Kumite, -, 80-200 kg, Junior DOL (17-19"/>
    <s v="Kumite, junior fiú +80 kg"/>
    <s v="7"/>
    <s v="8 fős egyenes kiesés"/>
    <s v="3"/>
    <s v="Tengelics Márk"/>
    <x v="43"/>
    <s v="HUN"/>
    <n v="4"/>
    <m/>
    <s v="Szigetszentmiklós"/>
    <d v="2026-03-22T00:00:00"/>
    <s v="Tengelics Márk - IKIGAI DOJO BÖRCS"/>
    <x v="1"/>
    <s v="IKIGAI DOJO BÖRCS"/>
    <x v="1"/>
    <s v="junior"/>
  </r>
  <r>
    <x v="3"/>
    <s v="3A"/>
    <n v="938"/>
    <x v="0"/>
    <s v="Kumite, -, 80-200 kg, Junior DOL (17-19"/>
    <s v="Kumite, junior fiú +80 kg"/>
    <s v="7"/>
    <s v="8 fős egyenes kiesés"/>
    <s v="3"/>
    <s v="Maklári Balázs"/>
    <x v="2"/>
    <s v="HUN"/>
    <n v="4"/>
    <m/>
    <s v="Szigetszentmiklós"/>
    <d v="2026-03-22T00:00:00"/>
    <s v="Maklári Balázs - Kisvárda KKDOSC"/>
    <x v="0"/>
    <s v="Kisvárda KKDOSC"/>
    <x v="1"/>
    <s v="junior"/>
  </r>
  <r>
    <x v="3"/>
    <s v="3A"/>
    <n v="939"/>
    <x v="0"/>
    <s v="Kumite, -, 80-200 kg, Junior DOL (17-19"/>
    <s v="Kumite, junior fiú +80 kg"/>
    <s v="7"/>
    <s v="8 fős egyenes kiesés"/>
    <s v="5"/>
    <s v="Soós Viktor"/>
    <x v="2"/>
    <s v="HUN"/>
    <n v="0"/>
    <m/>
    <s v="Szigetszentmiklós"/>
    <d v="2026-03-22T00:00:00"/>
    <s v="Soós Viktor - Kisvárda KKDOSC"/>
    <x v="0"/>
    <s v="Kisvárda KKDOSC"/>
    <x v="1"/>
    <s v="junior"/>
  </r>
  <r>
    <x v="3"/>
    <s v="3A"/>
    <n v="940"/>
    <x v="0"/>
    <s v="Kumite, -, 80-200 kg, Junior DOL (17-19"/>
    <s v="Kumite, junior fiú +80 kg"/>
    <s v="7"/>
    <s v="8 fős egyenes kiesés"/>
    <s v="6"/>
    <s v="Kozó Flórián"/>
    <x v="30"/>
    <s v="HUN"/>
    <n v="0"/>
    <m/>
    <s v="Szigetszentmiklós"/>
    <d v="2026-03-22T00:00:00"/>
    <s v="Kozó Flórián - Shinkyo SE"/>
    <x v="0"/>
    <s v="Shinkyo SE"/>
    <x v="1"/>
    <s v="junior"/>
  </r>
  <r>
    <x v="3"/>
    <s v="3A"/>
    <n v="981"/>
    <x v="0"/>
    <s v="Kumite, -, 80-200 kg, Junior DOL (17-19"/>
    <s v="Kumite, junior fiú +80 kg"/>
    <s v="7"/>
    <s v="8 fős egyenes kiesés"/>
    <s v="7-8"/>
    <s v="Sipos Árpád"/>
    <x v="7"/>
    <s v="HUN"/>
    <n v="0"/>
    <m/>
    <s v="Szigetszentmiklós"/>
    <d v="2026-03-22T00:00:00"/>
    <s v="Sipos Árpád - KHSE"/>
    <x v="0"/>
    <s v="KHSE"/>
    <x v="1"/>
    <s v="junior"/>
  </r>
  <r>
    <x v="3"/>
    <s v="3A"/>
    <n v="941"/>
    <x v="1"/>
    <s v="Kata, -, 0-170 kg, Junior DOL (17-19"/>
    <s v="Kata, junior fiú"/>
    <s v="9"/>
    <s v="16 fős egyenes kiesés + 3. hely"/>
    <s v="1"/>
    <s v="Bessenyei Csongor"/>
    <x v="3"/>
    <s v="HUN"/>
    <n v="8"/>
    <s v="9 fő esetén: 1-5 helyezett"/>
    <s v="Szigetszentmiklós"/>
    <d v="2026-03-22T00:00:00"/>
    <s v="Bessenyei Csongor - Shogun"/>
    <x v="0"/>
    <s v="Shogun"/>
    <x v="1"/>
    <s v="junior"/>
  </r>
  <r>
    <x v="3"/>
    <s v="3A"/>
    <n v="942"/>
    <x v="1"/>
    <s v="Kata, -, 0-170 kg, Junior DOL (17-19"/>
    <s v="Kata, junior fiú"/>
    <s v="9"/>
    <s v="16 fős egyenes kiesés + 3. hely"/>
    <s v="2"/>
    <s v="Terbócs Roland"/>
    <x v="3"/>
    <s v="HUN"/>
    <n v="6"/>
    <s v="9 fő esetén: 1-5 helyezett"/>
    <s v="Szigetszentmiklós"/>
    <d v="2026-03-22T00:00:00"/>
    <s v="Terbócs Roland - Shogun"/>
    <x v="0"/>
    <s v="Shogun"/>
    <x v="1"/>
    <s v="junior"/>
  </r>
  <r>
    <x v="3"/>
    <s v="3A"/>
    <n v="943"/>
    <x v="1"/>
    <s v="Kata, -, 0-170 kg, Junior DOL (17-19"/>
    <s v="Kata, junior fiú"/>
    <s v="9"/>
    <s v="16 fős egyenes kiesés + 3. hely"/>
    <s v="3"/>
    <s v="Vágó Márton"/>
    <x v="3"/>
    <s v="HUN"/>
    <n v="4"/>
    <s v="9 fő esetén: 1-5 helyezett"/>
    <s v="Szigetszentmiklós"/>
    <d v="2026-03-22T00:00:00"/>
    <s v="Vágó Márton - Shogun"/>
    <x v="0"/>
    <s v="Shogun"/>
    <x v="1"/>
    <s v="junior"/>
  </r>
  <r>
    <x v="3"/>
    <s v="3A"/>
    <n v="944"/>
    <x v="1"/>
    <s v="Kata, -, 0-170 kg, Junior DOL (17-19"/>
    <s v="Kata, junior fiú"/>
    <s v="9"/>
    <s v="16 fős egyenes kiesés + 3. hely"/>
    <s v="4"/>
    <s v="Bűdy Sándor"/>
    <x v="17"/>
    <s v="HUN"/>
    <n v="3"/>
    <s v="9 fő esetén: 1-5 helyezett"/>
    <s v="Szigetszentmiklós"/>
    <d v="2026-03-22T00:00:00"/>
    <s v="Bűdy Sándor - BHMSE"/>
    <x v="0"/>
    <s v="BHMSE"/>
    <x v="1"/>
    <s v="junior"/>
  </r>
  <r>
    <x v="3"/>
    <s v="3A"/>
    <n v="945"/>
    <x v="1"/>
    <s v="Kata, -, 0-170 kg, Junior DOL (17-19"/>
    <s v="Kata, junior fiú"/>
    <s v="9"/>
    <s v="16 fős egyenes kiesés + 3. hely"/>
    <s v="5"/>
    <s v="Kolonics Márk"/>
    <x v="5"/>
    <s v="HUN"/>
    <n v="2"/>
    <s v="9 fő esetén: 1-5 helyezett"/>
    <s v="Szigetszentmiklós"/>
    <d v="2026-03-22T00:00:00"/>
    <s v="Kolonics Márk - TADASHII "/>
    <x v="1"/>
    <s v="TADASHII "/>
    <x v="1"/>
    <s v="junior"/>
  </r>
  <r>
    <x v="3"/>
    <s v="3A"/>
    <n v="982"/>
    <x v="1"/>
    <s v="Kata, -, 0-170 kg, Junior DOL (17-19"/>
    <s v="Kata, junior fiú"/>
    <s v="9"/>
    <s v="16 fős egyenes kiesés + 3. hely"/>
    <s v="6"/>
    <s v="Magyar Botond"/>
    <x v="39"/>
    <s v="HUN"/>
    <n v="0"/>
    <s v="9 fő esetén: 1-5 helyezett"/>
    <s v="Szigetszentmiklós"/>
    <d v="2026-03-22T00:00:00"/>
    <s v="Magyar Botond - Nagy Sándor Dojo"/>
    <x v="1"/>
    <s v="Nagy Sándor Dojo"/>
    <x v="1"/>
    <s v="junior"/>
  </r>
  <r>
    <x v="3"/>
    <s v="3A"/>
    <n v="946"/>
    <x v="1"/>
    <s v="Kata, -, 0-170 kg, Junior DOL (17-19"/>
    <s v="Kata, junior fiú"/>
    <s v="9"/>
    <s v="16 fős egyenes kiesés + 3. hely"/>
    <n v="7"/>
    <s v="Tengelics Márk"/>
    <x v="43"/>
    <s v="HUN"/>
    <n v="0"/>
    <s v="9 fő esetén: 1-5 helyezett"/>
    <s v="Szigetszentmiklós"/>
    <d v="2026-03-22T00:00:00"/>
    <s v="Tengelics Márk - IKIGAI DOJO BÖRCS"/>
    <x v="1"/>
    <s v="IKIGAI DOJO BÖRCS"/>
    <x v="1"/>
    <s v="junior"/>
  </r>
  <r>
    <x v="3"/>
    <s v="3A"/>
    <n v="983"/>
    <x v="1"/>
    <s v="Kata, -, 0-170 kg, Junior DOL (17-19"/>
    <s v="Kata, junior fiú"/>
    <s v="9"/>
    <s v="16 fős egyenes kiesés + 3. hely"/>
    <n v="8"/>
    <s v="Takács-Sárkány Zalán"/>
    <x v="7"/>
    <s v="HUN"/>
    <n v="0"/>
    <s v="9 fő esetén: 1-5 helyezett"/>
    <s v="Szigetszentmiklós"/>
    <d v="2026-03-22T00:00:00"/>
    <s v="Takács-Sárkány Zalán - KHSE"/>
    <x v="0"/>
    <s v="KHSE"/>
    <x v="1"/>
    <s v="junior"/>
  </r>
  <r>
    <x v="3"/>
    <s v="3A"/>
    <n v="947"/>
    <x v="1"/>
    <s v="Kata, -, 0-170 kg, Junior DOL (17-19"/>
    <s v="Kata, junior fiú"/>
    <s v="9"/>
    <s v="16 fős egyenes kiesés + 3. hely"/>
    <n v="9"/>
    <s v="Kis Kevin Gyula"/>
    <x v="54"/>
    <s v="HUN"/>
    <n v="0"/>
    <s v="9 fő esetén: 1-5 helyezett"/>
    <s v="Szigetszentmiklós"/>
    <d v="2026-03-22T00:00:00"/>
    <s v="Kis Kevin Gyula - Borza Dojo"/>
    <x v="1"/>
    <s v="Borza Dojo"/>
    <x v="1"/>
    <s v="junior"/>
  </r>
  <r>
    <x v="3"/>
    <s v="3A"/>
    <n v="948"/>
    <x v="0"/>
    <s v="Kumite, -, 0-50 kg, Junior DOL (17-19"/>
    <s v="Kumite, junior lány 50 kg"/>
    <s v="5"/>
    <s v="5 fős körmérkőzés"/>
    <s v="1"/>
    <s v="Fekete Csenge"/>
    <x v="14"/>
    <s v="HUN"/>
    <n v="10"/>
    <m/>
    <s v="Szigetszentmiklós"/>
    <d v="2026-03-22T00:00:00"/>
    <s v="Fekete Csenge - Nozomu Dojo"/>
    <x v="0"/>
    <s v="Nozomu Dojo"/>
    <x v="1"/>
    <s v="junior"/>
  </r>
  <r>
    <x v="3"/>
    <s v="3A"/>
    <n v="949"/>
    <x v="0"/>
    <s v="Kumite, -, 0-50 kg, Junior DOL (17-19"/>
    <s v="Kumite, junior lány 50 kg"/>
    <s v="5"/>
    <s v="5 fős körmérkőzés"/>
    <s v="2"/>
    <s v="Németh Panka"/>
    <x v="34"/>
    <s v="HUN"/>
    <n v="8"/>
    <m/>
    <s v="Szigetszentmiklós"/>
    <d v="2026-03-22T00:00:00"/>
    <s v="Németh Panka - Cs.S.E."/>
    <x v="0"/>
    <s v="Cs.S.E."/>
    <x v="1"/>
    <s v="junior"/>
  </r>
  <r>
    <x v="3"/>
    <s v="3A"/>
    <n v="950"/>
    <x v="0"/>
    <s v="Kumite, -, 0-50 kg, Junior DOL (17-19"/>
    <s v="Kumite, junior lány 50 kg"/>
    <s v="5"/>
    <s v="5 fős körmérkőzés"/>
    <s v="3"/>
    <s v="Bőzsöny Dorka"/>
    <x v="17"/>
    <s v="HUN"/>
    <n v="6"/>
    <m/>
    <s v="Szigetszentmiklós"/>
    <d v="2026-03-22T00:00:00"/>
    <s v="Bőzsöny Dorka - BHMSE"/>
    <x v="0"/>
    <s v="BHMSE"/>
    <x v="1"/>
    <s v="junior"/>
  </r>
  <r>
    <x v="3"/>
    <s v="3A"/>
    <n v="951"/>
    <x v="0"/>
    <s v="Kumite, -, 0-50 kg, Junior DOL (17-19"/>
    <s v="Kumite, junior lány 50 kg"/>
    <s v="5"/>
    <s v="5 fős körmérkőzés"/>
    <s v="4"/>
    <s v="Egerszegi Rebeka"/>
    <x v="4"/>
    <s v="HUN"/>
    <n v="4"/>
    <m/>
    <s v="Szigetszentmiklós"/>
    <d v="2026-03-22T00:00:00"/>
    <s v="Egerszegi Rebeka - Főnix Dojo"/>
    <x v="0"/>
    <s v="Főnix Dojo"/>
    <x v="1"/>
    <s v="junior"/>
  </r>
  <r>
    <x v="3"/>
    <s v="3A"/>
    <n v="952"/>
    <x v="0"/>
    <s v="Kumite, -, 0-50 kg, Junior DOL (17-19"/>
    <s v="Kumite, junior lány 50 kg"/>
    <s v="5"/>
    <s v="5 fős körmérkőzés"/>
    <s v="5"/>
    <s v="Szanics Boglárka"/>
    <x v="3"/>
    <s v="HUN"/>
    <n v="0"/>
    <m/>
    <s v="Szigetszentmiklós"/>
    <d v="2026-03-22T00:00:00"/>
    <s v="Szanics Boglárka - Shogun"/>
    <x v="0"/>
    <s v="Shogun"/>
    <x v="1"/>
    <s v="junior"/>
  </r>
  <r>
    <x v="3"/>
    <s v="3A"/>
    <n v="953"/>
    <x v="0"/>
    <s v="Kumite, -, 50-55 kg, Junior DOL (17-19"/>
    <s v="Kumite, junior lány 55 kg"/>
    <s v="4"/>
    <s v="4 fős körmérkőzés"/>
    <s v="1"/>
    <s v="Ágoston Sára"/>
    <x v="7"/>
    <s v="HUN"/>
    <n v="8"/>
    <m/>
    <s v="Szigetszentmiklós"/>
    <d v="2026-03-22T00:00:00"/>
    <s v="Ágoston Sára - KHSE"/>
    <x v="0"/>
    <s v="KHSE"/>
    <x v="1"/>
    <s v="junior"/>
  </r>
  <r>
    <x v="3"/>
    <s v="3A"/>
    <n v="954"/>
    <x v="0"/>
    <s v="Kumite, -, 50-55 kg, Junior DOL (17-19"/>
    <s v="Kumite, junior lány 55 kg"/>
    <s v="4"/>
    <s v="4 fős körmérkőzés"/>
    <s v="2"/>
    <s v="Lukács Kamilla"/>
    <x v="0"/>
    <s v="HUN"/>
    <n v="6"/>
    <m/>
    <s v="Szigetszentmiklós"/>
    <d v="2026-03-22T00:00:00"/>
    <s v="Lukács Kamilla - Victory"/>
    <x v="0"/>
    <s v="Victory"/>
    <x v="1"/>
    <s v="junior"/>
  </r>
  <r>
    <x v="3"/>
    <s v="3A"/>
    <n v="955"/>
    <x v="0"/>
    <s v="Kumite, -, 50-55 kg, Junior DOL (17-19"/>
    <s v="Kumite, junior lány 55 kg"/>
    <s v="4"/>
    <s v="4 fős körmérkőzés"/>
    <s v="3"/>
    <s v="Németh Virág"/>
    <x v="6"/>
    <s v="HUN"/>
    <n v="4"/>
    <m/>
    <s v="Szigetszentmiklós"/>
    <d v="2026-03-22T00:00:00"/>
    <s v="Németh Virág - Castrum"/>
    <x v="0"/>
    <s v="Castrum"/>
    <x v="1"/>
    <s v="junior"/>
  </r>
  <r>
    <x v="3"/>
    <s v="3A"/>
    <n v="956"/>
    <x v="0"/>
    <s v="Kumite, -, 50-55 kg, Junior DOL (17-19"/>
    <s v="Kumite, junior lány 55 kg"/>
    <s v="4"/>
    <s v="4 fős körmérkőzés"/>
    <s v="4"/>
    <s v="Finta Zelma"/>
    <x v="23"/>
    <s v="HUN"/>
    <n v="0"/>
    <m/>
    <s v="Szigetszentmiklós"/>
    <d v="2026-03-22T00:00:00"/>
    <s v="Finta Zelma - Rakurai"/>
    <x v="0"/>
    <s v="Rakurai"/>
    <x v="1"/>
    <s v="junior"/>
  </r>
  <r>
    <x v="3"/>
    <s v="3A"/>
    <n v="957"/>
    <x v="0"/>
    <s v="Kumite, -, 55-60 kg, Junior DOL (17-19"/>
    <s v="Kumite, junior lány 60 kg"/>
    <s v="5"/>
    <s v="5 fős körmérkőzés"/>
    <s v="1"/>
    <s v="Reichert Jázmin "/>
    <x v="19"/>
    <s v="HUN"/>
    <n v="10"/>
    <m/>
    <s v="Szigetszentmiklós"/>
    <d v="2026-03-22T00:00:00"/>
    <s v="Reichert Jázmin  - VTSE"/>
    <x v="1"/>
    <s v="VTSE"/>
    <x v="1"/>
    <s v="junior"/>
  </r>
  <r>
    <x v="3"/>
    <s v="3A"/>
    <n v="958"/>
    <x v="0"/>
    <s v="Kumite, -, 55-60 kg, Junior DOL (17-19"/>
    <s v="Kumite, junior lány 60 kg"/>
    <s v="5"/>
    <s v="5 fős körmérkőzés"/>
    <s v="2"/>
    <s v="Bognár Luca"/>
    <x v="23"/>
    <s v="HUN"/>
    <n v="8"/>
    <m/>
    <s v="Szigetszentmiklós"/>
    <d v="2026-03-22T00:00:00"/>
    <s v="Bognár Luca - Rakurai"/>
    <x v="0"/>
    <s v="Rakurai"/>
    <x v="1"/>
    <s v="junior"/>
  </r>
  <r>
    <x v="3"/>
    <s v="3A"/>
    <n v="959"/>
    <x v="0"/>
    <s v="Kumite, -, 55-60 kg, Junior DOL (17-19"/>
    <s v="Kumite, junior lány 60 kg"/>
    <s v="5"/>
    <s v="5 fős körmérkőzés"/>
    <s v="3"/>
    <s v="Orosz Dorina"/>
    <x v="46"/>
    <s v="HUN"/>
    <n v="6"/>
    <m/>
    <s v="Szigetszentmiklós"/>
    <d v="2026-03-22T00:00:00"/>
    <s v="Orosz Dorina - Kemecse SE"/>
    <x v="0"/>
    <s v="Kemecse SE"/>
    <x v="1"/>
    <s v="junior"/>
  </r>
  <r>
    <x v="3"/>
    <s v="3A"/>
    <n v="960"/>
    <x v="0"/>
    <s v="Kumite, -, 55-60 kg, Junior DOL (17-19"/>
    <s v="Kumite, junior lány 60 kg"/>
    <s v="5"/>
    <s v="5 fős körmérkőzés"/>
    <s v="4"/>
    <s v="Bíró Nóra"/>
    <x v="4"/>
    <s v="HUN"/>
    <n v="4"/>
    <m/>
    <s v="Szigetszentmiklós"/>
    <d v="2026-03-22T00:00:00"/>
    <s v="Bíró Nóra - Főnix Dojo"/>
    <x v="0"/>
    <s v="Főnix Dojo"/>
    <x v="1"/>
    <s v="junior"/>
  </r>
  <r>
    <x v="3"/>
    <s v="3A"/>
    <n v="961"/>
    <x v="0"/>
    <s v="Kumite, -, 55-60 kg, Junior DOL (17-19"/>
    <s v="Kumite, junior lány 60 kg"/>
    <s v="5"/>
    <s v="5 fős körmérkőzés"/>
    <s v="5"/>
    <s v="Gál Regina"/>
    <x v="51"/>
    <s v="HUN"/>
    <n v="3"/>
    <m/>
    <s v="Szigetszentmiklós"/>
    <d v="2026-03-22T00:00:00"/>
    <s v="Gál Regina - Derecske BUDO"/>
    <x v="0"/>
    <s v="Derecske BUDO"/>
    <x v="1"/>
    <s v="junior"/>
  </r>
  <r>
    <x v="3"/>
    <s v="3A"/>
    <n v="984"/>
    <x v="0"/>
    <s v="Kumite, -, 60-65 kg, Junior DOL (17-19"/>
    <s v="Kumite, junior lány 65 kg"/>
    <s v="7"/>
    <s v="8 fős egyenes kiesés"/>
    <s v="1"/>
    <s v="Rácz Viktória"/>
    <x v="3"/>
    <s v="HUN"/>
    <n v="8"/>
    <m/>
    <s v="Szigetszentmiklós"/>
    <d v="2026-03-22T00:00:00"/>
    <s v="Rácz Viktória - Shogun"/>
    <x v="0"/>
    <s v="Shogun"/>
    <x v="1"/>
    <s v="junior"/>
  </r>
  <r>
    <x v="3"/>
    <s v="3A"/>
    <n v="962"/>
    <x v="0"/>
    <s v="Kumite, -, 60-65 kg, Junior DOL (17-19"/>
    <s v="Kumite, junior lány 65 kg"/>
    <s v="7"/>
    <s v="8 fős egyenes kiesés"/>
    <s v="2"/>
    <s v="Szutor Anna"/>
    <x v="3"/>
    <s v="HUN"/>
    <n v="6"/>
    <m/>
    <s v="Szigetszentmiklós"/>
    <d v="2026-03-22T00:00:00"/>
    <s v="Szutor Anna - Shogun"/>
    <x v="0"/>
    <s v="Shogun"/>
    <x v="1"/>
    <s v="junior"/>
  </r>
  <r>
    <x v="3"/>
    <s v="3A"/>
    <n v="963"/>
    <x v="0"/>
    <s v="Kumite, -, 60-65 kg, Junior DOL (17-19"/>
    <s v="Kumite, junior lány 65 kg"/>
    <s v="7"/>
    <s v="8 fős egyenes kiesés"/>
    <s v="3"/>
    <s v="Éles Léna Hanna"/>
    <x v="0"/>
    <s v="HUN"/>
    <n v="4"/>
    <m/>
    <s v="Szigetszentmiklós"/>
    <d v="2026-03-22T00:00:00"/>
    <s v="Éles Léna Hanna - Victory"/>
    <x v="0"/>
    <s v="Victory"/>
    <x v="1"/>
    <s v="junior"/>
  </r>
  <r>
    <x v="3"/>
    <s v="3A"/>
    <n v="985"/>
    <x v="0"/>
    <s v="Kumite, -, 60-65 kg, Junior DOL (17-19"/>
    <s v="Kumite, junior lány 65 kg"/>
    <s v="7"/>
    <s v="8 fős egyenes kiesés"/>
    <s v="3"/>
    <s v="Józsa Erika Réka"/>
    <x v="7"/>
    <s v="HUN"/>
    <n v="4"/>
    <m/>
    <s v="Szigetszentmiklós"/>
    <d v="2026-03-22T00:00:00"/>
    <s v="Józsa Erika Réka - KHSE"/>
    <x v="0"/>
    <s v="KHSE"/>
    <x v="1"/>
    <s v="junior"/>
  </r>
  <r>
    <x v="3"/>
    <s v="3A"/>
    <n v="964"/>
    <x v="0"/>
    <s v="Kumite, -, 60-65 kg, Junior DOL (17-19"/>
    <s v="Kumite, junior lány 65 kg"/>
    <s v="7"/>
    <s v="8 fős egyenes kiesés"/>
    <n v="6"/>
    <s v="Spanjevic Emma"/>
    <x v="17"/>
    <s v="HUN"/>
    <n v="0"/>
    <m/>
    <s v="Szigetszentmiklós"/>
    <d v="2026-03-22T00:00:00"/>
    <s v="Spanjevic Emma - BHMSE"/>
    <x v="0"/>
    <s v="BHMSE"/>
    <x v="1"/>
    <s v="junior"/>
  </r>
  <r>
    <x v="3"/>
    <s v="3A"/>
    <n v="965"/>
    <x v="0"/>
    <s v="Kumite, -, 60-65 kg, Junior DOL (17-19"/>
    <s v="Kumite, junior lány 65 kg"/>
    <s v="7"/>
    <s v="8 fős egyenes kiesés"/>
    <s v="7-8"/>
    <s v="Fadgyas Eszter"/>
    <x v="41"/>
    <s v="HUN"/>
    <n v="0"/>
    <m/>
    <s v="Szigetszentmiklós"/>
    <d v="2026-03-22T00:00:00"/>
    <s v="Fadgyas Eszter - Goukai KSE"/>
    <x v="0"/>
    <s v="Goukai KSE"/>
    <x v="1"/>
    <s v="junior"/>
  </r>
  <r>
    <x v="3"/>
    <s v="3A"/>
    <n v="966"/>
    <x v="0"/>
    <s v="Kumite, -, 60-65 kg, Junior DOL (17-19"/>
    <s v="Kumite, junior lány 65 kg"/>
    <s v="7"/>
    <s v="8 fős egyenes kiesés"/>
    <s v="7-8"/>
    <s v="Lukács Eszter"/>
    <x v="19"/>
    <s v="HUN"/>
    <n v="0"/>
    <m/>
    <s v="Szigetszentmiklós"/>
    <d v="2026-03-22T00:00:00"/>
    <s v="Lukács Eszter - VTSE"/>
    <x v="1"/>
    <s v="VTSE"/>
    <x v="1"/>
    <s v="junior"/>
  </r>
  <r>
    <x v="3"/>
    <s v="3A"/>
    <n v="967"/>
    <x v="0"/>
    <s v="Kumite, -, 65-199 kg, Junior DOL (17-19"/>
    <s v="Kumite, junior lány +65 kg"/>
    <s v="3"/>
    <s v="3 fős körmérkőzés"/>
    <s v="1"/>
    <s v="Vórincsák Vivien"/>
    <x v="7"/>
    <s v="HUN"/>
    <n v="6"/>
    <m/>
    <s v="Szigetszentmiklós"/>
    <d v="2026-03-22T00:00:00"/>
    <s v="Vórincsák Vivien - KHSE"/>
    <x v="0"/>
    <s v="KHSE"/>
    <x v="1"/>
    <s v="junior"/>
  </r>
  <r>
    <x v="3"/>
    <s v="3A"/>
    <n v="968"/>
    <x v="0"/>
    <s v="Kumite, -, 65-199 kg, Junior DOL (17-19"/>
    <s v="Kumite, junior lány +65 kg"/>
    <s v="3"/>
    <s v="3 fős körmérkőzés"/>
    <s v="2"/>
    <s v="Ecsedi Réka"/>
    <x v="7"/>
    <s v="HUN"/>
    <n v="4"/>
    <m/>
    <s v="Szigetszentmiklós"/>
    <d v="2026-03-22T00:00:00"/>
    <s v="Ecsedi Réka - KHSE"/>
    <x v="0"/>
    <s v="KHSE"/>
    <x v="1"/>
    <s v="junior"/>
  </r>
  <r>
    <x v="3"/>
    <s v="3A"/>
    <n v="969"/>
    <x v="0"/>
    <s v="Kumite, -, 65-199 kg, Junior DOL (17-19"/>
    <s v="Kumite, junior lány +65 kg"/>
    <s v="3"/>
    <s v="3 fős körmérkőzés"/>
    <s v="3"/>
    <s v="Szabó Petra"/>
    <x v="3"/>
    <s v="HUN"/>
    <n v="0"/>
    <m/>
    <s v="Szigetszentmiklós"/>
    <d v="2026-03-22T00:00:00"/>
    <s v="Szabó Petra - Shogun"/>
    <x v="0"/>
    <s v="Shogun"/>
    <x v="1"/>
    <s v="junior"/>
  </r>
  <r>
    <x v="3"/>
    <s v="3A"/>
    <n v="970"/>
    <x v="1"/>
    <s v="Kata, -, 0-170 kg, Junior DOL (17-19"/>
    <s v="Kata, junior lány"/>
    <s v="14"/>
    <s v="16 fős egyenes kiesés + 3. hely"/>
    <s v="1"/>
    <s v="Gerő Hanna Gréta"/>
    <x v="21"/>
    <s v="HUN"/>
    <n v="8"/>
    <s v="14 fő esetén: 1-8 helyezett"/>
    <s v="Szigetszentmiklós"/>
    <d v="2026-03-22T00:00:00"/>
    <s v="Gerő Hanna Gréta - Kagami"/>
    <x v="0"/>
    <s v="Kagami"/>
    <x v="1"/>
    <s v="junior"/>
  </r>
  <r>
    <x v="3"/>
    <s v="3A"/>
    <n v="986"/>
    <x v="1"/>
    <s v="Kata, -, 0-170 kg, Junior DOL (17-19"/>
    <s v="Kata, junior lány"/>
    <s v="14"/>
    <s v="16 fős egyenes kiesés + 3. hely"/>
    <s v="2"/>
    <s v="Rácz Viktória"/>
    <x v="3"/>
    <s v="HUN"/>
    <n v="6"/>
    <s v="14 fő esetén: 1-8 helyezett"/>
    <s v="Szigetszentmiklós"/>
    <d v="2026-03-22T00:00:00"/>
    <s v="Rácz Viktória - Shogun"/>
    <x v="0"/>
    <s v="Shogun"/>
    <x v="1"/>
    <s v="junior"/>
  </r>
  <r>
    <x v="3"/>
    <s v="3A"/>
    <n v="987"/>
    <x v="1"/>
    <s v="Kata, -, 0-170 kg, Junior DOL (17-19"/>
    <s v="Kata, junior lány"/>
    <s v="14"/>
    <s v="16 fős egyenes kiesés + 3. hely"/>
    <s v="3"/>
    <s v="Sólyom Gréta"/>
    <x v="3"/>
    <s v="HUN"/>
    <n v="4"/>
    <s v="14 fő esetén: 1-8 helyezett"/>
    <s v="Szigetszentmiklós"/>
    <d v="2026-03-22T00:00:00"/>
    <s v="Sólyom Gréta - Shogun"/>
    <x v="0"/>
    <s v="Shogun"/>
    <x v="1"/>
    <s v="junior"/>
  </r>
  <r>
    <x v="3"/>
    <s v="3A"/>
    <n v="988"/>
    <x v="1"/>
    <s v="Kata, -, 0-170 kg, Junior DOL (17-19"/>
    <s v="Kata, junior lány"/>
    <s v="14"/>
    <s v="16 fős egyenes kiesés + 3. hely"/>
    <s v="4"/>
    <s v="Arnódi Gréta Bernadette"/>
    <x v="21"/>
    <s v="HUN"/>
    <n v="3"/>
    <s v="14 fő esetén: 1-8 helyezett"/>
    <s v="Szigetszentmiklós"/>
    <d v="2026-03-22T00:00:00"/>
    <s v="Arnódi Gréta Bernadette - Kagami"/>
    <x v="0"/>
    <s v="Kagami"/>
    <x v="1"/>
    <s v="junior"/>
  </r>
  <r>
    <x v="3"/>
    <s v="3A"/>
    <n v="971"/>
    <x v="1"/>
    <s v="Kata, -, 0-170 kg, Junior DOL (17-19"/>
    <s v="Kata, junior lány"/>
    <s v="14"/>
    <s v="16 fős egyenes kiesés + 3. hely"/>
    <s v="5"/>
    <s v="Orosz Dorina"/>
    <x v="46"/>
    <s v="HUN"/>
    <n v="2"/>
    <s v="14 fő esetén: 1-8 helyezett"/>
    <s v="Szigetszentmiklós"/>
    <d v="2026-03-22T00:00:00"/>
    <s v="Orosz Dorina - Kemecse SE"/>
    <x v="0"/>
    <s v="Kemecse SE"/>
    <x v="1"/>
    <s v="junior"/>
  </r>
  <r>
    <x v="3"/>
    <s v="3A"/>
    <n v="972"/>
    <x v="1"/>
    <s v="Kata, -, 0-170 kg, Junior DOL (17-19"/>
    <s v="Kata, junior lány"/>
    <s v="14"/>
    <s v="16 fős egyenes kiesés + 3. hely"/>
    <s v="6"/>
    <s v="Bognár Luca"/>
    <x v="23"/>
    <s v="HUN"/>
    <n v="2"/>
    <s v="14 fő esetén: 1-8 helyezett"/>
    <s v="Szigetszentmiklós"/>
    <d v="2026-03-22T00:00:00"/>
    <s v="Bognár Luca - Rakurai"/>
    <x v="0"/>
    <s v="Rakurai"/>
    <x v="1"/>
    <s v="junior"/>
  </r>
  <r>
    <x v="3"/>
    <s v="3A"/>
    <n v="974"/>
    <x v="1"/>
    <s v="Kata, -, 0-170 kg, Junior DOL (17-19"/>
    <s v="Kata, junior lány"/>
    <s v="14"/>
    <s v="16 fős egyenes kiesés + 3. hely"/>
    <n v="7"/>
    <s v="Szutor Anna"/>
    <x v="3"/>
    <s v="HUN"/>
    <n v="2"/>
    <s v="14 fő esetén: 1-8 helyezett"/>
    <s v="Szigetszentmiklós"/>
    <d v="2026-03-22T00:00:00"/>
    <s v="Szutor Anna - Shogun"/>
    <x v="0"/>
    <s v="Shogun"/>
    <x v="1"/>
    <s v="junior"/>
  </r>
  <r>
    <x v="3"/>
    <s v="3A"/>
    <n v="973"/>
    <x v="1"/>
    <s v="Kata, -, 0-170 kg, Junior DOL (17-19"/>
    <s v="Kata, junior lány"/>
    <s v="14"/>
    <s v="16 fős egyenes kiesés + 3. hely"/>
    <n v="8"/>
    <s v="Németh Panka"/>
    <x v="34"/>
    <s v="HUN"/>
    <n v="2"/>
    <s v="14 fő esetén: 1-8 helyezett"/>
    <s v="Szigetszentmiklós"/>
    <d v="2026-03-22T00:00:00"/>
    <s v="Németh Panka - Cs.S.E."/>
    <x v="0"/>
    <s v="Cs.S.E."/>
    <x v="1"/>
    <s v="junior"/>
  </r>
  <r>
    <x v="3"/>
    <s v="3A"/>
    <n v="975"/>
    <x v="1"/>
    <s v="Kata, -, 0-170 kg, Junior DOL (17-19"/>
    <s v="Kata, junior lány"/>
    <s v="14"/>
    <s v="16 fős egyenes kiesés + 3. hely"/>
    <s v="11-16"/>
    <s v="Kisdeák Emma"/>
    <x v="22"/>
    <s v="HUN"/>
    <n v="0"/>
    <s v="14 fő esetén: 1-8 helyezett"/>
    <s v="Szigetszentmiklós"/>
    <d v="2026-03-22T00:00:00"/>
    <s v="Kisdeák Emma - Siófok KSE"/>
    <x v="0"/>
    <s v="Siófok KSE"/>
    <x v="1"/>
    <s v="junior"/>
  </r>
  <r>
    <x v="3"/>
    <s v="3A"/>
    <n v="976"/>
    <x v="1"/>
    <s v="Kata, -, 0-170 kg, Junior DOL (17-19"/>
    <s v="Kata, junior lány"/>
    <s v="14"/>
    <s v="16 fős egyenes kiesés + 3. hely"/>
    <s v="11-16"/>
    <s v="Viza Dorottya Anna"/>
    <x v="32"/>
    <s v="HUN"/>
    <n v="0"/>
    <s v="14 fő esetén: 1-8 helyezett"/>
    <s v="Szigetszentmiklós"/>
    <d v="2026-03-22T00:00:00"/>
    <s v="Viza Dorottya Anna - ARSC"/>
    <x v="0"/>
    <s v="ARSC"/>
    <x v="1"/>
    <s v="junior"/>
  </r>
  <r>
    <x v="3"/>
    <s v="3A"/>
    <n v="977"/>
    <x v="1"/>
    <s v="Kata, -, 0-170 kg, Junior DOL (17-19"/>
    <s v="Kata, junior lány"/>
    <s v="14"/>
    <s v="16 fős egyenes kiesés + 3. hely"/>
    <s v="11-16"/>
    <s v="Molnár Emese"/>
    <x v="44"/>
    <s v="HUN"/>
    <n v="0"/>
    <s v="14 fő esetén: 1-8 helyezett"/>
    <s v="Szigetszentmiklós"/>
    <d v="2026-03-22T00:00:00"/>
    <s v="Molnár Emese - Kihaku SE"/>
    <x v="0"/>
    <s v="Kihaku SE"/>
    <x v="1"/>
    <s v="junior"/>
  </r>
  <r>
    <x v="3"/>
    <s v="3A"/>
    <n v="979"/>
    <x v="0"/>
    <s v="Kumite, -, 70-75 kg, Junior DOL (17-19"/>
    <s v="Kumite, junior fiú 75 kg"/>
    <s v="8"/>
    <s v="8 fős egyenes kiesés + 3. hely"/>
    <s v="3"/>
    <s v="Gáspár Botond"/>
    <x v="4"/>
    <s v="HUN"/>
    <n v="4"/>
    <m/>
    <s v="Szigetszentmiklós"/>
    <d v="2026-03-22T00:00:00"/>
    <s v="Gáspár Botond - Főnix Dojo"/>
    <x v="0"/>
    <s v="Főnix Dojo"/>
    <x v="1"/>
    <s v="junior"/>
  </r>
  <r>
    <x v="3"/>
    <s v="3A"/>
    <n v="989"/>
    <x v="1"/>
    <s v="Kata, -, 0-170 kg, Junior DOL (17-19"/>
    <s v="Kata, junior lány"/>
    <s v="14"/>
    <s v="16 fős egyenes kiesés + 3. hely"/>
    <s v="11-16"/>
    <s v="Nádi Viktória"/>
    <x v="32"/>
    <s v="HUN"/>
    <n v="0"/>
    <s v="14 fő esetén: 1-8 helyezett"/>
    <s v="Szigetszentmiklós"/>
    <d v="2026-03-22T00:00:00"/>
    <s v="Nádi Viktória - ARSC"/>
    <x v="0"/>
    <s v="ARSC"/>
    <x v="1"/>
    <s v="junior"/>
  </r>
  <r>
    <x v="3"/>
    <s v="3A"/>
    <n v="990"/>
    <x v="1"/>
    <s v="Kata, -, 0-170 kg, Junior DOL (17-19"/>
    <s v="Kata, junior lány"/>
    <s v="14"/>
    <s v="16 fős egyenes kiesés + 3. hely"/>
    <s v="11-16"/>
    <s v="Farkas Regina"/>
    <x v="30"/>
    <s v="HUN"/>
    <n v="0"/>
    <s v="14 fő esetén: 1-8 helyezett"/>
    <s v="Szigetszentmiklós"/>
    <d v="2026-03-22T00:00:00"/>
    <s v="Farkas Regina - Shinkyo SE"/>
    <x v="0"/>
    <s v="Shinkyo SE"/>
    <x v="1"/>
    <s v="junior"/>
  </r>
  <r>
    <x v="3"/>
    <s v="3A"/>
    <n v="991"/>
    <x v="1"/>
    <s v="Kata, -, 0-170 kg, Junior DOL (17-19"/>
    <s v="Kata, junior lány"/>
    <s v="14"/>
    <s v="16 fős egyenes kiesés + 3. hely"/>
    <s v="11-16"/>
    <s v="Imre Zoé Julianna"/>
    <x v="15"/>
    <s v="HUN"/>
    <n v="0"/>
    <s v="14 fő esetén: 1-8 helyezett"/>
    <s v="Szigetszentmiklós"/>
    <d v="2026-03-22T00:00:00"/>
    <s v="Imre Zoé Julianna - KSE Tarján"/>
    <x v="0"/>
    <s v="KSE Tarján"/>
    <x v="1"/>
    <s v="junior"/>
  </r>
  <r>
    <x v="4"/>
    <n v="2"/>
    <n v="993"/>
    <x v="0"/>
    <s v="Kumite, Gyerek 2./U 12 fiú 0-39,9kg"/>
    <s v="Kumite, gyerek 2. fiú 40 kg"/>
    <s v="6"/>
    <s v="6 fős vegyes"/>
    <s v="1"/>
    <s v="Boka Norman Eliot"/>
    <x v="25"/>
    <s v="HUN"/>
    <n v="6"/>
    <m/>
    <s v="Várpalota"/>
    <d v="2026-02-28T00:00:00"/>
    <s v="Boka Norman Eliot - Katana SE"/>
    <x v="0"/>
    <s v="Katana SE"/>
    <x v="1"/>
    <s v="gyerek"/>
  </r>
  <r>
    <x v="4"/>
    <n v="2"/>
    <n v="994"/>
    <x v="0"/>
    <s v="Kumite, Gyerek 2./U 12 fiú 0-39,9kg"/>
    <s v="Kumite, gyerek 2. fiú 40 kg"/>
    <s v="6"/>
    <s v="6 fős vegyes"/>
    <s v="2"/>
    <s v="Szenner Valentin"/>
    <x v="25"/>
    <s v="HUN"/>
    <n v="5"/>
    <m/>
    <s v="Várpalota"/>
    <d v="2026-02-28T00:00:00"/>
    <s v="Szenner Valentin - Katana SE"/>
    <x v="0"/>
    <s v="Katana SE"/>
    <x v="1"/>
    <s v="gyerek"/>
  </r>
  <r>
    <x v="4"/>
    <n v="2"/>
    <n v="995"/>
    <x v="0"/>
    <s v="Kumite, Gyerek 2./U 12 fiú 0-39,9kg"/>
    <s v="Kumite, gyerek 2. fiú 40 kg"/>
    <s v="6"/>
    <s v="6 fős vegyes"/>
    <s v="3"/>
    <s v="Zajácz Miklós"/>
    <x v="13"/>
    <s v="HUN"/>
    <n v="3"/>
    <m/>
    <s v="Várpalota"/>
    <d v="2026-02-28T00:00:00"/>
    <s v="Zajácz Miklós - Kamikaze S"/>
    <x v="0"/>
    <s v="Kamikaze S"/>
    <x v="1"/>
    <s v="gyerek"/>
  </r>
  <r>
    <x v="4"/>
    <n v="2"/>
    <n v="996"/>
    <x v="0"/>
    <s v="Kumite, Gyerek 2./U 12 fiú 45-49,9kg"/>
    <s v="Kumite, gyerek 2. fiú 50 kg"/>
    <s v="3"/>
    <s v="3 fős körmérkőzés"/>
    <s v="1"/>
    <s v="Szabó Máté Péter"/>
    <x v="29"/>
    <s v="HUN"/>
    <n v="4"/>
    <m/>
    <s v="Várpalota"/>
    <d v="2026-02-28T00:00:00"/>
    <s v="Szabó Máté Péter - WARRIORS TEAM"/>
    <x v="0"/>
    <s v="WARRIORS TEAM"/>
    <x v="1"/>
    <s v="gyerek"/>
  </r>
  <r>
    <x v="4"/>
    <n v="2"/>
    <n v="997"/>
    <x v="0"/>
    <s v="Kumite, Gyerek 2./U 12 fiú 45-49,9kg"/>
    <s v="Kumite, gyerek 2. fiú 50 kg"/>
    <s v="3"/>
    <s v="3 fős körmérkőzés"/>
    <s v="2"/>
    <s v="Horsik Zente József"/>
    <x v="36"/>
    <s v="HUN"/>
    <n v="3"/>
    <m/>
    <s v="Várpalota"/>
    <d v="2026-02-28T00:00:00"/>
    <s v="Horsik Zente József - POWER SE."/>
    <x v="0"/>
    <s v="POWER SE."/>
    <x v="1"/>
    <s v="gyerek"/>
  </r>
  <r>
    <x v="4"/>
    <n v="2"/>
    <n v="998"/>
    <x v="0"/>
    <s v="Kumite, Gyerek 2./U 12 fiú 45-49,9kg"/>
    <s v="Kumite, gyerek 2. fiú 50 kg"/>
    <s v="3"/>
    <s v="3 fős körmérkőzés"/>
    <s v="3"/>
    <s v="Mohai Szilárd"/>
    <x v="25"/>
    <s v="HUN"/>
    <n v="0"/>
    <m/>
    <s v="Várpalota"/>
    <d v="2026-02-28T00:00:00"/>
    <s v="Mohai Szilárd - Katana SE"/>
    <x v="0"/>
    <s v="Katana SE"/>
    <x v="1"/>
    <s v="gyerek"/>
  </r>
  <r>
    <x v="4"/>
    <n v="2"/>
    <n v="999"/>
    <x v="0"/>
    <s v="Kumite, Gyerek 2./U 12 fiú 50-kg"/>
    <s v="Kumite, gyerek 2. fiú +50 kg"/>
    <s v="2"/>
    <s v="2 fős egyenes kiesés"/>
    <s v="1"/>
    <s v="Adamecz Milán"/>
    <x v="24"/>
    <s v="HUN"/>
    <n v="3"/>
    <m/>
    <s v="Várpalota"/>
    <d v="2026-02-28T00:00:00"/>
    <s v="Adamecz Milán - Nagykátai Bushido SE"/>
    <x v="0"/>
    <s v="Nagykátai Bushido SE"/>
    <x v="1"/>
    <s v="gyerek"/>
  </r>
  <r>
    <x v="4"/>
    <n v="2"/>
    <n v="1000"/>
    <x v="0"/>
    <s v="Kumite, Gyerek 2./U 12 fiú 50-kg"/>
    <s v="Kumite, gyerek 2. fiú +50 kg"/>
    <s v="2"/>
    <s v="2 fős egyenes kiesés"/>
    <s v="2"/>
    <s v="Odorics Zétény"/>
    <x v="23"/>
    <s v="HUN"/>
    <n v="0"/>
    <m/>
    <s v="Várpalota"/>
    <d v="2026-02-28T00:00:00"/>
    <s v="Odorics Zétény - Rakurai"/>
    <x v="0"/>
    <s v="Rakurai"/>
    <x v="1"/>
    <s v="gyerek"/>
  </r>
  <r>
    <x v="4"/>
    <n v="2"/>
    <n v="1001"/>
    <x v="0"/>
    <s v="Kumite, Gyerek 2./U 12 lány 40-44,9kg"/>
    <s v="Kumite, gyerek 2. lány 45 kg"/>
    <s v="2"/>
    <s v="2 fős egyenes kiesés"/>
    <s v="1"/>
    <s v="Vig Boglárka"/>
    <x v="19"/>
    <s v="HUN"/>
    <n v="3"/>
    <m/>
    <s v="Várpalota"/>
    <d v="2026-02-28T00:00:00"/>
    <s v="Vig Boglárka - VTSE"/>
    <x v="1"/>
    <s v="VTSE"/>
    <x v="1"/>
    <s v="gyerek"/>
  </r>
  <r>
    <x v="4"/>
    <n v="2"/>
    <n v="1002"/>
    <x v="0"/>
    <s v="Kumite, Gyerek 2./U 12 lány 40-44,9kg"/>
    <s v="Kumite, gyerek 2. lány 45 kg"/>
    <s v="2"/>
    <s v="2 fős egyenes kiesés"/>
    <s v="2"/>
    <s v="Szombath Jázmin"/>
    <x v="4"/>
    <s v="HUN"/>
    <n v="0"/>
    <m/>
    <s v="Várpalota"/>
    <d v="2026-02-28T00:00:00"/>
    <s v="Szombath Jázmin - Főnix Dojo"/>
    <x v="0"/>
    <s v="Főnix Dojo"/>
    <x v="1"/>
    <s v="gyerek"/>
  </r>
  <r>
    <x v="4"/>
    <n v="2"/>
    <n v="1003"/>
    <x v="0"/>
    <s v="Kumite, Gyerek 2./U 12 lány 45-kg"/>
    <s v="Kumite, gyerek 2. lány +45 kg"/>
    <s v="4"/>
    <s v="4 fős körmérkőzés"/>
    <s v="1"/>
    <s v="Kocsis Angéla"/>
    <x v="16"/>
    <s v="HUN"/>
    <n v="6"/>
    <m/>
    <s v="Várpalota"/>
    <d v="2026-02-28T00:00:00"/>
    <s v="Kocsis Angéla - Genbu dojo"/>
    <x v="1"/>
    <s v="Genbu dojo"/>
    <x v="1"/>
    <s v="gyerek"/>
  </r>
  <r>
    <x v="4"/>
    <n v="2"/>
    <n v="1004"/>
    <x v="0"/>
    <s v="Kumite, Gyerek 2./U 12 lány 45-kg"/>
    <s v="Kumite, gyerek 2. lány +45 kg"/>
    <s v="4"/>
    <s v="4 fős körmérkőzés"/>
    <s v="2"/>
    <s v="Kocsis Nóra"/>
    <x v="16"/>
    <s v="HUN"/>
    <n v="5"/>
    <m/>
    <s v="Várpalota"/>
    <d v="2026-02-28T00:00:00"/>
    <s v="Kocsis Nóra - Genbu dojo"/>
    <x v="1"/>
    <s v="Genbu dojo"/>
    <x v="1"/>
    <s v="gyerek"/>
  </r>
  <r>
    <x v="4"/>
    <n v="2"/>
    <n v="1005"/>
    <x v="0"/>
    <s v="Kumite, Gyerek 2./U 12 lány 45-kg"/>
    <s v="Kumite, gyerek 2. lány +45 kg"/>
    <s v="4"/>
    <s v="4 fős körmérkőzés"/>
    <s v="3"/>
    <s v="Janás Mia"/>
    <x v="4"/>
    <s v="HUN"/>
    <n v="3"/>
    <m/>
    <s v="Várpalota"/>
    <d v="2026-02-28T00:00:00"/>
    <s v="Janás Mia - Főnix Dojo"/>
    <x v="0"/>
    <s v="Főnix Dojo"/>
    <x v="1"/>
    <s v="gyerek"/>
  </r>
  <r>
    <x v="4"/>
    <n v="2"/>
    <n v="1006"/>
    <x v="0"/>
    <s v="Kumite, Serdülő/U14 fiú 0-44,9kg"/>
    <s v="Kumite, serdülő fiú 45 kg"/>
    <s v="6"/>
    <s v="6 fős vegyes"/>
    <s v="1"/>
    <s v="Szabó Zoltán Szüa"/>
    <x v="36"/>
    <s v="HUN"/>
    <n v="6"/>
    <m/>
    <s v="Várpalota"/>
    <d v="2026-02-28T00:00:00"/>
    <s v="Szabó Zoltán Szüa - POWER SE."/>
    <x v="0"/>
    <s v="POWER SE."/>
    <x v="1"/>
    <s v="serdülő"/>
  </r>
  <r>
    <x v="4"/>
    <n v="2"/>
    <n v="1007"/>
    <x v="0"/>
    <s v="Kumite, Serdülő/U14 fiú 0-44,9kg"/>
    <s v="Kumite, serdülő fiú 45 kg"/>
    <s v="6"/>
    <s v="6 fős vegyes"/>
    <s v="2"/>
    <s v="Bárkovics Áron"/>
    <x v="28"/>
    <s v="HUN"/>
    <n v="5"/>
    <m/>
    <s v="Várpalota"/>
    <d v="2026-02-28T00:00:00"/>
    <s v="Bárkovics Áron - KKE - Spartacus"/>
    <x v="0"/>
    <s v="KKE - Spartacus"/>
    <x v="1"/>
    <s v="serdülő"/>
  </r>
  <r>
    <x v="4"/>
    <n v="2"/>
    <n v="1008"/>
    <x v="0"/>
    <s v="Kumite, Serdülő/U14 fiú 0-44,9kg"/>
    <s v="Kumite, serdülő fiú 45 kg"/>
    <s v="6"/>
    <s v="6 fős vegyes"/>
    <s v="3"/>
    <s v="Béres Bence"/>
    <x v="19"/>
    <s v="HUN"/>
    <n v="3"/>
    <m/>
    <s v="Várpalota"/>
    <d v="2026-02-28T00:00:00"/>
    <s v="Béres Bence - VTSE"/>
    <x v="1"/>
    <s v="VTSE"/>
    <x v="1"/>
    <s v="serdülő"/>
  </r>
  <r>
    <x v="4"/>
    <n v="2"/>
    <n v="1009"/>
    <x v="0"/>
    <s v="Kumite, Serdülő/U14 fiú 45-54,9kg"/>
    <s v="Kumite, serdülő fiú 55 kg"/>
    <s v="9"/>
    <s v="16 fős egyenes kiesés"/>
    <s v="1"/>
    <s v="Vig Bendegúz"/>
    <x v="19"/>
    <s v="HUN"/>
    <n v="8"/>
    <m/>
    <s v="Várpalota"/>
    <d v="2026-02-28T00:00:00"/>
    <s v="Vig Bendegúz - VTSE"/>
    <x v="1"/>
    <s v="VTSE"/>
    <x v="1"/>
    <s v="serdülő"/>
  </r>
  <r>
    <x v="4"/>
    <n v="2"/>
    <n v="1010"/>
    <x v="0"/>
    <s v="Kumite, Serdülő/U14 fiú 45-54,9kg"/>
    <s v="Kumite, serdülő fiú 55 kg"/>
    <s v="9"/>
    <s v="16 fős egyenes kiesés"/>
    <s v="2"/>
    <s v="Orosz Márkó"/>
    <x v="28"/>
    <s v="HUN"/>
    <n v="6"/>
    <m/>
    <s v="Várpalota"/>
    <d v="2026-02-28T00:00:00"/>
    <s v="Orosz Márkó - KKE - Spartacus"/>
    <x v="0"/>
    <s v="KKE - Spartacus"/>
    <x v="1"/>
    <s v="serdülő"/>
  </r>
  <r>
    <x v="4"/>
    <n v="2"/>
    <n v="1011"/>
    <x v="0"/>
    <s v="Kumite, Serdülő/U14 fiú 45-54,9kg"/>
    <s v="Kumite, serdülő fiú 55 kg"/>
    <s v="9"/>
    <s v="16 fős egyenes kiesés"/>
    <s v="3"/>
    <s v="Tóth Kornél"/>
    <x v="28"/>
    <s v="HUN"/>
    <n v="4"/>
    <m/>
    <s v="Várpalota"/>
    <d v="2026-02-28T00:00:00"/>
    <s v="Tóth Kornél - KKE - Spartacus"/>
    <x v="0"/>
    <s v="KKE - Spartacus"/>
    <x v="1"/>
    <s v="serdülő"/>
  </r>
  <r>
    <x v="4"/>
    <n v="2"/>
    <n v="1012"/>
    <x v="0"/>
    <s v="Kumite, Serdülő/U14 fiú 45-54,9kg"/>
    <s v="Kumite, serdülő fiú 55 kg"/>
    <s v="9"/>
    <s v="16 fős egyenes kiesés"/>
    <s v="3"/>
    <s v="Viszugyel Bálint"/>
    <x v="19"/>
    <s v="HUN"/>
    <n v="4"/>
    <m/>
    <s v="Várpalota"/>
    <d v="2026-02-28T00:00:00"/>
    <s v="Viszugyel Bálint - VTSE"/>
    <x v="1"/>
    <s v="VTSE"/>
    <x v="1"/>
    <s v="serdülő"/>
  </r>
  <r>
    <x v="4"/>
    <n v="2"/>
    <n v="1013"/>
    <x v="0"/>
    <s v="Kumite, Serdülő/U14 fiú 45-54,9kg"/>
    <s v="Kumite, serdülő fiú 55 kg"/>
    <s v="9"/>
    <s v="16 fős egyenes kiesés"/>
    <s v="5"/>
    <s v="Hadnagy Barnabás"/>
    <x v="26"/>
    <s v="HUN"/>
    <n v="0"/>
    <s v="nem volt nyertes mérkőzése"/>
    <s v="Várpalota"/>
    <d v="2026-02-28T00:00:00"/>
    <s v="Hadnagy Barnabás - Rokku KKSE"/>
    <x v="0"/>
    <s v="Rokku KKSE"/>
    <x v="1"/>
    <s v="serdülő"/>
  </r>
  <r>
    <x v="4"/>
    <n v="2"/>
    <n v="1014"/>
    <x v="0"/>
    <s v="Kumite, Serdülő/U14 fiú 45-54,9kg"/>
    <s v="Kumite, serdülő fiú 55 kg"/>
    <s v="9"/>
    <s v="16 fős egyenes kiesés"/>
    <s v="6"/>
    <s v="Munkácsi Ádám"/>
    <x v="4"/>
    <s v="HUN"/>
    <n v="0"/>
    <s v="nem volt nyertes mérkőzése"/>
    <s v="Várpalota"/>
    <d v="2026-02-28T00:00:00"/>
    <s v="Munkácsi Ádám - Főnix Dojo"/>
    <x v="0"/>
    <s v="Főnix Dojo"/>
    <x v="1"/>
    <s v="serdülő"/>
  </r>
  <r>
    <x v="4"/>
    <n v="2"/>
    <n v="1015"/>
    <x v="0"/>
    <s v="Kumite, Serdülő/U14 fiú 45-54,9kg"/>
    <s v="Kumite, serdülő fiú 55 kg"/>
    <s v="9"/>
    <s v="16 fős egyenes kiesés"/>
    <s v="7-8"/>
    <s v="Ujj Szabolcs"/>
    <x v="58"/>
    <s v="HUN"/>
    <n v="0"/>
    <s v="nem volt nyertes mérkőzése"/>
    <s v="Várpalota"/>
    <d v="2026-02-28T00:00:00"/>
    <s v="Ujj Szabolcs - Marcali SKK"/>
    <x v="0"/>
    <s v="Marcali SKK"/>
    <x v="1"/>
    <s v="serdülő"/>
  </r>
  <r>
    <x v="4"/>
    <n v="2"/>
    <n v="1016"/>
    <x v="0"/>
    <s v="Kumite, Serdülő/U14 fiú 45-54,9kg"/>
    <s v="Kumite, serdülő fiú 55 kg"/>
    <s v="9"/>
    <s v="16 fős egyenes kiesés"/>
    <s v="7-8"/>
    <s v="Lőrincz Bence"/>
    <x v="37"/>
    <s v="HUN"/>
    <n v="0"/>
    <s v="nem volt nyertes mérkőzése"/>
    <s v="Várpalota"/>
    <d v="2026-02-28T00:00:00"/>
    <s v="Lőrincz Bence - ASE Bulldog KKSZCS"/>
    <x v="0"/>
    <s v="ASE Bulldog KKSZCS"/>
    <x v="1"/>
    <s v="serdülő"/>
  </r>
  <r>
    <x v="4"/>
    <n v="2"/>
    <n v="1017"/>
    <x v="0"/>
    <s v="Kumite, Serdülő/U14 fiú 45-54,9kg"/>
    <s v="Kumite, serdülő fiú 55 kg"/>
    <s v="9"/>
    <s v="16 fős egyenes kiesés"/>
    <s v="11-16"/>
    <s v="Kámán Márton"/>
    <x v="23"/>
    <s v="HUN"/>
    <n v="0"/>
    <m/>
    <s v="Várpalota"/>
    <d v="2026-02-28T00:00:00"/>
    <s v="Kámán Márton - Rakurai"/>
    <x v="0"/>
    <s v="Rakurai"/>
    <x v="1"/>
    <s v="serdülő"/>
  </r>
  <r>
    <x v="4"/>
    <n v="2"/>
    <n v="1018"/>
    <x v="0"/>
    <s v="Kumite, Serdülő/U14 fiú 55-64,9kg"/>
    <s v="Kumite, serdülő fiú 65 kg"/>
    <s v="2"/>
    <s v="2 fős egyenes kiesés"/>
    <s v="1"/>
    <s v="Bánfi Botond"/>
    <x v="26"/>
    <s v="HUN"/>
    <n v="3"/>
    <m/>
    <s v="Várpalota"/>
    <d v="2026-02-28T00:00:00"/>
    <s v="Bánfi Botond - Rokku KKSE"/>
    <x v="0"/>
    <s v="Rokku KKSE"/>
    <x v="1"/>
    <s v="serdülő"/>
  </r>
  <r>
    <x v="4"/>
    <n v="2"/>
    <n v="1019"/>
    <x v="0"/>
    <s v="Kumite, Serdülő/U14 fiú 55-64,9kg"/>
    <s v="Kumite, serdülő fiú 65 kg"/>
    <s v="2"/>
    <s v="2 fős egyenes kiesés"/>
    <s v="2"/>
    <s v="Reinhofer Patrik"/>
    <x v="26"/>
    <s v="HUN"/>
    <n v="0"/>
    <m/>
    <s v="Várpalota"/>
    <d v="2026-02-28T00:00:00"/>
    <s v="Reinhofer Patrik - Rokku KKSE"/>
    <x v="0"/>
    <s v="Rokku KKSE"/>
    <x v="1"/>
    <s v="serdülő"/>
  </r>
  <r>
    <x v="4"/>
    <n v="2"/>
    <n v="1020"/>
    <x v="0"/>
    <s v="Kumite, Serdülő/U14 fiú 65-kg"/>
    <s v="Kumite, serdülő fiú +65 kg"/>
    <s v="8"/>
    <s v="8 fős egyenes kiesés"/>
    <s v="1"/>
    <s v="Villasenor Babos Viktor Éliás"/>
    <x v="23"/>
    <s v="HUN"/>
    <n v="6"/>
    <m/>
    <s v="Várpalota"/>
    <d v="2026-02-28T00:00:00"/>
    <s v="Villasenor Babos Viktor Éliás - Rakurai"/>
    <x v="0"/>
    <s v="Rakurai"/>
    <x v="1"/>
    <s v="serdülő"/>
  </r>
  <r>
    <x v="4"/>
    <n v="2"/>
    <n v="1021"/>
    <x v="0"/>
    <s v="Kumite, Serdülő/U14 fiú 65-kg"/>
    <s v="Kumite, serdülő fiú +65 kg"/>
    <s v="8"/>
    <s v="8 fős egyenes kiesés"/>
    <s v="2"/>
    <s v="Finta Csanád"/>
    <x v="23"/>
    <s v="HUN"/>
    <n v="5"/>
    <m/>
    <s v="Várpalota"/>
    <d v="2026-02-28T00:00:00"/>
    <s v="Finta Csanád - Rakurai"/>
    <x v="0"/>
    <s v="Rakurai"/>
    <x v="1"/>
    <s v="serdülő"/>
  </r>
  <r>
    <x v="4"/>
    <n v="2"/>
    <n v="1022"/>
    <x v="0"/>
    <s v="Kumite, Serdülő/U14 fiú 65-kg"/>
    <s v="Kumite, serdülő fiú +65 kg"/>
    <s v="8"/>
    <s v="8 fős egyenes kiesés"/>
    <s v="3"/>
    <s v="Nagy Kevin "/>
    <x v="28"/>
    <s v="HUN"/>
    <n v="3"/>
    <m/>
    <s v="Várpalota"/>
    <d v="2026-02-28T00:00:00"/>
    <s v="Nagy Kevin  - KKE - Spartacus"/>
    <x v="0"/>
    <s v="KKE - Spartacus"/>
    <x v="1"/>
    <s v="serdülő"/>
  </r>
  <r>
    <x v="4"/>
    <n v="2"/>
    <n v="1023"/>
    <x v="0"/>
    <s v="Kumite, Serdülő/U14 fiú 65-kg"/>
    <s v="Kumite, serdülő fiú +65 kg"/>
    <s v="8"/>
    <s v="8 fős egyenes kiesés"/>
    <s v="3"/>
    <s v="Nagy Richárd"/>
    <x v="36"/>
    <s v="HUN"/>
    <n v="3"/>
    <m/>
    <s v="Várpalota"/>
    <d v="2026-02-28T00:00:00"/>
    <s v="Nagy Richárd - POWER SE."/>
    <x v="0"/>
    <s v="POWER SE."/>
    <x v="1"/>
    <s v="serdülő"/>
  </r>
  <r>
    <x v="4"/>
    <n v="2"/>
    <n v="1024"/>
    <x v="0"/>
    <s v="Kumite, Serdülő/U14 fiú 65-kg"/>
    <s v="Kumite, serdülő fiú +65 kg"/>
    <s v="8"/>
    <s v="8 fős egyenes kiesés"/>
    <s v="5"/>
    <s v="Gaál-Vajai Tamás"/>
    <x v="4"/>
    <s v="HUN"/>
    <n v="0"/>
    <m/>
    <s v="Várpalota"/>
    <d v="2026-02-28T00:00:00"/>
    <s v="Gaál-Vajai Tamás - Főnix Dojo"/>
    <x v="0"/>
    <s v="Főnix Dojo"/>
    <x v="1"/>
    <s v="serdülő"/>
  </r>
  <r>
    <x v="4"/>
    <n v="2"/>
    <n v="1025"/>
    <x v="0"/>
    <s v="Kumite, Serdülő/U14 fiú 65-kg"/>
    <s v="Kumite, serdülő fiú +65 kg"/>
    <s v="8"/>
    <s v="8 fős egyenes kiesés"/>
    <s v="6"/>
    <s v="Salga Márton"/>
    <x v="26"/>
    <s v="HUN"/>
    <n v="0"/>
    <m/>
    <s v="Várpalota"/>
    <d v="2026-02-28T00:00:00"/>
    <s v="Salga Márton - Rokku KKSE"/>
    <x v="0"/>
    <s v="Rokku KKSE"/>
    <x v="1"/>
    <s v="serdülő"/>
  </r>
  <r>
    <x v="4"/>
    <n v="2"/>
    <n v="1026"/>
    <x v="0"/>
    <s v="Kumite, Serdülő/U14 fiú 65-kg"/>
    <s v="Kumite, serdülő fiú +65 kg"/>
    <s v="8"/>
    <s v="8 fős egyenes kiesés"/>
    <s v="7-8"/>
    <s v="Tóth Dominik István"/>
    <x v="20"/>
    <s v="HUN"/>
    <n v="0"/>
    <m/>
    <s v="Várpalota"/>
    <d v="2026-02-28T00:00:00"/>
    <s v="Tóth Dominik István - Griff SE"/>
    <x v="0"/>
    <s v="Griff SE"/>
    <x v="1"/>
    <s v="serdülő"/>
  </r>
  <r>
    <x v="4"/>
    <n v="2"/>
    <n v="1027"/>
    <x v="0"/>
    <s v="Kumite, Serdülő/U14 fiú 65-kg"/>
    <s v="Kumite, serdülő fiú +65 kg"/>
    <s v="8"/>
    <s v="8 fős egyenes kiesés"/>
    <s v="7-8"/>
    <s v="Nagy Nimród"/>
    <x v="23"/>
    <s v="HUN"/>
    <n v="0"/>
    <m/>
    <s v="Várpalota"/>
    <d v="2026-02-28T00:00:00"/>
    <s v="Nagy Nimród - Rakurai"/>
    <x v="0"/>
    <s v="Rakurai"/>
    <x v="1"/>
    <s v="serdülő"/>
  </r>
  <r>
    <x v="4"/>
    <n v="2"/>
    <n v="1028"/>
    <x v="0"/>
    <s v="Kumite, Serdülő/U14 lány 40-44,9kg"/>
    <s v="Kumite, serdülő lány 45 kg"/>
    <s v="2"/>
    <s v="2 fős egyenes kiesés"/>
    <s v="1"/>
    <s v="Bogdán Szonja Boróka"/>
    <x v="23"/>
    <s v="HUN"/>
    <n v="3"/>
    <m/>
    <s v="Várpalota"/>
    <d v="2026-02-28T00:00:00"/>
    <s v="Bogdán Szonja Boróka - Rakurai"/>
    <x v="0"/>
    <s v="Rakurai"/>
    <x v="1"/>
    <s v="serdülő"/>
  </r>
  <r>
    <x v="4"/>
    <n v="2"/>
    <n v="1029"/>
    <x v="0"/>
    <s v="Kumite, Serdülő/U14 lány 40-44,9kg"/>
    <s v="Kumite, serdülő lány 45 kg"/>
    <s v="2"/>
    <s v="2 fős egyenes kiesés"/>
    <s v="2"/>
    <s v="Horváth Liliána"/>
    <x v="13"/>
    <s v="HUN"/>
    <n v="0"/>
    <m/>
    <s v="Várpalota"/>
    <d v="2026-02-28T00:00:00"/>
    <s v="Horváth Liliána - Kamikaze S"/>
    <x v="0"/>
    <s v="Kamikaze S"/>
    <x v="1"/>
    <s v="serdülő"/>
  </r>
  <r>
    <x v="4"/>
    <n v="2"/>
    <n v="1030"/>
    <x v="0"/>
    <s v="Kumite, Serdülő/U14 lány 45-54,9kg"/>
    <s v="Kumite, serdülő lány 55 kg"/>
    <s v="6"/>
    <s v="6 fős vegyes"/>
    <s v="1"/>
    <s v="Nagy Anna"/>
    <x v="4"/>
    <s v="HUN"/>
    <n v="6"/>
    <m/>
    <s v="Várpalota"/>
    <d v="2026-02-28T00:00:00"/>
    <s v="Nagy Anna - Főnix Dojo"/>
    <x v="0"/>
    <s v="Főnix Dojo"/>
    <x v="1"/>
    <s v="serdülő"/>
  </r>
  <r>
    <x v="4"/>
    <n v="2"/>
    <n v="1031"/>
    <x v="0"/>
    <s v="Kumite, Serdülő/U14 lány 45-54,9kg"/>
    <s v="Kumite, serdülő lány 55 kg"/>
    <s v="6"/>
    <s v="6 fős vegyes"/>
    <s v="2"/>
    <s v="Reichert Hanna "/>
    <x v="19"/>
    <s v="HUN"/>
    <n v="5"/>
    <m/>
    <s v="Várpalota"/>
    <d v="2026-02-28T00:00:00"/>
    <s v="Reichert Hanna  - VTSE"/>
    <x v="1"/>
    <s v="VTSE"/>
    <x v="1"/>
    <s v="serdülő"/>
  </r>
  <r>
    <x v="4"/>
    <n v="2"/>
    <n v="1032"/>
    <x v="0"/>
    <s v="Kumite, Serdülő/U14 lány 45-54,9kg"/>
    <s v="Kumite, serdülő lány 55 kg"/>
    <s v="6"/>
    <s v="6 fős vegyes"/>
    <s v="3"/>
    <s v="Kiss-Juhász Hanga"/>
    <x v="42"/>
    <s v="HUN"/>
    <n v="3"/>
    <m/>
    <s v="Várpalota"/>
    <d v="2026-02-28T00:00:00"/>
    <s v="Kiss-Juhász Hanga - Tora HSE"/>
    <x v="1"/>
    <s v="Tora HSE"/>
    <x v="1"/>
    <s v="serdülő"/>
  </r>
  <r>
    <x v="4"/>
    <n v="2"/>
    <n v="1033"/>
    <x v="0"/>
    <s v="Kumite, Serdülő/U14 lány 55-64,9kg"/>
    <s v="Kumite, serdülő lány 65 kg"/>
    <s v="3"/>
    <s v="3 fős körmérkőzés"/>
    <s v="1"/>
    <s v="Bennárik Bella"/>
    <x v="29"/>
    <s v="HUN"/>
    <n v="4"/>
    <m/>
    <s v="Várpalota"/>
    <d v="2026-02-28T00:00:00"/>
    <s v="Bennárik Bella - WARRIORS TEAM"/>
    <x v="0"/>
    <s v="WARRIORS TEAM"/>
    <x v="1"/>
    <s v="serdülő"/>
  </r>
  <r>
    <x v="4"/>
    <n v="2"/>
    <n v="1034"/>
    <x v="0"/>
    <s v="Kumite, Serdülő/U14 lány 55-64,9kg"/>
    <s v="Kumite, serdülő lány 65 kg"/>
    <s v="3"/>
    <s v="3 fős körmérkőzés"/>
    <s v="2"/>
    <s v="Szabó Anna Tímea"/>
    <x v="25"/>
    <s v="HUN"/>
    <n v="3"/>
    <m/>
    <s v="Várpalota"/>
    <d v="2026-02-28T00:00:00"/>
    <s v="Szabó Anna Tímea - Katana SE"/>
    <x v="0"/>
    <s v="Katana SE"/>
    <x v="1"/>
    <s v="serdülő"/>
  </r>
  <r>
    <x v="4"/>
    <n v="2"/>
    <n v="1035"/>
    <x v="0"/>
    <s v="Kumite, Serdülő/U14 lány 55-64,9kg"/>
    <s v="Kumite, serdülő lány 65 kg"/>
    <s v="3"/>
    <s v="3 fős körmérkőzés"/>
    <s v="3"/>
    <s v="Virág Boglárka Csenge"/>
    <x v="40"/>
    <s v="HUN"/>
    <n v="0"/>
    <m/>
    <s v="Várpalota"/>
    <d v="2026-02-28T00:00:00"/>
    <s v="Virág Boglárka Csenge - Keszth.KKK"/>
    <x v="0"/>
    <s v="Keszth.KKK"/>
    <x v="1"/>
    <s v="serdülő"/>
  </r>
  <r>
    <x v="4"/>
    <n v="2"/>
    <n v="1036"/>
    <x v="0"/>
    <s v="Kumite, Serdülő/U14 lány 65-kg"/>
    <s v="Kumite, serdülő lány +65 kg"/>
    <s v="3"/>
    <s v="3 fős körmérkőzés"/>
    <s v="1"/>
    <s v="Szente Beatrix"/>
    <x v="19"/>
    <s v="HUN"/>
    <n v="4"/>
    <m/>
    <s v="Várpalota"/>
    <d v="2026-02-28T00:00:00"/>
    <s v="Szente Beatrix - VTSE"/>
    <x v="1"/>
    <s v="VTSE"/>
    <x v="1"/>
    <s v="serdülő"/>
  </r>
  <r>
    <x v="4"/>
    <n v="2"/>
    <n v="1037"/>
    <x v="0"/>
    <s v="Kumite, Serdülő/U14 lány 65-kg"/>
    <s v="Kumite, serdülő lány +65 kg"/>
    <s v="3"/>
    <s v="3 fős körmérkőzés"/>
    <s v="2"/>
    <s v="Bota Sára"/>
    <x v="23"/>
    <s v="HUN"/>
    <n v="3"/>
    <m/>
    <s v="Várpalota"/>
    <d v="2026-02-28T00:00:00"/>
    <s v="Bota Sára - Rakurai"/>
    <x v="0"/>
    <s v="Rakurai"/>
    <x v="1"/>
    <s v="serdülő"/>
  </r>
  <r>
    <x v="4"/>
    <n v="2"/>
    <n v="1038"/>
    <x v="0"/>
    <s v="Kumite, Serdülő/U14 lány 65-kg"/>
    <s v="Kumite, serdülő lány +65 kg"/>
    <s v="3"/>
    <s v="3 fős körmérkőzés"/>
    <s v="3"/>
    <s v="Tóth-Krisó Míra"/>
    <x v="25"/>
    <s v="HUN"/>
    <n v="0"/>
    <m/>
    <s v="Várpalota"/>
    <d v="2026-02-28T00:00:00"/>
    <s v="Tóth-Krisó Míra - Katana SE"/>
    <x v="0"/>
    <s v="Katana SE"/>
    <x v="1"/>
    <s v="serdülő"/>
  </r>
  <r>
    <x v="4"/>
    <n v="2"/>
    <n v="1039"/>
    <x v="0"/>
    <s v="Kumite, Ifjúsági/U16 lány 0-49,9kg"/>
    <s v="Kumite, ifjúsági lány 50 kg"/>
    <s v="3"/>
    <s v="3 fős körmérkőzés"/>
    <s v="1"/>
    <s v="Nagy Hanna Míra"/>
    <x v="16"/>
    <s v="HUN"/>
    <n v="4"/>
    <m/>
    <s v="Várpalota"/>
    <d v="2026-02-28T00:00:00"/>
    <s v="Nagy Hanna Míra - Genbu dojo"/>
    <x v="1"/>
    <s v="Genbu dojo"/>
    <x v="1"/>
    <s v="ifjúsági"/>
  </r>
  <r>
    <x v="4"/>
    <n v="2"/>
    <n v="1040"/>
    <x v="0"/>
    <s v="Kumite, Ifjúsági/U16 lány 0-49,9kg"/>
    <s v="Kumite, ifjúsági lány 50 kg"/>
    <s v="3"/>
    <s v="3 fős körmérkőzés"/>
    <s v="2"/>
    <s v="Sülyi Luca"/>
    <x v="4"/>
    <s v="HUN"/>
    <n v="3"/>
    <m/>
    <s v="Várpalota"/>
    <d v="2026-02-28T00:00:00"/>
    <s v="Sülyi Luca - Főnix Dojo"/>
    <x v="0"/>
    <s v="Főnix Dojo"/>
    <x v="1"/>
    <s v="ifjúsági"/>
  </r>
  <r>
    <x v="4"/>
    <n v="2"/>
    <n v="1041"/>
    <x v="0"/>
    <s v="Kumite, Ifjúsági/U16 lány 0-49,9kg"/>
    <s v="Kumite, ifjúsági lány 50 kg"/>
    <s v="3"/>
    <s v="3 fős körmérkőzés"/>
    <s v="3"/>
    <s v="Balogh Dóra Panna"/>
    <x v="36"/>
    <s v="HUN"/>
    <n v="0"/>
    <m/>
    <s v="Várpalota"/>
    <d v="2026-02-28T00:00:00"/>
    <s v="Balogh Dóra Panna - POWER SE."/>
    <x v="0"/>
    <s v="POWER SE."/>
    <x v="1"/>
    <s v="ifjúsági"/>
  </r>
  <r>
    <x v="4"/>
    <n v="2"/>
    <n v="1042"/>
    <x v="0"/>
    <s v="Kumite, Ifjúsági/U16 lány 50-54,9kg"/>
    <s v="Kumite, ifjúsági lány 55 kg"/>
    <s v="2"/>
    <s v="2 fős egyenes kiesés"/>
    <s v="1"/>
    <s v="Ható Amanda"/>
    <x v="23"/>
    <s v="HUN"/>
    <n v="3"/>
    <m/>
    <s v="Várpalota"/>
    <d v="2026-02-28T00:00:00"/>
    <s v="Ható Amanda - Rakurai"/>
    <x v="0"/>
    <s v="Rakurai"/>
    <x v="1"/>
    <s v="ifjúsági"/>
  </r>
  <r>
    <x v="4"/>
    <n v="2"/>
    <n v="1043"/>
    <x v="0"/>
    <s v="Kumite, Ifjúsági/U16 lány 50-54,9kg"/>
    <s v="Kumite, ifjúsági lány 55 kg"/>
    <s v="2"/>
    <s v="2 fős egyenes kiesés"/>
    <s v="2"/>
    <s v="Apjok Réka"/>
    <x v="42"/>
    <s v="HUN"/>
    <n v="0"/>
    <m/>
    <s v="Várpalota"/>
    <d v="2026-02-28T00:00:00"/>
    <s v="Apjok Réka - Tora HSE"/>
    <x v="1"/>
    <s v="Tora HSE"/>
    <x v="1"/>
    <s v="ifjúsági"/>
  </r>
  <r>
    <x v="4"/>
    <n v="2"/>
    <n v="1044"/>
    <x v="0"/>
    <s v="Kumite, Ifjúsági/U16 lány 55-59,9kg"/>
    <s v="Kumite, ifjúsági lány 60 kg"/>
    <s v="4"/>
    <s v="4 fős körmérkőzés"/>
    <s v="1"/>
    <s v="Zsin Zsófia"/>
    <x v="17"/>
    <s v="HUN"/>
    <n v="6"/>
    <m/>
    <s v="Várpalota"/>
    <d v="2026-02-28T00:00:00"/>
    <s v="Zsin Zsófia - BHMSE"/>
    <x v="0"/>
    <s v="BHMSE"/>
    <x v="1"/>
    <s v="ifjúsági"/>
  </r>
  <r>
    <x v="4"/>
    <n v="2"/>
    <n v="1045"/>
    <x v="0"/>
    <s v="Kumite, Ifjúsági/U16 lány 55-59,9kg"/>
    <s v="Kumite, ifjúsági lány 60 kg"/>
    <s v="4"/>
    <s v="4 fős körmérkőzés"/>
    <s v="2"/>
    <s v="Lukács Éva"/>
    <x v="19"/>
    <s v="HUN"/>
    <n v="5"/>
    <m/>
    <s v="Várpalota"/>
    <d v="2026-02-28T00:00:00"/>
    <s v="Lukács Éva - VTSE"/>
    <x v="1"/>
    <s v="VTSE"/>
    <x v="1"/>
    <s v="ifjúsági"/>
  </r>
  <r>
    <x v="4"/>
    <n v="2"/>
    <n v="1046"/>
    <x v="0"/>
    <s v="Kumite, Ifjúsági/U16 lány 55-59,9kg"/>
    <s v="Kumite, ifjúsági lány 60 kg"/>
    <s v="4"/>
    <s v="4 fős körmérkőzés"/>
    <s v="3"/>
    <s v="Demeter Zsófia"/>
    <x v="29"/>
    <s v="HUN"/>
    <n v="3"/>
    <m/>
    <s v="Várpalota"/>
    <d v="2026-02-28T00:00:00"/>
    <s v="Demeter Zsófia - WARRIORS TEAM"/>
    <x v="0"/>
    <s v="WARRIORS TEAM"/>
    <x v="1"/>
    <s v="ifjúsági"/>
  </r>
  <r>
    <x v="4"/>
    <n v="2"/>
    <n v="1047"/>
    <x v="0"/>
    <s v="Kumite, Ifjúsági/U16 lány 65-kg"/>
    <s v="Kumite, ifjúsági lány +65 kg"/>
    <s v="2"/>
    <s v="2 fős egyenes kiesés"/>
    <s v="1"/>
    <s v="Csonka Kata"/>
    <x v="13"/>
    <s v="HUN"/>
    <n v="3"/>
    <m/>
    <s v="Várpalota"/>
    <d v="2026-02-28T00:00:00"/>
    <s v="Csonka Kata - Kamikaze S"/>
    <x v="0"/>
    <s v="Kamikaze S"/>
    <x v="1"/>
    <s v="ifjúsági"/>
  </r>
  <r>
    <x v="4"/>
    <n v="2"/>
    <n v="1048"/>
    <x v="0"/>
    <s v="Kumite, Ifjúsági/U16 lány 65-kg"/>
    <s v="Kumite, ifjúsági lány +65 kg"/>
    <s v="2"/>
    <s v="2 fős egyenes kiesés"/>
    <s v="2"/>
    <s v="Komondi Veronika Nilla"/>
    <x v="40"/>
    <s v="HUN"/>
    <n v="0"/>
    <m/>
    <s v="Várpalota"/>
    <d v="2026-02-28T00:00:00"/>
    <s v="Komondi Veronika Nilla - Keszth.KKK"/>
    <x v="0"/>
    <s v="Keszth.KKK"/>
    <x v="1"/>
    <s v="ifjúsági"/>
  </r>
  <r>
    <x v="5"/>
    <n v="2"/>
    <n v="1050"/>
    <x v="0"/>
    <s v="Kumite, U 12/Gyermek II. fiú 0-39,9 kg"/>
    <s v="Kumite, gyerek 2. fiú 40 kg"/>
    <s v="5"/>
    <s v="5 fős körmérkőzés"/>
    <s v="1"/>
    <s v="Balogh Levente"/>
    <x v="57"/>
    <s v="HUN"/>
    <n v="8"/>
    <m/>
    <s v="Gyöngyös"/>
    <d v="2026-03-07T00:00:00"/>
    <s v="Balogh Levente - Magna Dojo"/>
    <x v="0"/>
    <s v="Magna Dojo"/>
    <x v="1"/>
    <s v="gyerek"/>
  </r>
  <r>
    <x v="5"/>
    <n v="2"/>
    <n v="1051"/>
    <x v="0"/>
    <s v="Kumite, U 12/Gyermek II. fiú 0-39,9 kg"/>
    <s v="Kumite, gyerek 2. fiú 40 kg"/>
    <s v="5"/>
    <s v="5 fős körmérkőzés"/>
    <s v="2"/>
    <s v="Eszenyi Barnabás"/>
    <x v="3"/>
    <s v="HUN"/>
    <n v="6"/>
    <m/>
    <s v="Gyöngyös"/>
    <d v="2026-03-07T00:00:00"/>
    <s v="Eszenyi Barnabás - Shogun"/>
    <x v="0"/>
    <s v="Shogun"/>
    <x v="1"/>
    <s v="gyerek"/>
  </r>
  <r>
    <x v="5"/>
    <n v="2"/>
    <n v="1052"/>
    <x v="0"/>
    <s v="Kumite, U 12/Gyermek II. fiú 0-39,9 kg"/>
    <s v="Kumite, gyerek 2. fiú 40 kg"/>
    <s v="5"/>
    <s v="5 fős körmérkőzés"/>
    <s v="3"/>
    <s v="Tarr Bence"/>
    <x v="3"/>
    <s v="HUN"/>
    <n v="4"/>
    <m/>
    <s v="Gyöngyös"/>
    <d v="2026-03-07T00:00:00"/>
    <s v="Tarr Bence - Shogun"/>
    <x v="0"/>
    <s v="Shogun"/>
    <x v="1"/>
    <s v="gyerek"/>
  </r>
  <r>
    <x v="5"/>
    <n v="2"/>
    <n v="1052"/>
    <x v="0"/>
    <s v="Kumite, U 12/Gyermek II. fiú 0-39,9 kg"/>
    <s v="Kumite, gyerek 2. fiú 40 kg"/>
    <s v="5"/>
    <s v="5 fős körmérkőzés"/>
    <n v="4"/>
    <s v="Hegedűs Botond"/>
    <x v="50"/>
    <s v="HUN"/>
    <n v="3"/>
    <m/>
    <s v="Gyöngyös"/>
    <d v="2026-03-07T00:00:00"/>
    <s v="Hegedűs Botond - Keizoku SE"/>
    <x v="0"/>
    <s v="Keizoku SE"/>
    <x v="1"/>
    <s v="gyerek"/>
  </r>
  <r>
    <x v="5"/>
    <n v="2"/>
    <n v="1053"/>
    <x v="0"/>
    <s v="Kumite, U 12/Gyermek II. fiú 40-44,9 kg"/>
    <s v="Kumite, gyerek 2. fiú 45 kg"/>
    <s v="3"/>
    <s v="3 fős körmérkőzés"/>
    <s v="1"/>
    <s v="Ratkai János"/>
    <x v="7"/>
    <s v="HUN"/>
    <n v="4"/>
    <m/>
    <s v="Gyöngyös"/>
    <d v="2026-03-07T00:00:00"/>
    <s v="Ratkai János - KHSE"/>
    <x v="0"/>
    <s v="KHSE"/>
    <x v="1"/>
    <s v="gyerek"/>
  </r>
  <r>
    <x v="5"/>
    <n v="2"/>
    <n v="1054"/>
    <x v="0"/>
    <s v="Kumite, U 12/Gyermek II. fiú 40-44,9 kg"/>
    <s v="Kumite, gyerek 2. fiú 45 kg"/>
    <s v="3"/>
    <s v="3 fős körmérkőzés"/>
    <s v="2"/>
    <s v="Kerékgyártó Tamás"/>
    <x v="56"/>
    <s v="HUN"/>
    <n v="3"/>
    <m/>
    <s v="Gyöngyös"/>
    <d v="2026-03-07T00:00:00"/>
    <s v="Kerékgyártó Tamás - Wheelmaker dojo SE"/>
    <x v="1"/>
    <s v="Wheelmaker dojo SE"/>
    <x v="1"/>
    <s v="gyerek"/>
  </r>
  <r>
    <x v="5"/>
    <n v="2"/>
    <n v="1055"/>
    <x v="0"/>
    <s v="Kumite, U 12/Gyermek II. fiú 40-44,9 kg"/>
    <s v="Kumite, gyerek 2. fiú 45 kg"/>
    <s v="3"/>
    <s v="3 fős körmérkőzés"/>
    <s v="3"/>
    <s v="Borsi Krisztián"/>
    <x v="7"/>
    <s v="HUN"/>
    <n v="0"/>
    <m/>
    <s v="Gyöngyös"/>
    <d v="2026-03-07T00:00:00"/>
    <s v="Borsi Krisztián - KHSE"/>
    <x v="0"/>
    <s v="KHSE"/>
    <x v="1"/>
    <s v="gyerek"/>
  </r>
  <r>
    <x v="5"/>
    <n v="2"/>
    <n v="1056"/>
    <x v="0"/>
    <s v="Kumite, U 12/Gyermek II. fiú 50- kg"/>
    <s v="Kumite, gyerek 2. fiú +50 kg"/>
    <s v="7"/>
    <s v="8 fős egyenes kiesés"/>
    <s v="1"/>
    <s v="Borsi Balázs"/>
    <x v="7"/>
    <s v="HUN"/>
    <n v="6"/>
    <m/>
    <s v="Gyöngyös"/>
    <d v="2026-03-07T00:00:00"/>
    <s v="Borsi Balázs - KHSE"/>
    <x v="0"/>
    <s v="KHSE"/>
    <x v="1"/>
    <s v="gyerek"/>
  </r>
  <r>
    <x v="5"/>
    <n v="2"/>
    <n v="1057"/>
    <x v="0"/>
    <s v="Kumite, U 12/Gyermek II. fiú 50- kg"/>
    <s v="Kumite, gyerek 2. fiú +50 kg"/>
    <s v="7"/>
    <s v="8 fős egyenes kiesés"/>
    <s v="2"/>
    <s v="Kiss Levente"/>
    <x v="51"/>
    <s v="HUN"/>
    <n v="5"/>
    <m/>
    <s v="Gyöngyös"/>
    <d v="2026-03-07T00:00:00"/>
    <s v="Kiss Levente - Derecske BUDO"/>
    <x v="0"/>
    <s v="Derecske BUDO"/>
    <x v="1"/>
    <s v="gyerek"/>
  </r>
  <r>
    <x v="5"/>
    <n v="2"/>
    <n v="1058"/>
    <x v="0"/>
    <s v="Kumite, U 12/Gyermek II. fiú 50- kg"/>
    <s v="Kumite, gyerek 2. fiú +50 kg"/>
    <s v="7"/>
    <s v="8 fős egyenes kiesés"/>
    <s v="3"/>
    <s v="Kiss István"/>
    <x v="51"/>
    <s v="HUN"/>
    <n v="3"/>
    <m/>
    <s v="Gyöngyös"/>
    <d v="2026-03-07T00:00:00"/>
    <s v="Kiss István - Derecske BUDO"/>
    <x v="0"/>
    <s v="Derecske BUDO"/>
    <x v="1"/>
    <s v="gyerek"/>
  </r>
  <r>
    <x v="5"/>
    <n v="2"/>
    <n v="1059"/>
    <x v="0"/>
    <s v="Kumite, U 12/Gyermek II. fiú 50- kg"/>
    <s v="Kumite, gyerek 2. fiú +50 kg"/>
    <s v="7"/>
    <s v="8 fős egyenes kiesés"/>
    <s v="3"/>
    <s v="Némethy Balázs"/>
    <x v="3"/>
    <s v="HUN"/>
    <n v="3"/>
    <m/>
    <s v="Gyöngyös"/>
    <d v="2026-03-07T00:00:00"/>
    <s v="Némethy Balázs - Shogun"/>
    <x v="0"/>
    <s v="Shogun"/>
    <x v="1"/>
    <s v="gyerek"/>
  </r>
  <r>
    <x v="5"/>
    <n v="2"/>
    <n v="1060"/>
    <x v="0"/>
    <s v="Kumite, U 12/Gyermek II. fiú 50- kg"/>
    <s v="Kumite, gyerek 2. fiú +50 kg"/>
    <s v="7"/>
    <s v="8 fős egyenes kiesés"/>
    <s v="5"/>
    <s v="Bervanger Bálint"/>
    <x v="3"/>
    <s v="HUN"/>
    <n v="0"/>
    <m/>
    <s v="Gyöngyös"/>
    <d v="2026-03-07T00:00:00"/>
    <s v="Bervanger Bálint - Shogun"/>
    <x v="0"/>
    <s v="Shogun"/>
    <x v="1"/>
    <s v="gyerek"/>
  </r>
  <r>
    <x v="5"/>
    <n v="2"/>
    <n v="1061"/>
    <x v="0"/>
    <s v="Kumite, U 12/Gyermek II. fiú 50- kg"/>
    <s v="Kumite, gyerek 2. fiú +50 kg"/>
    <s v="7"/>
    <s v="8 fős egyenes kiesés"/>
    <s v="7-8"/>
    <s v="Vágó Ákos"/>
    <x v="7"/>
    <s v="HUN"/>
    <n v="0"/>
    <m/>
    <s v="Gyöngyös"/>
    <d v="2026-03-07T00:00:00"/>
    <s v="Vágó Ákos - KHSE"/>
    <x v="0"/>
    <s v="KHSE"/>
    <x v="1"/>
    <s v="gyerek"/>
  </r>
  <r>
    <x v="5"/>
    <n v="2"/>
    <n v="1062"/>
    <x v="0"/>
    <s v="Kumite, U 12/Gyermek II. fiú 50- kg"/>
    <s v="Kumite, gyerek 2. fiú +50 kg"/>
    <s v="7"/>
    <s v="8 fős egyenes kiesés"/>
    <s v="7-8"/>
    <s v="Gyuricska Benedek"/>
    <x v="3"/>
    <s v="HUN"/>
    <n v="0"/>
    <m/>
    <s v="Gyöngyös"/>
    <d v="2026-03-07T00:00:00"/>
    <s v="Gyuricska Benedek - Shogun"/>
    <x v="0"/>
    <s v="Shogun"/>
    <x v="1"/>
    <s v="gyerek"/>
  </r>
  <r>
    <x v="5"/>
    <n v="2"/>
    <n v="1063"/>
    <x v="0"/>
    <s v="Kumite, U 12/Gyermek II. lány 0-34,9 kg"/>
    <s v="Kumite, gyerek 2. lány 35 kg"/>
    <s v="2"/>
    <s v="2 fős egyenes kiesés"/>
    <s v="1"/>
    <s v="Fürjesi Eszter"/>
    <x v="3"/>
    <s v="HUN"/>
    <n v="3"/>
    <m/>
    <s v="Gyöngyös"/>
    <d v="2026-03-07T00:00:00"/>
    <s v="Fürjesi Eszter - Shogun"/>
    <x v="0"/>
    <s v="Shogun"/>
    <x v="1"/>
    <s v="gyerek"/>
  </r>
  <r>
    <x v="5"/>
    <n v="2"/>
    <n v="1064"/>
    <x v="0"/>
    <s v="Kumite, U 12/Gyermek II. lány 0-34,9 kg"/>
    <s v="Kumite, gyerek 2. lány 35 kg"/>
    <s v="2"/>
    <s v="2 fős egyenes kiesés"/>
    <s v="2"/>
    <s v="Huszár Hanna"/>
    <x v="46"/>
    <s v="HUN"/>
    <n v="0"/>
    <m/>
    <s v="Gyöngyös"/>
    <d v="2026-03-07T00:00:00"/>
    <s v="Huszár Hanna - Kemecse SE"/>
    <x v="0"/>
    <s v="Kemecse SE"/>
    <x v="1"/>
    <s v="gyerek"/>
  </r>
  <r>
    <x v="5"/>
    <n v="2"/>
    <n v="1065"/>
    <x v="0"/>
    <s v="Kumite, U 12/Gyermek II. lány 45- kg"/>
    <s v="Kumite, gyerek 2. lány +45 kg"/>
    <s v="2"/>
    <s v="2 fős egyenes kiesés"/>
    <s v="1"/>
    <s v="Matkó Gréta"/>
    <x v="7"/>
    <s v="HUN"/>
    <n v="3"/>
    <m/>
    <s v="Gyöngyös"/>
    <d v="2026-03-07T00:00:00"/>
    <s v="Matkó Gréta - KHSE"/>
    <x v="0"/>
    <s v="KHSE"/>
    <x v="1"/>
    <s v="gyerek"/>
  </r>
  <r>
    <x v="5"/>
    <n v="2"/>
    <n v="1066"/>
    <x v="0"/>
    <s v="Kumite, U 12/Gyermek II. lány 45- kg"/>
    <s v="Kumite, gyerek 2. lány +45 kg"/>
    <s v="2"/>
    <s v="2 fős egyenes kiesés"/>
    <s v="2"/>
    <s v="Dászkál Dorottya"/>
    <x v="3"/>
    <s v="HUN"/>
    <n v="0"/>
    <m/>
    <s v="Gyöngyös"/>
    <d v="2026-03-07T00:00:00"/>
    <s v="Dászkál Dorottya - Shogun"/>
    <x v="0"/>
    <s v="Shogun"/>
    <x v="1"/>
    <s v="gyerek"/>
  </r>
  <r>
    <x v="5"/>
    <n v="2"/>
    <n v="1067"/>
    <x v="0"/>
    <s v="Kumite, U 14/Serdülő fiú 0-44,9 kg"/>
    <s v="Kumite, serdülő fiú 45 kg"/>
    <s v="3"/>
    <s v="3 fős körmérkőzés"/>
    <s v="1"/>
    <s v="Székely Lázár"/>
    <x v="47"/>
    <s v="HUN"/>
    <n v="4"/>
    <m/>
    <s v="Gyöngyös"/>
    <d v="2026-03-07T00:00:00"/>
    <s v="Székely Lázár - KYO Fighter SE"/>
    <x v="0"/>
    <s v="KYO Fighter SE"/>
    <x v="1"/>
    <s v="serdülő"/>
  </r>
  <r>
    <x v="5"/>
    <n v="2"/>
    <n v="1068"/>
    <x v="0"/>
    <s v="Kumite, U 14/Serdülő fiú 0-44,9 kg"/>
    <s v="Kumite, serdülő fiú 45 kg"/>
    <s v="3"/>
    <s v="3 fős körmérkőzés"/>
    <s v="2"/>
    <s v="Palmer Ádám"/>
    <x v="56"/>
    <s v="HUN"/>
    <n v="3"/>
    <m/>
    <s v="Gyöngyös"/>
    <d v="2026-03-07T00:00:00"/>
    <s v="Palmer Ádám - Wheelmaker dojo SE"/>
    <x v="1"/>
    <s v="Wheelmaker dojo SE"/>
    <x v="1"/>
    <s v="serdülő"/>
  </r>
  <r>
    <x v="5"/>
    <n v="2"/>
    <n v="1069"/>
    <x v="0"/>
    <s v="Kumite, U 14/Serdülő fiú 0-44,9 kg"/>
    <s v="Kumite, serdülő fiú 45 kg"/>
    <s v="3"/>
    <s v="3 fős körmérkőzés"/>
    <s v="3"/>
    <s v="Bara András"/>
    <x v="56"/>
    <s v="HUN"/>
    <n v="0"/>
    <m/>
    <s v="Gyöngyös"/>
    <d v="2026-03-07T00:00:00"/>
    <s v="Bara András - Wheelmaker dojo SE"/>
    <x v="1"/>
    <s v="Wheelmaker dojo SE"/>
    <x v="1"/>
    <s v="serdülő"/>
  </r>
  <r>
    <x v="5"/>
    <n v="2"/>
    <n v="1070"/>
    <x v="0"/>
    <s v="Kumite, U 14/Serdülő fiú 45-54,9 kg"/>
    <s v="Kumite, serdülő fiú 55 kg"/>
    <s v="4"/>
    <s v="4 fős körmérkőzés"/>
    <s v="1"/>
    <s v="Vékony Márk"/>
    <x v="56"/>
    <s v="HUN"/>
    <n v="6"/>
    <m/>
    <s v="Gyöngyös"/>
    <d v="2026-03-07T00:00:00"/>
    <s v="Vékony Márk - Wheelmaker dojo SE"/>
    <x v="1"/>
    <s v="Wheelmaker dojo SE"/>
    <x v="1"/>
    <s v="serdülő"/>
  </r>
  <r>
    <x v="5"/>
    <n v="2"/>
    <n v="1071"/>
    <x v="0"/>
    <s v="Kumite, U 14/Serdülő fiú 45-54,9 kg"/>
    <s v="Kumite, serdülő fiú 55 kg"/>
    <s v="4"/>
    <s v="4 fős körmérkőzés"/>
    <s v="2"/>
    <s v="Simao Roberto"/>
    <x v="59"/>
    <s v="HUN"/>
    <n v="5"/>
    <m/>
    <s v="Gyöngyös"/>
    <d v="2026-03-07T00:00:00"/>
    <s v="Simao Roberto - Délegyházi Karate SE"/>
    <x v="1"/>
    <s v="Délegyházi Karate SE"/>
    <x v="1"/>
    <s v="serdülő"/>
  </r>
  <r>
    <x v="5"/>
    <n v="2"/>
    <n v="1072"/>
    <x v="0"/>
    <s v="Kumite, U 14/Serdülő fiú 45-54,9 kg"/>
    <s v="Kumite, serdülő fiú 55 kg"/>
    <s v="4"/>
    <s v="4 fős körmérkőzés"/>
    <s v="3"/>
    <s v="Kollár Gergő"/>
    <x v="5"/>
    <s v="HUN"/>
    <n v="3"/>
    <m/>
    <s v="Gyöngyös"/>
    <d v="2026-03-07T00:00:00"/>
    <s v="Kollár Gergő - TADASHII "/>
    <x v="1"/>
    <s v="TADASHII "/>
    <x v="1"/>
    <s v="serdülő"/>
  </r>
  <r>
    <x v="5"/>
    <n v="2"/>
    <n v="1073"/>
    <x v="0"/>
    <s v="Kumite, U 14/Serdülő fiú 55-64,9 kg"/>
    <s v="Kumite, serdülő fiú 65 kg"/>
    <s v="2"/>
    <s v="2 fős egyenes kiesés"/>
    <s v="1"/>
    <s v="Száraz Zsombor"/>
    <x v="51"/>
    <s v="HUN"/>
    <n v="3"/>
    <m/>
    <s v="Gyöngyös"/>
    <d v="2026-03-07T00:00:00"/>
    <s v="Száraz Zsombor - Derecske BUDO"/>
    <x v="0"/>
    <s v="Derecske BUDO"/>
    <x v="1"/>
    <s v="serdülő"/>
  </r>
  <r>
    <x v="5"/>
    <n v="2"/>
    <n v="1074"/>
    <x v="0"/>
    <s v="Kumite, U 14/Serdülő fiú 55-64,9 kg"/>
    <s v="Kumite, serdülő fiú 65 kg"/>
    <s v="2"/>
    <s v="2 fős egyenes kiesés"/>
    <s v="2"/>
    <s v="Tokaji Bocsárd Norbert"/>
    <x v="7"/>
    <s v="HUN"/>
    <n v="0"/>
    <m/>
    <s v="Gyöngyös"/>
    <d v="2026-03-07T00:00:00"/>
    <s v="Tokaji Bocsárd Norbert - KHSE"/>
    <x v="0"/>
    <s v="KHSE"/>
    <x v="1"/>
    <s v="serdülő"/>
  </r>
  <r>
    <x v="5"/>
    <n v="2"/>
    <n v="1075"/>
    <x v="0"/>
    <s v="Kumite, U 14/Serdülő fiú 65- kg"/>
    <s v="Kumite, serdülő fiú +65 kg"/>
    <s v="2"/>
    <s v="2 fős egyenes kiesés"/>
    <s v="1"/>
    <s v="Virág Marcell Máté"/>
    <x v="7"/>
    <s v="HUN"/>
    <n v="3"/>
    <m/>
    <s v="Gyöngyös"/>
    <d v="2026-03-07T00:00:00"/>
    <s v="Virág Marcell Máté - KHSE"/>
    <x v="0"/>
    <s v="KHSE"/>
    <x v="1"/>
    <s v="serdülő"/>
  </r>
  <r>
    <x v="5"/>
    <n v="2"/>
    <n v="1076"/>
    <x v="0"/>
    <s v="Kumite, U 14/Serdülő fiú 65- kg"/>
    <s v="Kumite, serdülő fiú +65 kg"/>
    <s v="2"/>
    <s v="2 fős egyenes kiesés"/>
    <s v="2"/>
    <s v="Elek János"/>
    <x v="7"/>
    <s v="HUN"/>
    <n v="0"/>
    <m/>
    <s v="Gyöngyös"/>
    <d v="2026-03-07T00:00:00"/>
    <s v="Elek János - KHSE"/>
    <x v="0"/>
    <s v="KHSE"/>
    <x v="1"/>
    <s v="serdülő"/>
  </r>
  <r>
    <x v="5"/>
    <n v="2"/>
    <n v="1077"/>
    <x v="0"/>
    <s v="Kumite, U 16/Ifjúsági lány 50-54,9 kg"/>
    <s v="Kumite, ifjúsági lány 55 kg"/>
    <s v="2"/>
    <s v="2 fős egyenes kiesés"/>
    <s v="1"/>
    <s v="Furó Liliána"/>
    <x v="7"/>
    <s v="HUN"/>
    <n v="3"/>
    <m/>
    <s v="Gyöngyös"/>
    <d v="2026-03-07T00:00:00"/>
    <s v="Furó Liliána - KHSE"/>
    <x v="0"/>
    <s v="KHSE"/>
    <x v="1"/>
    <s v="ifjúsági"/>
  </r>
  <r>
    <x v="5"/>
    <n v="2"/>
    <n v="1078"/>
    <x v="0"/>
    <s v="Kumite, U 16/Ifjúsági lány 50-54,9 kg"/>
    <s v="Kumite, ifjúsági lány 55 kg"/>
    <s v="2"/>
    <s v="2 fős egyenes kiesés"/>
    <s v="2"/>
    <s v="Kiss Boglárka"/>
    <x v="51"/>
    <s v="HUN"/>
    <n v="0"/>
    <m/>
    <s v="Gyöngyös"/>
    <d v="2026-03-07T00:00:00"/>
    <s v="Kiss Boglárka - Derecske BUDO"/>
    <x v="0"/>
    <s v="Derecske BUDO"/>
    <x v="1"/>
    <s v="ifjúsági"/>
  </r>
  <r>
    <x v="5"/>
    <n v="2"/>
    <n v="1079"/>
    <x v="0"/>
    <s v="Kumite, U 16/Ifjúsági lány 60-64,9 kg"/>
    <s v="Kumite, ifjúsági lány 65 kg"/>
    <s v="5"/>
    <s v="5 fős körmérkőzés"/>
    <s v="1"/>
    <s v="Fránki Réka"/>
    <x v="5"/>
    <s v="HUN"/>
    <n v="8"/>
    <m/>
    <s v="Gyöngyös"/>
    <d v="2026-03-07T00:00:00"/>
    <s v="Fránki Réka - TADASHII "/>
    <x v="1"/>
    <s v="TADASHII "/>
    <x v="1"/>
    <s v="ifjúsági"/>
  </r>
  <r>
    <x v="5"/>
    <n v="2"/>
    <n v="1080"/>
    <x v="0"/>
    <s v="Kumite, U 16/Ifjúsági lány 60-64,9 kg"/>
    <s v="Kumite, ifjúsági lány 65 kg"/>
    <s v="5"/>
    <s v="5 fős körmérkőzés"/>
    <s v="2"/>
    <s v="Pénzes Zsófia"/>
    <x v="7"/>
    <s v="HUN"/>
    <n v="6"/>
    <m/>
    <s v="Gyöngyös"/>
    <d v="2026-03-07T00:00:00"/>
    <s v="Pénzes Zsófia - KHSE"/>
    <x v="0"/>
    <s v="KHSE"/>
    <x v="1"/>
    <s v="ifjúsági"/>
  </r>
  <r>
    <x v="5"/>
    <n v="2"/>
    <n v="1081"/>
    <x v="0"/>
    <s v="Kumite, U 16/Ifjúsági lány 60-64,9 kg"/>
    <s v="Kumite, ifjúsági lány 65 kg"/>
    <s v="5"/>
    <s v="5 fős körmérkőzés"/>
    <s v="3"/>
    <s v="Albert Szilvia Cintia"/>
    <x v="51"/>
    <s v="HUN"/>
    <n v="4"/>
    <m/>
    <s v="Gyöngyös"/>
    <d v="2026-03-07T00:00:00"/>
    <s v="Albert Szilvia Cintia - Derecske BUDO"/>
    <x v="0"/>
    <s v="Derecske BUDO"/>
    <x v="1"/>
    <s v="ifjúsági"/>
  </r>
  <r>
    <x v="5"/>
    <n v="2"/>
    <n v="1081"/>
    <x v="0"/>
    <s v="Kumite, U 16/Ifjúsági lány 60-64,9 kg"/>
    <s v="Kumite, ifjúsági lány 65 kg"/>
    <s v="5"/>
    <s v="5 fős körmérkőzés"/>
    <n v="4"/>
    <s v="Kovács Viktória"/>
    <x v="10"/>
    <s v="HUN"/>
    <n v="3"/>
    <m/>
    <s v="Gyöngyös"/>
    <d v="2026-03-07T00:00:00"/>
    <s v="Kovács Viktória - Nintai KKSE"/>
    <x v="1"/>
    <s v="Nintai KKSE"/>
    <x v="1"/>
    <s v="ifjúsági"/>
  </r>
  <r>
    <x v="6"/>
    <n v="2"/>
    <n v="1083"/>
    <x v="0"/>
    <s v="Kumite, U12/Gyerek II fiú 0-39,9 kg"/>
    <s v="Kumite, gyerek 2. fiú 40 kg"/>
    <s v="10"/>
    <s v="16 fős egyenes kiesés"/>
    <s v="1"/>
    <s v="Balogh Levente"/>
    <x v="57"/>
    <s v="HUN"/>
    <n v="8"/>
    <m/>
    <s v="Szigetszentmiklós"/>
    <d v="2026-03-22T00:00:00"/>
    <s v="Balogh Levente - Magna Dojo"/>
    <x v="0"/>
    <s v="Magna Dojo"/>
    <x v="1"/>
    <s v="gyerek"/>
  </r>
  <r>
    <x v="6"/>
    <n v="2"/>
    <n v="1084"/>
    <x v="0"/>
    <s v="Kumite, U12/Gyerek II fiú 0-39,9 kg"/>
    <s v="Kumite, gyerek 2. fiú 40 kg"/>
    <s v="10"/>
    <s v="16 fős egyenes kiesés"/>
    <s v="2"/>
    <s v="Boka Norman Eliot"/>
    <x v="25"/>
    <s v="HUN"/>
    <n v="6"/>
    <m/>
    <s v="Szigetszentmiklós"/>
    <d v="2026-03-22T00:00:00"/>
    <s v="Boka Norman Eliot - Katana SE"/>
    <x v="0"/>
    <s v="Katana SE"/>
    <x v="1"/>
    <s v="gyerek"/>
  </r>
  <r>
    <x v="6"/>
    <n v="2"/>
    <n v="1085"/>
    <x v="0"/>
    <s v="Kumite, U12/Gyerek II fiú 0-39,9 kg"/>
    <s v="Kumite, gyerek 2. fiú 40 kg"/>
    <s v="10"/>
    <s v="16 fős egyenes kiesés"/>
    <s v="3"/>
    <s v="Szenner Valentin"/>
    <x v="25"/>
    <s v="HUN"/>
    <n v="4"/>
    <m/>
    <s v="Szigetszentmiklós"/>
    <d v="2026-03-22T00:00:00"/>
    <s v="Szenner Valentin - Katana SE"/>
    <x v="0"/>
    <s v="Katana SE"/>
    <x v="1"/>
    <s v="gyerek"/>
  </r>
  <r>
    <x v="6"/>
    <n v="2"/>
    <n v="1086"/>
    <x v="0"/>
    <s v="Kumite, U12/Gyerek II fiú 0-39,9 kg"/>
    <s v="Kumite, gyerek 2. fiú 40 kg"/>
    <s v="10"/>
    <s v="16 fős egyenes kiesés"/>
    <s v="3"/>
    <s v="Hegedűs Botond"/>
    <x v="50"/>
    <s v="HUN"/>
    <n v="4"/>
    <m/>
    <s v="Szigetszentmiklós"/>
    <d v="2026-03-22T00:00:00"/>
    <s v="Hegedűs Botond - Keizoku SE"/>
    <x v="0"/>
    <s v="Keizoku SE"/>
    <x v="1"/>
    <s v="gyerek"/>
  </r>
  <r>
    <x v="6"/>
    <n v="2"/>
    <n v="1087"/>
    <x v="0"/>
    <s v="Kumite, U12/Gyerek II fiú 0-39,9 kg"/>
    <s v="Kumite, gyerek 2. fiú 40 kg"/>
    <s v="10"/>
    <s v="16 fős egyenes kiesés"/>
    <s v="5"/>
    <s v="Zajácz Miklós"/>
    <x v="13"/>
    <s v="HUN"/>
    <n v="0"/>
    <s v="nem volt nyertes mérkőzése"/>
    <s v="Szigetszentmiklós"/>
    <d v="2026-03-22T00:00:00"/>
    <s v="Zajácz Miklós - Kamikaze S"/>
    <x v="0"/>
    <s v="Kamikaze S"/>
    <x v="1"/>
    <s v="gyerek"/>
  </r>
  <r>
    <x v="6"/>
    <n v="2"/>
    <n v="1088"/>
    <x v="0"/>
    <s v="Kumite, U12/Gyerek II fiú 0-39,9 kg"/>
    <s v="Kumite, gyerek 2. fiú 40 kg"/>
    <s v="10"/>
    <s v="16 fős egyenes kiesés"/>
    <s v="6"/>
    <s v="Kiss Adrián"/>
    <x v="50"/>
    <s v="HUN"/>
    <n v="0"/>
    <s v="nem volt nyertes mérkőzése"/>
    <s v="Szigetszentmiklós"/>
    <d v="2026-03-22T00:00:00"/>
    <s v="Kiss Adrián - Keizoku SE"/>
    <x v="0"/>
    <s v="Keizoku SE"/>
    <x v="1"/>
    <s v="gyerek"/>
  </r>
  <r>
    <x v="6"/>
    <n v="2"/>
    <n v="1089"/>
    <x v="0"/>
    <s v="Kumite, U12/Gyerek II fiú 0-39,9 kg"/>
    <s v="Kumite, gyerek 2. fiú 40 kg"/>
    <s v="10"/>
    <s v="16 fős egyenes kiesés"/>
    <s v="7-8"/>
    <s v="Molnár I. Zétény"/>
    <x v="28"/>
    <s v="HUN"/>
    <n v="2"/>
    <m/>
    <s v="Szigetszentmiklós"/>
    <d v="2026-03-22T00:00:00"/>
    <s v="Molnár I. Zétény - KKE - Spartacus"/>
    <x v="0"/>
    <s v="KKE - Spartacus"/>
    <x v="1"/>
    <s v="gyerek"/>
  </r>
  <r>
    <x v="6"/>
    <n v="2"/>
    <n v="1090"/>
    <x v="0"/>
    <s v="Kumite, U12/Gyerek II fiú 0-39,9 kg"/>
    <s v="Kumite, gyerek 2. fiú 40 kg"/>
    <s v="10"/>
    <s v="16 fős egyenes kiesés"/>
    <s v="7-8"/>
    <s v="Eszenyi Barnabás"/>
    <x v="3"/>
    <s v="HUN"/>
    <n v="0"/>
    <s v="nem volt nyertes mérkőzése"/>
    <s v="Szigetszentmiklós"/>
    <d v="2026-03-22T00:00:00"/>
    <s v="Eszenyi Barnabás - Shogun"/>
    <x v="0"/>
    <s v="Shogun"/>
    <x v="1"/>
    <s v="gyerek"/>
  </r>
  <r>
    <x v="6"/>
    <n v="2"/>
    <n v="1091"/>
    <x v="0"/>
    <s v="Kumite, U12/Gyerek II fiú 0-39,9 kg"/>
    <s v="Kumite, gyerek 2. fiú 40 kg"/>
    <s v="10"/>
    <s v="16 fős egyenes kiesés"/>
    <s v="11-16"/>
    <s v="Gordos Zalán"/>
    <x v="19"/>
    <s v="HUN"/>
    <n v="0"/>
    <m/>
    <s v="Szigetszentmiklós"/>
    <d v="2026-03-22T00:00:00"/>
    <s v="Gordos Zalán - VTSE"/>
    <x v="1"/>
    <s v="VTSE"/>
    <x v="1"/>
    <s v="gyerek"/>
  </r>
  <r>
    <x v="6"/>
    <n v="2"/>
    <n v="1092"/>
    <x v="0"/>
    <s v="Kumite, U12/Gyerek II fiú 0-39,9 kg"/>
    <s v="Kumite, gyerek 2. fiú 40 kg"/>
    <s v="10"/>
    <s v="16 fős egyenes kiesés"/>
    <s v="11-16"/>
    <s v="Tarr Bence"/>
    <x v="3"/>
    <s v="HUN"/>
    <n v="0"/>
    <m/>
    <s v="Szigetszentmiklós"/>
    <d v="2026-03-22T00:00:00"/>
    <s v="Tarr Bence - Shogun"/>
    <x v="0"/>
    <s v="Shogun"/>
    <x v="1"/>
    <s v="gyerek"/>
  </r>
  <r>
    <x v="6"/>
    <n v="2"/>
    <n v="1093"/>
    <x v="0"/>
    <s v="Kumite, U12/Gyerek II fiú 45-49,9 kg"/>
    <s v="Kumite, gyerek 2. fiú 50 kg"/>
    <s v="4"/>
    <s v="4 fős körmérkőzés"/>
    <s v="1"/>
    <s v="Szabó Máté Péter"/>
    <x v="29"/>
    <s v="HUN"/>
    <n v="6"/>
    <m/>
    <s v="Szigetszentmiklós"/>
    <d v="2026-03-22T00:00:00"/>
    <s v="Szabó Máté Péter - WARRIORS TEAM"/>
    <x v="0"/>
    <s v="WARRIORS TEAM"/>
    <x v="1"/>
    <s v="gyerek"/>
  </r>
  <r>
    <x v="6"/>
    <n v="2"/>
    <n v="1094"/>
    <x v="0"/>
    <s v="Kumite, U12/Gyerek II fiú 45-49,9 kg"/>
    <s v="Kumite, gyerek 2. fiú 50 kg"/>
    <s v="4"/>
    <s v="4 fős körmérkőzés"/>
    <s v="2"/>
    <s v="Borsi Krisztián"/>
    <x v="7"/>
    <s v="HUN"/>
    <n v="5"/>
    <m/>
    <s v="Szigetszentmiklós"/>
    <d v="2026-03-22T00:00:00"/>
    <s v="Borsi Krisztián - KHSE"/>
    <x v="0"/>
    <s v="KHSE"/>
    <x v="1"/>
    <s v="gyerek"/>
  </r>
  <r>
    <x v="6"/>
    <n v="2"/>
    <n v="1095"/>
    <x v="0"/>
    <s v="Kumite, U12/Gyerek II fiú 45-49,9 kg"/>
    <s v="Kumite, gyerek 2. fiú 50 kg"/>
    <s v="4"/>
    <s v="4 fős körmérkőzés"/>
    <s v="3"/>
    <s v="Kerékgyártó Tamás"/>
    <x v="56"/>
    <s v="HUN"/>
    <n v="3"/>
    <m/>
    <s v="Szigetszentmiklós"/>
    <d v="2026-03-22T00:00:00"/>
    <s v="Kerékgyártó Tamás - Wheelmaker dojo SE"/>
    <x v="1"/>
    <s v="Wheelmaker dojo SE"/>
    <x v="1"/>
    <s v="gyerek"/>
  </r>
  <r>
    <x v="6"/>
    <n v="2"/>
    <n v="1096"/>
    <x v="0"/>
    <s v="Kumite, U12/Gyerek II fiú 45-49,9 kg"/>
    <s v="Kumite, gyerek 2. fiú 50 kg"/>
    <s v="4"/>
    <s v="4 fős körmérkőzés"/>
    <s v="4"/>
    <s v="Ratkai János"/>
    <x v="7"/>
    <s v="HUN"/>
    <n v="2"/>
    <m/>
    <s v="Szigetszentmiklós"/>
    <d v="2026-03-22T00:00:00"/>
    <s v="Ratkai János - KHSE"/>
    <x v="0"/>
    <s v="KHSE"/>
    <x v="1"/>
    <s v="gyerek"/>
  </r>
  <r>
    <x v="6"/>
    <n v="2"/>
    <n v="1097"/>
    <x v="0"/>
    <s v="Kumite, U12/Gyerek II fiú 50- kg"/>
    <s v="Kumite, gyerek 2. fiú +50 kg"/>
    <s v="8"/>
    <s v="8 fős egyenes kiesés"/>
    <s v="1"/>
    <s v="Vágó Ákos"/>
    <x v="7"/>
    <s v="HUN"/>
    <n v="6"/>
    <m/>
    <s v="Szigetszentmiklós"/>
    <d v="2026-03-22T00:00:00"/>
    <s v="Vágó Ákos - KHSE"/>
    <x v="0"/>
    <s v="KHSE"/>
    <x v="1"/>
    <s v="gyerek"/>
  </r>
  <r>
    <x v="6"/>
    <n v="2"/>
    <n v="1098"/>
    <x v="0"/>
    <s v="Kumite, U12/Gyerek II fiú 50- kg"/>
    <s v="Kumite, gyerek 2. fiú +50 kg"/>
    <s v="8"/>
    <s v="8 fős egyenes kiesés"/>
    <s v="2"/>
    <s v="Kiss Levente"/>
    <x v="51"/>
    <s v="HUN"/>
    <n v="5"/>
    <m/>
    <s v="Szigetszentmiklós"/>
    <d v="2026-03-22T00:00:00"/>
    <s v="Kiss Levente - Derecske BUDO"/>
    <x v="0"/>
    <s v="Derecske BUDO"/>
    <x v="1"/>
    <s v="gyerek"/>
  </r>
  <r>
    <x v="6"/>
    <n v="2"/>
    <n v="1099"/>
    <x v="0"/>
    <s v="Kumite, U12/Gyerek II fiú 50- kg"/>
    <s v="Kumite, gyerek 2. fiú +50 kg"/>
    <s v="8"/>
    <s v="8 fős egyenes kiesés"/>
    <s v="3"/>
    <s v="Borsi Balázs"/>
    <x v="7"/>
    <s v="HUN"/>
    <n v="3"/>
    <m/>
    <s v="Szigetszentmiklós"/>
    <d v="2026-03-22T00:00:00"/>
    <s v="Borsi Balázs - KHSE"/>
    <x v="0"/>
    <s v="KHSE"/>
    <x v="1"/>
    <s v="gyerek"/>
  </r>
  <r>
    <x v="6"/>
    <n v="2"/>
    <n v="1100"/>
    <x v="0"/>
    <s v="Kumite, U12/Gyerek II fiú 50- kg"/>
    <s v="Kumite, gyerek 2. fiú +50 kg"/>
    <s v="8"/>
    <s v="8 fős egyenes kiesés"/>
    <s v="3"/>
    <s v="Gyuricska Benedek"/>
    <x v="3"/>
    <s v="HUN"/>
    <n v="3"/>
    <m/>
    <s v="Szigetszentmiklós"/>
    <d v="2026-03-22T00:00:00"/>
    <s v="Gyuricska Benedek - Shogun"/>
    <x v="0"/>
    <s v="Shogun"/>
    <x v="1"/>
    <s v="gyerek"/>
  </r>
  <r>
    <x v="6"/>
    <n v="2"/>
    <n v="1101"/>
    <x v="0"/>
    <s v="Kumite, U12/Gyerek II fiú 50- kg"/>
    <s v="Kumite, gyerek 2. fiú +50 kg"/>
    <s v="8"/>
    <s v="8 fős egyenes kiesés"/>
    <s v="5"/>
    <s v="Adamecz Milán"/>
    <x v="24"/>
    <s v="HUN"/>
    <n v="0"/>
    <m/>
    <s v="Szigetszentmiklós"/>
    <d v="2026-03-22T00:00:00"/>
    <s v="Adamecz Milán - Nagykátai Bushido SE"/>
    <x v="0"/>
    <s v="Nagykátai Bushido SE"/>
    <x v="1"/>
    <s v="gyerek"/>
  </r>
  <r>
    <x v="6"/>
    <n v="2"/>
    <n v="1102"/>
    <x v="0"/>
    <s v="Kumite, U12/Gyerek II fiú 50- kg"/>
    <s v="Kumite, gyerek 2. fiú +50 kg"/>
    <s v="8"/>
    <s v="8 fős egyenes kiesés"/>
    <s v="6"/>
    <s v="Némethy Balázs"/>
    <x v="3"/>
    <s v="HUN"/>
    <n v="0"/>
    <m/>
    <s v="Szigetszentmiklós"/>
    <d v="2026-03-22T00:00:00"/>
    <s v="Némethy Balázs - Shogun"/>
    <x v="0"/>
    <s v="Shogun"/>
    <x v="1"/>
    <s v="gyerek"/>
  </r>
  <r>
    <x v="6"/>
    <n v="2"/>
    <n v="1103"/>
    <x v="0"/>
    <s v="Kumite, U12/Gyerek II fiú 50- kg"/>
    <s v="Kumite, gyerek 2. fiú +50 kg"/>
    <s v="8"/>
    <s v="8 fős egyenes kiesés"/>
    <s v="7-8"/>
    <s v="Kiss István"/>
    <x v="51"/>
    <s v="HUN"/>
    <n v="0"/>
    <m/>
    <s v="Szigetszentmiklós"/>
    <d v="2026-03-22T00:00:00"/>
    <s v="Kiss István - Derecske BUDO"/>
    <x v="0"/>
    <s v="Derecske BUDO"/>
    <x v="1"/>
    <s v="gyerek"/>
  </r>
  <r>
    <x v="6"/>
    <n v="2"/>
    <n v="1104"/>
    <x v="0"/>
    <s v="Kumite, U12/Gyerek II fiú 50- kg"/>
    <s v="Kumite, gyerek 2. fiú +50 kg"/>
    <s v="8"/>
    <s v="8 fős egyenes kiesés"/>
    <s v="7-8"/>
    <s v="Odorics Zétény"/>
    <x v="23"/>
    <s v="HUN"/>
    <n v="0"/>
    <m/>
    <s v="Szigetszentmiklós"/>
    <d v="2026-03-22T00:00:00"/>
    <s v="Odorics Zétény - Rakurai"/>
    <x v="0"/>
    <s v="Rakurai"/>
    <x v="1"/>
    <s v="gyerek"/>
  </r>
  <r>
    <x v="6"/>
    <n v="2"/>
    <n v="1105"/>
    <x v="0"/>
    <s v="Kumite, U12/Gyerek II lány 0-34,9 kg"/>
    <s v="Kumite, gyerek 2. lány 35 kg"/>
    <s v="2"/>
    <s v="2 fős egyenes kiesés"/>
    <s v="1"/>
    <s v="Fürjesi Eszter"/>
    <x v="3"/>
    <s v="HUN"/>
    <n v="3"/>
    <m/>
    <s v="Szigetszentmiklós"/>
    <d v="2026-03-22T00:00:00"/>
    <s v="Fürjesi Eszter - Shogun"/>
    <x v="0"/>
    <s v="Shogun"/>
    <x v="1"/>
    <s v="gyerek"/>
  </r>
  <r>
    <x v="6"/>
    <n v="2"/>
    <n v="1106"/>
    <x v="0"/>
    <s v="Kumite, U12/Gyerek II lány 0-34,9 kg"/>
    <s v="Kumite, gyerek 2. lány 35 kg"/>
    <s v="2"/>
    <s v="2 fős egyenes kiesés"/>
    <s v="2"/>
    <s v="Huszár Hanna"/>
    <x v="46"/>
    <s v="HUN"/>
    <n v="0"/>
    <m/>
    <s v="Szigetszentmiklós"/>
    <d v="2026-03-22T00:00:00"/>
    <s v="Huszár Hanna - Kemecse SE"/>
    <x v="0"/>
    <s v="Kemecse SE"/>
    <x v="1"/>
    <s v="gyerek"/>
  </r>
  <r>
    <x v="6"/>
    <n v="2"/>
    <n v="1107"/>
    <x v="0"/>
    <s v="Kumite, U12/Gyerek II lány 40-44,9 kg"/>
    <s v="Kumite, gyerek 2. lány 45 kg"/>
    <s v="2"/>
    <s v="2 fős egyenes kiesés"/>
    <s v="1"/>
    <s v="Vig Boglárka"/>
    <x v="19"/>
    <s v="HUN"/>
    <n v="3"/>
    <m/>
    <s v="Szigetszentmiklós"/>
    <d v="2026-03-22T00:00:00"/>
    <s v="Vig Boglárka - VTSE"/>
    <x v="1"/>
    <s v="VTSE"/>
    <x v="1"/>
    <s v="gyerek"/>
  </r>
  <r>
    <x v="6"/>
    <n v="2"/>
    <n v="1108"/>
    <x v="0"/>
    <s v="Kumite, U12/Gyerek II lány 40-44,9 kg"/>
    <s v="Kumite, gyerek 2. lány 45 kg"/>
    <s v="2"/>
    <s v="2 fős egyenes kiesés"/>
    <s v="2"/>
    <s v="Szombath Jázmin"/>
    <x v="4"/>
    <s v="HUN"/>
    <n v="0"/>
    <m/>
    <s v="Szigetszentmiklós"/>
    <d v="2026-03-22T00:00:00"/>
    <s v="Szombath Jázmin - Főnix Dojo"/>
    <x v="0"/>
    <s v="Főnix Dojo"/>
    <x v="1"/>
    <s v="gyerek"/>
  </r>
  <r>
    <x v="6"/>
    <n v="2"/>
    <n v="1109"/>
    <x v="0"/>
    <s v="Kumite, U12/Gyerek II lány 45- kg"/>
    <s v="Kumite, gyerek 2. lány +45 kg"/>
    <s v="6"/>
    <s v="6 fős vegyes"/>
    <s v="1"/>
    <s v="Matkó Gréta"/>
    <x v="7"/>
    <s v="HUN"/>
    <n v="6"/>
    <m/>
    <s v="Szigetszentmiklós"/>
    <d v="2026-03-22T00:00:00"/>
    <s v="Matkó Gréta - KHSE"/>
    <x v="0"/>
    <s v="KHSE"/>
    <x v="1"/>
    <s v="gyerek"/>
  </r>
  <r>
    <x v="6"/>
    <n v="2"/>
    <n v="1110"/>
    <x v="0"/>
    <s v="Kumite, U12/Gyerek II lány 45- kg"/>
    <s v="Kumite, gyerek 2. lány +45 kg"/>
    <s v="6"/>
    <s v="6 fős vegyes"/>
    <s v="2"/>
    <s v="Kocsis Nóra"/>
    <x v="16"/>
    <s v="HUN"/>
    <n v="5"/>
    <m/>
    <s v="Szigetszentmiklós"/>
    <d v="2026-03-22T00:00:00"/>
    <s v="Kocsis Nóra - Genbu dojo"/>
    <x v="1"/>
    <s v="Genbu dojo"/>
    <x v="1"/>
    <s v="gyerek"/>
  </r>
  <r>
    <x v="6"/>
    <n v="2"/>
    <n v="1111"/>
    <x v="0"/>
    <s v="Kumite, U12/Gyerek II lány 45- kg"/>
    <s v="Kumite, gyerek 2. lány +45 kg"/>
    <s v="6"/>
    <s v="6 fős vegyes"/>
    <s v="3"/>
    <s v="Kocsis Angéla"/>
    <x v="16"/>
    <s v="HUN"/>
    <n v="3"/>
    <m/>
    <s v="Szigetszentmiklós"/>
    <d v="2026-03-22T00:00:00"/>
    <s v="Kocsis Angéla - Genbu dojo"/>
    <x v="1"/>
    <s v="Genbu dojo"/>
    <x v="1"/>
    <s v="gyerek"/>
  </r>
  <r>
    <x v="6"/>
    <n v="2"/>
    <n v="1112"/>
    <x v="0"/>
    <s v="Kumite, U12/Gyerek II lány 45- kg"/>
    <s v="Kumite, gyerek 2. lány +45 kg"/>
    <s v="6"/>
    <s v="6 fős vegyes"/>
    <s v="4"/>
    <s v="Szabó Lídia Lillada"/>
    <x v="36"/>
    <s v="HUN"/>
    <n v="0"/>
    <m/>
    <s v="Szigetszentmiklós"/>
    <d v="2026-03-22T00:00:00"/>
    <s v="Szabó Lídia Lillada - POWER SE."/>
    <x v="0"/>
    <s v="POWER SE."/>
    <x v="1"/>
    <s v="gyerek"/>
  </r>
  <r>
    <x v="6"/>
    <n v="2"/>
    <n v="1113"/>
    <x v="0"/>
    <s v="Kumite, U12/Gyerek II lány 45- kg"/>
    <s v="Kumite, gyerek 2. lány +45 kg"/>
    <s v="6"/>
    <s v="6 fős vegyes"/>
    <s v="5"/>
    <s v="Dászkál Dorottya"/>
    <x v="3"/>
    <s v="HUN"/>
    <n v="0"/>
    <m/>
    <s v="Szigetszentmiklós"/>
    <d v="2026-03-22T00:00:00"/>
    <s v="Dászkál Dorottya - Shogun"/>
    <x v="0"/>
    <s v="Shogun"/>
    <x v="1"/>
    <s v="gyerek"/>
  </r>
  <r>
    <x v="6"/>
    <n v="2"/>
    <n v="1114"/>
    <x v="0"/>
    <s v="Kumite, U12/Gyerek II lány 45- kg"/>
    <s v="Kumite, gyerek 2. lány +45 kg"/>
    <s v="6"/>
    <s v="6 fős vegyes"/>
    <s v="6"/>
    <s v="Janás Mia"/>
    <x v="4"/>
    <s v="HUN"/>
    <n v="0"/>
    <m/>
    <s v="Szigetszentmiklós"/>
    <d v="2026-03-22T00:00:00"/>
    <s v="Janás Mia - Főnix Dojo"/>
    <x v="0"/>
    <s v="Főnix Dojo"/>
    <x v="1"/>
    <s v="gyerek"/>
  </r>
  <r>
    <x v="6"/>
    <n v="2"/>
    <n v="1115"/>
    <x v="0"/>
    <s v="Kumite, U14/Serdülő fiú 0-44,9 kg"/>
    <s v="Kumite, serdülő fiú 45 kg"/>
    <s v="9"/>
    <s v="16 fős egyenes kiesés"/>
    <s v="1"/>
    <s v="Bárkovics Áron"/>
    <x v="28"/>
    <s v="HUN"/>
    <n v="8"/>
    <m/>
    <s v="Szigetszentmiklós"/>
    <d v="2026-03-22T00:00:00"/>
    <s v="Bárkovics Áron - KKE - Spartacus"/>
    <x v="0"/>
    <s v="KKE - Spartacus"/>
    <x v="1"/>
    <s v="serdülő"/>
  </r>
  <r>
    <x v="6"/>
    <n v="2"/>
    <n v="1116"/>
    <x v="0"/>
    <s v="Kumite, U14/Serdülő fiú 0-44,9 kg"/>
    <s v="Kumite, serdülő fiú 45 kg"/>
    <s v="9"/>
    <s v="16 fős egyenes kiesés"/>
    <s v="2"/>
    <s v="Böszörményi Bendegúz "/>
    <x v="24"/>
    <s v="HUN"/>
    <n v="6"/>
    <m/>
    <s v="Szigetszentmiklós"/>
    <d v="2026-03-22T00:00:00"/>
    <s v="Böszörményi Bendegúz  - Nagykátai Bushido SE"/>
    <x v="0"/>
    <s v="Nagykátai Bushido SE"/>
    <x v="1"/>
    <s v="serdülő"/>
  </r>
  <r>
    <x v="6"/>
    <n v="2"/>
    <n v="1117"/>
    <x v="0"/>
    <s v="Kumite, U14/Serdülő fiú 0-44,9 kg"/>
    <s v="Kumite, serdülő fiú 45 kg"/>
    <s v="9"/>
    <s v="16 fős egyenes kiesés"/>
    <s v="3"/>
    <s v="Szabó Zoltán Szüa"/>
    <x v="36"/>
    <s v="HUN"/>
    <n v="4"/>
    <m/>
    <s v="Szigetszentmiklós"/>
    <d v="2026-03-22T00:00:00"/>
    <s v="Szabó Zoltán Szüa - POWER SE."/>
    <x v="0"/>
    <s v="POWER SE."/>
    <x v="1"/>
    <s v="serdülő"/>
  </r>
  <r>
    <x v="6"/>
    <n v="2"/>
    <n v="1118"/>
    <x v="0"/>
    <s v="Kumite, U14/Serdülő fiú 0-44,9 kg"/>
    <s v="Kumite, serdülő fiú 45 kg"/>
    <s v="9"/>
    <s v="16 fős egyenes kiesés"/>
    <s v="3"/>
    <s v="Hegedűs Zsombor"/>
    <x v="24"/>
    <s v="HUN"/>
    <n v="4"/>
    <m/>
    <s v="Szigetszentmiklós"/>
    <d v="2026-03-22T00:00:00"/>
    <s v="Hegedűs Zsombor - Nagykátai Bushido SE"/>
    <x v="0"/>
    <s v="Nagykátai Bushido SE"/>
    <x v="1"/>
    <s v="serdülő"/>
  </r>
  <r>
    <x v="6"/>
    <n v="2"/>
    <n v="1119"/>
    <x v="0"/>
    <s v="Kumite, U14/Serdülő fiú 0-44,9 kg"/>
    <s v="Kumite, serdülő fiú 45 kg"/>
    <s v="9"/>
    <s v="16 fős egyenes kiesés"/>
    <s v="5"/>
    <s v="Bara András"/>
    <x v="56"/>
    <s v="HUN"/>
    <n v="0"/>
    <s v="nem volt nyertes mérkőzése"/>
    <s v="Szigetszentmiklós"/>
    <d v="2026-03-22T00:00:00"/>
    <s v="Bara András - Wheelmaker dojo SE"/>
    <x v="1"/>
    <s v="Wheelmaker dojo SE"/>
    <x v="1"/>
    <s v="serdülő"/>
  </r>
  <r>
    <x v="6"/>
    <n v="2"/>
    <n v="1120"/>
    <x v="0"/>
    <s v="Kumite, U14/Serdülő fiú 0-44,9 kg"/>
    <s v="Kumite, serdülő fiú 45 kg"/>
    <s v="9"/>
    <s v="16 fős egyenes kiesés"/>
    <s v="6"/>
    <s v="Székely Lázár"/>
    <x v="47"/>
    <s v="HUN"/>
    <n v="0"/>
    <s v="nem volt nyertes mérkőzése"/>
    <s v="Szigetszentmiklós"/>
    <d v="2026-03-22T00:00:00"/>
    <s v="Székely Lázár - KYO Fighter SE"/>
    <x v="0"/>
    <s v="KYO Fighter SE"/>
    <x v="1"/>
    <s v="serdülő"/>
  </r>
  <r>
    <x v="6"/>
    <n v="2"/>
    <n v="1121"/>
    <x v="0"/>
    <s v="Kumite, U14/Serdülő fiú 0-44,9 kg"/>
    <s v="Kumite, serdülő fiú 45 kg"/>
    <s v="9"/>
    <s v="16 fős egyenes kiesés"/>
    <s v="7-8"/>
    <s v="Béres Bence"/>
    <x v="19"/>
    <s v="HUN"/>
    <n v="0"/>
    <s v="nem volt nyertes mérkőzése"/>
    <s v="Szigetszentmiklós"/>
    <d v="2026-03-22T00:00:00"/>
    <s v="Béres Bence - VTSE"/>
    <x v="1"/>
    <s v="VTSE"/>
    <x v="1"/>
    <s v="serdülő"/>
  </r>
  <r>
    <x v="6"/>
    <n v="2"/>
    <n v="1122"/>
    <x v="0"/>
    <s v="Kumite, U14/Serdülő fiú 0-44,9 kg"/>
    <s v="Kumite, serdülő fiú 45 kg"/>
    <s v="9"/>
    <s v="16 fős egyenes kiesés"/>
    <s v="7-8"/>
    <s v="Palmer Ádám"/>
    <x v="56"/>
    <s v="HUN"/>
    <n v="0"/>
    <s v="nem volt nyertes mérkőzése"/>
    <s v="Szigetszentmiklós"/>
    <d v="2026-03-22T00:00:00"/>
    <s v="Palmer Ádám - Wheelmaker dojo SE"/>
    <x v="1"/>
    <s v="Wheelmaker dojo SE"/>
    <x v="1"/>
    <s v="serdülő"/>
  </r>
  <r>
    <x v="6"/>
    <n v="2"/>
    <n v="1123"/>
    <x v="0"/>
    <s v="Kumite, U14/Serdülő fiú 0-44,9 kg"/>
    <s v="Kumite, serdülő fiú 45 kg"/>
    <s v="9"/>
    <s v="16 fős egyenes kiesés"/>
    <s v="11-16"/>
    <s v="Rudi Gergő"/>
    <x v="23"/>
    <s v="HUN"/>
    <n v="0"/>
    <m/>
    <s v="Szigetszentmiklós"/>
    <d v="2026-03-22T00:00:00"/>
    <s v="Rudi Gergő - Rakurai"/>
    <x v="0"/>
    <s v="Rakurai"/>
    <x v="1"/>
    <s v="serdülő"/>
  </r>
  <r>
    <x v="6"/>
    <n v="2"/>
    <n v="1124"/>
    <x v="0"/>
    <s v="Kumite, U14/Serdülő fiú 45-54,9 kg"/>
    <s v="Kumite, serdülő fiú 55 kg"/>
    <s v="10"/>
    <s v="16 fős egyenes kiesés"/>
    <s v="1"/>
    <s v="Viszugyel Bálint"/>
    <x v="19"/>
    <s v="HUN"/>
    <n v="8"/>
    <m/>
    <s v="Szigetszentmiklós"/>
    <d v="2026-03-22T00:00:00"/>
    <s v="Viszugyel Bálint - VTSE"/>
    <x v="1"/>
    <s v="VTSE"/>
    <x v="1"/>
    <s v="serdülő"/>
  </r>
  <r>
    <x v="6"/>
    <n v="2"/>
    <n v="1125"/>
    <x v="0"/>
    <s v="Kumite, U14/Serdülő fiú 45-54,9 kg"/>
    <s v="Kumite, serdülő fiú 55 kg"/>
    <s v="10"/>
    <s v="16 fős egyenes kiesés"/>
    <s v="2"/>
    <s v="Vig Bendegúz"/>
    <x v="19"/>
    <s v="HUN"/>
    <n v="6"/>
    <m/>
    <s v="Szigetszentmiklós"/>
    <d v="2026-03-22T00:00:00"/>
    <s v="Vig Bendegúz - VTSE"/>
    <x v="1"/>
    <s v="VTSE"/>
    <x v="1"/>
    <s v="serdülő"/>
  </r>
  <r>
    <x v="6"/>
    <n v="2"/>
    <n v="1126"/>
    <x v="0"/>
    <s v="Kumite, U14/Serdülő fiú 45-54,9 kg"/>
    <s v="Kumite, serdülő fiú 55 kg"/>
    <s v="10"/>
    <s v="16 fős egyenes kiesés"/>
    <s v="3"/>
    <s v="Tóth Kornél"/>
    <x v="28"/>
    <s v="HUN"/>
    <n v="4"/>
    <m/>
    <s v="Szigetszentmiklós"/>
    <d v="2026-03-22T00:00:00"/>
    <s v="Tóth Kornél - KKE - Spartacus"/>
    <x v="0"/>
    <s v="KKE - Spartacus"/>
    <x v="1"/>
    <s v="serdülő"/>
  </r>
  <r>
    <x v="6"/>
    <n v="2"/>
    <n v="1127"/>
    <x v="0"/>
    <s v="Kumite, U14/Serdülő fiú 45-54,9 kg"/>
    <s v="Kumite, serdülő fiú 55 kg"/>
    <s v="10"/>
    <s v="16 fős egyenes kiesés"/>
    <s v="3"/>
    <s v="Simao Roberto"/>
    <x v="59"/>
    <s v="HUN"/>
    <n v="4"/>
    <m/>
    <s v="Szigetszentmiklós"/>
    <d v="2026-03-22T00:00:00"/>
    <s v="Simao Roberto - Délegyházi Karate SE"/>
    <x v="1"/>
    <s v="Délegyházi Karate SE"/>
    <x v="1"/>
    <s v="serdülő"/>
  </r>
  <r>
    <x v="6"/>
    <n v="2"/>
    <n v="1128"/>
    <x v="0"/>
    <s v="Kumite, U14/Serdülő fiú 45-54,9 kg"/>
    <s v="Kumite, serdülő fiú 55 kg"/>
    <s v="10"/>
    <s v="16 fős egyenes kiesés"/>
    <s v="5"/>
    <s v="Vékony Márk"/>
    <x v="56"/>
    <s v="HUN"/>
    <n v="0"/>
    <s v="nem volt nyertes mérkőzése"/>
    <s v="Szigetszentmiklós"/>
    <d v="2026-03-22T00:00:00"/>
    <s v="Vékony Márk - Wheelmaker dojo SE"/>
    <x v="1"/>
    <s v="Wheelmaker dojo SE"/>
    <x v="1"/>
    <s v="serdülő"/>
  </r>
  <r>
    <x v="6"/>
    <n v="2"/>
    <n v="1129"/>
    <x v="0"/>
    <s v="Kumite, U14/Serdülő fiú 45-54,9 kg"/>
    <s v="Kumite, serdülő fiú 55 kg"/>
    <s v="10"/>
    <s v="16 fős egyenes kiesés"/>
    <s v="6"/>
    <s v="Kollár Gergő"/>
    <x v="5"/>
    <s v="HUN"/>
    <n v="0"/>
    <s v="nem volt nyertes mérkőzése"/>
    <s v="Szigetszentmiklós"/>
    <d v="2026-03-22T00:00:00"/>
    <s v="Kollár Gergő - TADASHII "/>
    <x v="1"/>
    <s v="TADASHII "/>
    <x v="1"/>
    <s v="serdülő"/>
  </r>
  <r>
    <x v="6"/>
    <n v="2"/>
    <n v="1130"/>
    <x v="0"/>
    <s v="Kumite, U14/Serdülő fiú 45-54,9 kg"/>
    <s v="Kumite, serdülő fiú 55 kg"/>
    <s v="10"/>
    <s v="16 fős egyenes kiesés"/>
    <s v="7-8"/>
    <s v="Kámán Márton"/>
    <x v="23"/>
    <s v="HUN"/>
    <n v="2"/>
    <m/>
    <s v="Szigetszentmiklós"/>
    <d v="2026-03-22T00:00:00"/>
    <s v="Kámán Márton - Rakurai"/>
    <x v="0"/>
    <s v="Rakurai"/>
    <x v="1"/>
    <s v="serdülő"/>
  </r>
  <r>
    <x v="6"/>
    <n v="2"/>
    <n v="1131"/>
    <x v="0"/>
    <s v="Kumite, U14/Serdülő fiú 45-54,9 kg"/>
    <s v="Kumite, serdülő fiú 55 kg"/>
    <s v="10"/>
    <s v="16 fős egyenes kiesés"/>
    <s v="7-8"/>
    <s v="Hadnagy Barnabás"/>
    <x v="26"/>
    <s v="HUN"/>
    <n v="2"/>
    <m/>
    <s v="Szigetszentmiklós"/>
    <d v="2026-03-22T00:00:00"/>
    <s v="Hadnagy Barnabás - Rokku KKSE"/>
    <x v="0"/>
    <s v="Rokku KKSE"/>
    <x v="1"/>
    <s v="serdülő"/>
  </r>
  <r>
    <x v="6"/>
    <n v="2"/>
    <n v="1132"/>
    <x v="0"/>
    <s v="Kumite, U14/Serdülő fiú 45-54,9 kg"/>
    <s v="Kumite, serdülő fiú 55 kg"/>
    <s v="10"/>
    <s v="16 fős egyenes kiesés"/>
    <s v="11-16"/>
    <s v="Ujj Szabolcs"/>
    <x v="58"/>
    <s v="HUN"/>
    <n v="0"/>
    <m/>
    <s v="Szigetszentmiklós"/>
    <d v="2026-03-22T00:00:00"/>
    <s v="Ujj Szabolcs - Marcali SKK"/>
    <x v="0"/>
    <s v="Marcali SKK"/>
    <x v="1"/>
    <s v="serdülő"/>
  </r>
  <r>
    <x v="6"/>
    <n v="2"/>
    <n v="1133"/>
    <x v="0"/>
    <s v="Kumite, U14/Serdülő fiú 45-54,9 kg"/>
    <s v="Kumite, serdülő fiú 55 kg"/>
    <s v="10"/>
    <s v="16 fős egyenes kiesés"/>
    <s v="11-16"/>
    <s v="Lőrincz Bence"/>
    <x v="37"/>
    <s v="HUN"/>
    <n v="0"/>
    <m/>
    <s v="Szigetszentmiklós"/>
    <d v="2026-03-22T00:00:00"/>
    <s v="Lőrincz Bence - ASE Bulldog KKSZCS"/>
    <x v="0"/>
    <s v="ASE Bulldog KKSZCS"/>
    <x v="1"/>
    <s v="serdülő"/>
  </r>
  <r>
    <x v="6"/>
    <n v="2"/>
    <n v="1134"/>
    <x v="0"/>
    <s v="Kumite, U14/Serdülő fiú 55-64,9 kg"/>
    <s v="Kumite, serdülő fiú 65 kg"/>
    <s v="4"/>
    <s v="4 fős körmérkőzés"/>
    <s v="1"/>
    <s v="Száraz Zsombor"/>
    <x v="51"/>
    <s v="HUN"/>
    <n v="6"/>
    <m/>
    <s v="Szigetszentmiklós"/>
    <d v="2026-03-22T00:00:00"/>
    <s v="Száraz Zsombor - Derecske BUDO"/>
    <x v="0"/>
    <s v="Derecske BUDO"/>
    <x v="1"/>
    <s v="serdülő"/>
  </r>
  <r>
    <x v="6"/>
    <n v="2"/>
    <n v="1135"/>
    <x v="0"/>
    <s v="Kumite, U14/Serdülő fiú 55-64,9 kg"/>
    <s v="Kumite, serdülő fiú 65 kg"/>
    <s v="4"/>
    <s v="4 fős körmérkőzés"/>
    <s v="2"/>
    <s v="Tokaji Bocsárd Norbert"/>
    <x v="7"/>
    <s v="HUN"/>
    <n v="5"/>
    <m/>
    <s v="Szigetszentmiklós"/>
    <d v="2026-03-22T00:00:00"/>
    <s v="Tokaji Bocsárd Norbert - KHSE"/>
    <x v="0"/>
    <s v="KHSE"/>
    <x v="1"/>
    <s v="serdülő"/>
  </r>
  <r>
    <x v="6"/>
    <n v="2"/>
    <n v="1136"/>
    <x v="0"/>
    <s v="Kumite, U14/Serdülő fiú 55-64,9 kg"/>
    <s v="Kumite, serdülő fiú 65 kg"/>
    <s v="4"/>
    <s v="4 fős körmérkőzés"/>
    <s v="3"/>
    <s v="Bánfi Botond"/>
    <x v="26"/>
    <s v="HUN"/>
    <n v="3"/>
    <m/>
    <s v="Szigetszentmiklós"/>
    <d v="2026-03-22T00:00:00"/>
    <s v="Bánfi Botond - Rokku KKSE"/>
    <x v="0"/>
    <s v="Rokku KKSE"/>
    <x v="1"/>
    <s v="serdülő"/>
  </r>
  <r>
    <x v="6"/>
    <n v="2"/>
    <n v="1137"/>
    <x v="0"/>
    <s v="Kumite, U14/Serdülő fiú 55-64,9 kg"/>
    <s v="Kumite, serdülő fiú 65 kg"/>
    <s v="4"/>
    <s v="4 fős körmérkőzés"/>
    <s v="4"/>
    <s v="Reinhofer Patrik"/>
    <x v="26"/>
    <s v="HUN"/>
    <n v="0"/>
    <s v="nem volt nyertes mérkőzése"/>
    <s v="Szigetszentmiklós"/>
    <d v="2026-03-22T00:00:00"/>
    <s v="Reinhofer Patrik - Rokku KKSE"/>
    <x v="0"/>
    <s v="Rokku KKSE"/>
    <x v="1"/>
    <s v="serdülő"/>
  </r>
  <r>
    <x v="6"/>
    <n v="2"/>
    <n v="1138"/>
    <x v="0"/>
    <s v="Kumite, U14/Serdülő fiú 65- kg"/>
    <s v="Kumite, serdülő fiú +65 kg"/>
    <s v="8"/>
    <s v="8 fős egyenes kiesés"/>
    <s v="1"/>
    <s v="Villasenor Babos Viktor Éliás"/>
    <x v="23"/>
    <s v="HUN"/>
    <n v="6"/>
    <m/>
    <s v="Szigetszentmiklós"/>
    <d v="2026-03-22T00:00:00"/>
    <s v="Villasenor Babos Viktor Éliás - Rakurai"/>
    <x v="0"/>
    <s v="Rakurai"/>
    <x v="1"/>
    <s v="serdülő"/>
  </r>
  <r>
    <x v="6"/>
    <n v="2"/>
    <n v="1139"/>
    <x v="0"/>
    <s v="Kumite, U14/Serdülő fiú 65- kg"/>
    <s v="Kumite, serdülő fiú +65 kg"/>
    <s v="8"/>
    <s v="8 fős egyenes kiesés"/>
    <s v="2"/>
    <s v="Finta Csanád"/>
    <x v="23"/>
    <s v="HUN"/>
    <n v="5"/>
    <m/>
    <s v="Szigetszentmiklós"/>
    <d v="2026-03-22T00:00:00"/>
    <s v="Finta Csanád - Rakurai"/>
    <x v="0"/>
    <s v="Rakurai"/>
    <x v="1"/>
    <s v="serdülő"/>
  </r>
  <r>
    <x v="6"/>
    <n v="2"/>
    <n v="1140"/>
    <x v="0"/>
    <s v="Kumite, U14/Serdülő fiú 65- kg"/>
    <s v="Kumite, serdülő fiú +65 kg"/>
    <s v="8"/>
    <s v="8 fős egyenes kiesés"/>
    <s v="3"/>
    <s v="Salga Márton"/>
    <x v="26"/>
    <s v="HUN"/>
    <n v="3"/>
    <m/>
    <s v="Szigetszentmiklós"/>
    <d v="2026-03-22T00:00:00"/>
    <s v="Salga Márton - Rokku KKSE"/>
    <x v="0"/>
    <s v="Rokku KKSE"/>
    <x v="1"/>
    <s v="serdülő"/>
  </r>
  <r>
    <x v="6"/>
    <n v="2"/>
    <n v="1141"/>
    <x v="0"/>
    <s v="Kumite, U14/Serdülő fiú 65- kg"/>
    <s v="Kumite, serdülő fiú +65 kg"/>
    <s v="8"/>
    <s v="8 fős egyenes kiesés"/>
    <s v="3"/>
    <s v="Tóth Dominik István"/>
    <x v="20"/>
    <s v="HUN"/>
    <n v="3"/>
    <m/>
    <s v="Szigetszentmiklós"/>
    <d v="2026-03-22T00:00:00"/>
    <s v="Tóth Dominik István - Griff SE"/>
    <x v="0"/>
    <s v="Griff SE"/>
    <x v="1"/>
    <s v="serdülő"/>
  </r>
  <r>
    <x v="6"/>
    <n v="2"/>
    <n v="1142"/>
    <x v="0"/>
    <s v="Kumite, U14/Serdülő fiú 65- kg"/>
    <s v="Kumite, serdülő fiú +65 kg"/>
    <s v="8"/>
    <s v="8 fős egyenes kiesés"/>
    <s v="5"/>
    <s v="Nagy Richárd"/>
    <x v="36"/>
    <s v="HUN"/>
    <n v="0"/>
    <m/>
    <s v="Szigetszentmiklós"/>
    <d v="2026-03-22T00:00:00"/>
    <s v="Nagy Richárd - POWER SE."/>
    <x v="0"/>
    <s v="POWER SE."/>
    <x v="1"/>
    <s v="serdülő"/>
  </r>
  <r>
    <x v="6"/>
    <n v="2"/>
    <n v="1143"/>
    <x v="0"/>
    <s v="Kumite, U14/Serdülő fiú 65- kg"/>
    <s v="Kumite, serdülő fiú +65 kg"/>
    <s v="8"/>
    <s v="8 fős egyenes kiesés"/>
    <s v="6"/>
    <s v="Gaál-Vajai Tamás"/>
    <x v="4"/>
    <s v="HUN"/>
    <n v="0"/>
    <m/>
    <s v="Szigetszentmiklós"/>
    <d v="2026-03-22T00:00:00"/>
    <s v="Gaál-Vajai Tamás - Főnix Dojo"/>
    <x v="0"/>
    <s v="Főnix Dojo"/>
    <x v="1"/>
    <s v="serdülő"/>
  </r>
  <r>
    <x v="6"/>
    <n v="2"/>
    <n v="1144"/>
    <x v="0"/>
    <s v="Kumite, U14/Serdülő fiú 65- kg"/>
    <s v="Kumite, serdülő fiú +65 kg"/>
    <s v="8"/>
    <s v="8 fős egyenes kiesés"/>
    <s v="7-8"/>
    <s v="Virág Marcell Máté"/>
    <x v="7"/>
    <s v="HUN"/>
    <n v="0"/>
    <m/>
    <s v="Szigetszentmiklós"/>
    <d v="2026-03-22T00:00:00"/>
    <s v="Virág Marcell Máté - KHSE"/>
    <x v="0"/>
    <s v="KHSE"/>
    <x v="1"/>
    <s v="serdülő"/>
  </r>
  <r>
    <x v="6"/>
    <n v="2"/>
    <n v="1145"/>
    <x v="0"/>
    <s v="Kumite, U14/Serdülő fiú 65- kg"/>
    <s v="Kumite, serdülő fiú +65 kg"/>
    <s v="8"/>
    <s v="8 fős egyenes kiesés"/>
    <s v="7-8"/>
    <s v="Nagy Nimród"/>
    <x v="23"/>
    <s v="HUN"/>
    <n v="0"/>
    <m/>
    <s v="Szigetszentmiklós"/>
    <d v="2026-03-22T00:00:00"/>
    <s v="Nagy Nimród - Rakurai"/>
    <x v="0"/>
    <s v="Rakurai"/>
    <x v="1"/>
    <s v="serdülő"/>
  </r>
  <r>
    <x v="6"/>
    <n v="2"/>
    <n v="1146"/>
    <x v="0"/>
    <s v="Kumite, U14/Serdölő lány 0-39,9 kg"/>
    <s v="Kumite, serdülő lány 40 kg"/>
    <s v="2"/>
    <s v="2 fős egyenes kiesés"/>
    <s v="1"/>
    <s v="Bogdán Szonja Boróka"/>
    <x v="23"/>
    <s v="HUN"/>
    <n v="3"/>
    <m/>
    <s v="Szigetszentmiklós"/>
    <d v="2026-03-22T00:00:00"/>
    <s v="Bogdán Szonja Boróka - Rakurai"/>
    <x v="0"/>
    <s v="Rakurai"/>
    <x v="1"/>
    <s v="gyerek"/>
  </r>
  <r>
    <x v="6"/>
    <n v="2"/>
    <n v="1147"/>
    <x v="0"/>
    <s v="Kumite, U14/Serdölő lány 0-39,9 kg"/>
    <s v="Kumite, serdülő lány 40 kg"/>
    <s v="2"/>
    <s v="2 fős egyenes kiesés"/>
    <s v="2"/>
    <s v="Koszorus Brigitta"/>
    <x v="52"/>
    <s v="HUN"/>
    <n v="0"/>
    <m/>
    <s v="Szigetszentmiklós"/>
    <d v="2026-03-22T00:00:00"/>
    <s v="Koszorus Brigitta - SONGOKU SE"/>
    <x v="0"/>
    <s v="SONGOKU SE"/>
    <x v="1"/>
    <s v="gyerek"/>
  </r>
  <r>
    <x v="6"/>
    <n v="2"/>
    <n v="1148"/>
    <x v="0"/>
    <s v="Kumite, U14/Serdölő lány 45-54,9 kg"/>
    <s v="Kumite, ifjúsági lány 55 kg"/>
    <s v="7"/>
    <s v="8 fős egyenes kiesés"/>
    <s v="1"/>
    <s v="Villasenor Babos Natália "/>
    <x v="23"/>
    <s v="HUN"/>
    <n v="6"/>
    <m/>
    <s v="Szigetszentmiklós"/>
    <d v="2026-03-22T00:00:00"/>
    <s v="Villasenor Babos Natália  - Rakurai"/>
    <x v="0"/>
    <s v="Rakurai"/>
    <x v="1"/>
    <s v="gyerek"/>
  </r>
  <r>
    <x v="6"/>
    <n v="2"/>
    <n v="1149"/>
    <x v="0"/>
    <s v="Kumite, U14/Serdölő lány 45-54,9 kg"/>
    <s v="Kumite, ifjúsági lány 55 kg"/>
    <s v="7"/>
    <s v="8 fős egyenes kiesés"/>
    <s v="2"/>
    <s v="Volenszki Adél"/>
    <x v="29"/>
    <s v="HUN"/>
    <n v="5"/>
    <m/>
    <s v="Szigetszentmiklós"/>
    <d v="2026-03-22T00:00:00"/>
    <s v="Volenszki Adél - WARRIORS TEAM"/>
    <x v="0"/>
    <s v="WARRIORS TEAM"/>
    <x v="1"/>
    <s v="gyerek"/>
  </r>
  <r>
    <x v="6"/>
    <n v="2"/>
    <n v="1150"/>
    <x v="0"/>
    <s v="Kumite, U14/Serdölő lány 45-54,9 kg"/>
    <s v="Kumite, ifjúsági lány 55 kg"/>
    <s v="7"/>
    <s v="8 fős egyenes kiesés"/>
    <s v="3"/>
    <s v="Reichert Hanna "/>
    <x v="19"/>
    <s v="HUN"/>
    <n v="3"/>
    <m/>
    <s v="Szigetszentmiklós"/>
    <d v="2026-03-22T00:00:00"/>
    <s v="Reichert Hanna  - VTSE"/>
    <x v="1"/>
    <s v="VTSE"/>
    <x v="1"/>
    <s v="gyerek"/>
  </r>
  <r>
    <x v="6"/>
    <n v="2"/>
    <n v="1151"/>
    <x v="0"/>
    <s v="Kumite, U14/Serdölő lány 45-54,9 kg"/>
    <s v="Kumite, ifjúsági lány 55 kg"/>
    <s v="7"/>
    <s v="8 fős egyenes kiesés"/>
    <s v="3"/>
    <s v="Nagy Anna"/>
    <x v="4"/>
    <s v="HUN"/>
    <n v="0"/>
    <s v="nem volt nyertes mérkőzése"/>
    <s v="Szigetszentmiklós"/>
    <d v="2026-03-22T00:00:00"/>
    <s v="Nagy Anna - Főnix Dojo"/>
    <x v="0"/>
    <s v="Főnix Dojo"/>
    <x v="1"/>
    <s v="gyerek"/>
  </r>
  <r>
    <x v="6"/>
    <n v="2"/>
    <n v="1152"/>
    <x v="0"/>
    <s v="Kumite, U14/Serdölő lány 45-54,9 kg"/>
    <s v="Kumite, ifjúsági lány 55 kg"/>
    <s v="7"/>
    <s v="8 fős egyenes kiesés"/>
    <s v="5"/>
    <s v="Kiss Jázmin"/>
    <x v="5"/>
    <s v="HUN"/>
    <n v="0"/>
    <m/>
    <s v="Szigetszentmiklós"/>
    <d v="2026-03-22T00:00:00"/>
    <s v="Kiss Jázmin - TADASHII "/>
    <x v="1"/>
    <s v="TADASHII "/>
    <x v="1"/>
    <s v="gyerek"/>
  </r>
  <r>
    <x v="6"/>
    <n v="2"/>
    <n v="1153"/>
    <x v="0"/>
    <s v="Kumite, U14/Serdölő lány 45-54,9 kg"/>
    <s v="Kumite, ifjúsági lány 55 kg"/>
    <s v="7"/>
    <s v="8 fős egyenes kiesés"/>
    <s v="6"/>
    <s v="Kiss-Juhász Hanga"/>
    <x v="42"/>
    <s v="HUN"/>
    <n v="0"/>
    <m/>
    <s v="Szigetszentmiklós"/>
    <d v="2026-03-22T00:00:00"/>
    <s v="Kiss-Juhász Hanga - Tora HSE"/>
    <x v="1"/>
    <s v="Tora HSE"/>
    <x v="1"/>
    <s v="gyerek"/>
  </r>
  <r>
    <x v="6"/>
    <n v="2"/>
    <n v="1154"/>
    <x v="0"/>
    <s v="Kumite, U14/Serdölő lány 45-54,9 kg"/>
    <s v="Kumite, ifjúsági lány 55 kg"/>
    <s v="7"/>
    <s v="8 fős egyenes kiesés"/>
    <s v="7-8"/>
    <s v="Gaál-Vajai Tamara"/>
    <x v="4"/>
    <s v="HUN"/>
    <n v="0"/>
    <m/>
    <s v="Szigetszentmiklós"/>
    <d v="2026-03-22T00:00:00"/>
    <s v="Gaál-Vajai Tamara - Főnix Dojo"/>
    <x v="0"/>
    <s v="Főnix Dojo"/>
    <x v="1"/>
    <s v="gyerek"/>
  </r>
  <r>
    <x v="6"/>
    <n v="2"/>
    <n v="1155"/>
    <x v="0"/>
    <s v="Kumite, U14/Serdölő lány 55-64,9 kg"/>
    <s v="Kumite, serdülő lány 65 kg"/>
    <s v="4"/>
    <s v="4 fős körmérkőzés"/>
    <s v="1"/>
    <s v="Bennárik Bella"/>
    <x v="29"/>
    <s v="HUN"/>
    <n v="6"/>
    <m/>
    <s v="Szigetszentmiklós"/>
    <d v="2026-03-22T00:00:00"/>
    <s v="Bennárik Bella - WARRIORS TEAM"/>
    <x v="0"/>
    <s v="WARRIORS TEAM"/>
    <x v="1"/>
    <s v="gyerek"/>
  </r>
  <r>
    <x v="6"/>
    <n v="2"/>
    <n v="1156"/>
    <x v="0"/>
    <s v="Kumite, U14/Serdölő lány 55-64,9 kg"/>
    <s v="Kumite, serdülő lány 65 kg"/>
    <s v="4"/>
    <s v="4 fős körmérkőzés"/>
    <s v="2"/>
    <s v="Nándori Emma"/>
    <x v="46"/>
    <s v="HUN"/>
    <n v="5"/>
    <m/>
    <s v="Szigetszentmiklós"/>
    <d v="2026-03-22T00:00:00"/>
    <s v="Nándori Emma - Kemecse SE"/>
    <x v="0"/>
    <s v="Kemecse SE"/>
    <x v="1"/>
    <s v="gyerek"/>
  </r>
  <r>
    <x v="6"/>
    <n v="2"/>
    <n v="1157"/>
    <x v="0"/>
    <s v="Kumite, U14/Serdölő lány 55-64,9 kg"/>
    <s v="Kumite, serdülő lány 65 kg"/>
    <s v="4"/>
    <s v="4 fős körmérkőzés"/>
    <s v="3"/>
    <s v="Virág Boglárka Csenge"/>
    <x v="40"/>
    <s v="HUN"/>
    <n v="3"/>
    <m/>
    <s v="Szigetszentmiklós"/>
    <d v="2026-03-22T00:00:00"/>
    <s v="Virág Boglárka Csenge - Keszth.KKK"/>
    <x v="0"/>
    <s v="Keszth.KKK"/>
    <x v="1"/>
    <s v="gyerek"/>
  </r>
  <r>
    <x v="6"/>
    <n v="2"/>
    <n v="1158"/>
    <x v="0"/>
    <s v="Kumite, U14/Serdölő lány 55-64,9 kg"/>
    <s v="Kumite, serdülő lány 65 kg"/>
    <s v="4"/>
    <s v="4 fős körmérkőzés"/>
    <s v="4"/>
    <s v="Szabó Anna Tímea"/>
    <x v="25"/>
    <s v="HUN"/>
    <n v="0"/>
    <s v="nem volt nyertes mérkőzése"/>
    <s v="Szigetszentmiklós"/>
    <d v="2026-03-22T00:00:00"/>
    <s v="Szabó Anna Tímea - Katana SE"/>
    <x v="0"/>
    <s v="Katana SE"/>
    <x v="1"/>
    <s v="gyerek"/>
  </r>
  <r>
    <x v="6"/>
    <n v="2"/>
    <n v="1159"/>
    <x v="0"/>
    <s v="Kumite, U14/Serdölő lány 65- kg"/>
    <s v="Kumite, serdülő lány +65 kg"/>
    <s v="2"/>
    <s v="2 fős egyenes kiesés"/>
    <s v="1"/>
    <s v="Bota Sára"/>
    <x v="23"/>
    <s v="HUN"/>
    <n v="3"/>
    <m/>
    <s v="Szigetszentmiklós"/>
    <d v="2026-03-22T00:00:00"/>
    <s v="Bota Sára - Rakurai"/>
    <x v="0"/>
    <s v="Rakurai"/>
    <x v="1"/>
    <s v="gyerek"/>
  </r>
  <r>
    <x v="6"/>
    <n v="2"/>
    <n v="1160"/>
    <x v="0"/>
    <s v="Kumite, U14/Serdölő lány 65- kg"/>
    <s v="Kumite, serdülő lány +65 kg"/>
    <s v="2"/>
    <s v="2 fős egyenes kiesés"/>
    <s v="2"/>
    <s v="Tóth-Krisó Míra"/>
    <x v="25"/>
    <s v="HUN"/>
    <n v="0"/>
    <m/>
    <s v="Szigetszentmiklós"/>
    <d v="2026-03-22T00:00:00"/>
    <s v="Tóth-Krisó Míra - Katana SE"/>
    <x v="0"/>
    <s v="Katana SE"/>
    <x v="1"/>
    <s v="gyerek"/>
  </r>
  <r>
    <x v="6"/>
    <n v="2"/>
    <n v="1161"/>
    <x v="0"/>
    <s v="Kumite, U16/Ifjúsági lány 0-49,9 kg"/>
    <s v="Kumite, ifjúsági lány 50 kg"/>
    <s v="3"/>
    <s v="3 fős körmérkőzés"/>
    <s v="1"/>
    <s v="Nagy Hanna Míra"/>
    <x v="16"/>
    <s v="HUN"/>
    <n v="4"/>
    <m/>
    <s v="Szigetszentmiklós"/>
    <d v="2026-03-22T00:00:00"/>
    <s v="Nagy Hanna Míra - Genbu dojo"/>
    <x v="1"/>
    <s v="Genbu dojo"/>
    <x v="1"/>
    <s v="ifjúsági"/>
  </r>
  <r>
    <x v="6"/>
    <n v="2"/>
    <n v="1162"/>
    <x v="0"/>
    <s v="Kumite, U16/Ifjúsági lány 0-49,9 kg"/>
    <s v="Kumite, ifjúsági lány 50 kg"/>
    <s v="3"/>
    <s v="3 fős körmérkőzés"/>
    <s v="2"/>
    <s v="Sülyi Luca"/>
    <x v="4"/>
    <s v="HUN"/>
    <n v="3"/>
    <m/>
    <s v="Szigetszentmiklós"/>
    <d v="2026-03-22T00:00:00"/>
    <s v="Sülyi Luca - Főnix Dojo"/>
    <x v="0"/>
    <s v="Főnix Dojo"/>
    <x v="1"/>
    <s v="ifjúsági"/>
  </r>
  <r>
    <x v="6"/>
    <n v="2"/>
    <n v="1163"/>
    <x v="0"/>
    <s v="Kumite, U16/Ifjúsági lány 0-49,9 kg"/>
    <s v="Kumite, ifjúsági lány 50 kg"/>
    <s v="3"/>
    <s v="3 fős körmérkőzés"/>
    <s v="3"/>
    <s v="Balogh Dóra Panna"/>
    <x v="36"/>
    <s v="HUN"/>
    <n v="0"/>
    <m/>
    <s v="Szigetszentmiklós"/>
    <d v="2026-03-22T00:00:00"/>
    <s v="Balogh Dóra Panna - POWER SE."/>
    <x v="0"/>
    <s v="POWER SE."/>
    <x v="1"/>
    <s v="ifjúsági"/>
  </r>
  <r>
    <x v="6"/>
    <n v="2"/>
    <n v="1164"/>
    <x v="0"/>
    <s v="Kumite, U16/Ifjúsági lány 50-54,9 kg"/>
    <s v="Kumite, ifjúsági lány 55 kg"/>
    <s v="4"/>
    <s v="4 fős körmérkőzés"/>
    <s v="1"/>
    <s v="Furó Liliána"/>
    <x v="7"/>
    <s v="HUN"/>
    <n v="6"/>
    <m/>
    <s v="Szigetszentmiklós"/>
    <d v="2026-03-22T00:00:00"/>
    <s v="Furó Liliána - KHSE"/>
    <x v="0"/>
    <s v="KHSE"/>
    <x v="1"/>
    <s v="ifjúsági"/>
  </r>
  <r>
    <x v="6"/>
    <n v="2"/>
    <n v="1165"/>
    <x v="0"/>
    <s v="Kumite, U16/Ifjúsági lány 50-54,9 kg"/>
    <s v="Kumite, ifjúsági lány 55 kg"/>
    <s v="4"/>
    <s v="4 fős körmérkőzés"/>
    <s v="2"/>
    <s v="Kiss Boglárka"/>
    <x v="51"/>
    <s v="HUN"/>
    <n v="5"/>
    <m/>
    <s v="Szigetszentmiklós"/>
    <d v="2026-03-22T00:00:00"/>
    <s v="Kiss Boglárka - Derecske BUDO"/>
    <x v="0"/>
    <s v="Derecske BUDO"/>
    <x v="1"/>
    <s v="ifjúsági"/>
  </r>
  <r>
    <x v="6"/>
    <n v="2"/>
    <n v="1166"/>
    <x v="0"/>
    <s v="Kumite, U16/Ifjúsági lány 50-54,9 kg"/>
    <s v="Kumite, ifjúsági lány 55 kg"/>
    <s v="4"/>
    <s v="4 fős körmérkőzés"/>
    <s v="3"/>
    <s v="Apjok Réka"/>
    <x v="42"/>
    <s v="HUN"/>
    <n v="3"/>
    <m/>
    <s v="Szigetszentmiklós"/>
    <d v="2026-03-22T00:00:00"/>
    <s v="Apjok Réka - Tora HSE"/>
    <x v="1"/>
    <s v="Tora HSE"/>
    <x v="1"/>
    <s v="ifjúsági"/>
  </r>
  <r>
    <x v="6"/>
    <n v="2"/>
    <n v="1167"/>
    <x v="0"/>
    <s v="Kumite, U16/Ifjúsági lány 50-54,9 kg"/>
    <s v="Kumite, ifjúsági lány 55 kg"/>
    <s v="4"/>
    <s v="4 fős körmérkőzés"/>
    <s v="4"/>
    <s v="Ható Amanda"/>
    <x v="23"/>
    <s v="HUN"/>
    <n v="0"/>
    <s v="nem volt nyertes mérkőzése"/>
    <s v="Szigetszentmiklós"/>
    <d v="2026-03-22T00:00:00"/>
    <s v="Ható Amanda - Rakurai"/>
    <x v="0"/>
    <s v="Rakurai"/>
    <x v="1"/>
    <s v="ifjúsági"/>
  </r>
  <r>
    <x v="6"/>
    <n v="2"/>
    <n v="1168"/>
    <x v="0"/>
    <s v="Kumite, U16/Ifjúsági lány 55-59,9 kg"/>
    <s v="Kumite, ifjúsági lány 60 kg"/>
    <s v="3"/>
    <s v="3 fős körmérkőzés"/>
    <s v="1"/>
    <s v="Lukács Éva"/>
    <x v="19"/>
    <s v="HUN"/>
    <n v="4"/>
    <m/>
    <s v="Szigetszentmiklós"/>
    <d v="2026-03-22T00:00:00"/>
    <s v="Lukács Éva - VTSE"/>
    <x v="1"/>
    <s v="VTSE"/>
    <x v="1"/>
    <s v="ifjúsági"/>
  </r>
  <r>
    <x v="6"/>
    <n v="2"/>
    <n v="1169"/>
    <x v="0"/>
    <s v="Kumite, U16/Ifjúsági lány 55-59,9 kg"/>
    <s v="Kumite, ifjúsági lány 60 kg"/>
    <s v="3"/>
    <s v="3 fős körmérkőzés"/>
    <s v="2"/>
    <s v="Demeter Zsófia"/>
    <x v="29"/>
    <s v="HUN"/>
    <n v="3"/>
    <m/>
    <s v="Szigetszentmiklós"/>
    <d v="2026-03-22T00:00:00"/>
    <s v="Demeter Zsófia - WARRIORS TEAM"/>
    <x v="0"/>
    <s v="WARRIORS TEAM"/>
    <x v="1"/>
    <s v="ifjúsági"/>
  </r>
  <r>
    <x v="6"/>
    <n v="2"/>
    <n v="1170"/>
    <x v="0"/>
    <s v="Kumite, U16/Ifjúsági lány 55-59,9 kg"/>
    <s v="Kumite, ifjúsági lány 60 kg"/>
    <s v="3"/>
    <s v="3 fős körmérkőzés"/>
    <s v="3"/>
    <s v="Zsin Zsófia"/>
    <x v="17"/>
    <s v="HUN"/>
    <n v="2"/>
    <s v="volt nyertes mérkőzése"/>
    <s v="Szigetszentmiklós"/>
    <d v="2026-03-22T00:00:00"/>
    <s v="Zsin Zsófia - BHMSE"/>
    <x v="0"/>
    <s v="BHMSE"/>
    <x v="1"/>
    <s v="ifjúsági"/>
  </r>
  <r>
    <x v="6"/>
    <n v="2"/>
    <n v="1171"/>
    <x v="0"/>
    <s v="Kumite, U16/Ifjúsági lány 60-64,9 kg"/>
    <s v="Kumite, ifjúsági lány 65 kg"/>
    <s v="6"/>
    <s v="6 fős vegyes"/>
    <s v="1"/>
    <s v="Pénzes Zsófia"/>
    <x v="7"/>
    <s v="HUN"/>
    <n v="6"/>
    <m/>
    <s v="Szigetszentmiklós"/>
    <d v="2026-03-22T00:00:00"/>
    <s v="Pénzes Zsófia - KHSE"/>
    <x v="0"/>
    <s v="KHSE"/>
    <x v="1"/>
    <s v="ifjúsági"/>
  </r>
  <r>
    <x v="6"/>
    <n v="2"/>
    <n v="1172"/>
    <x v="0"/>
    <s v="Kumite, U16/Ifjúsági lány 60-64,9 kg"/>
    <s v="Kumite, ifjúsági lány 65 kg"/>
    <s v="6"/>
    <s v="6 fős vegyes"/>
    <s v="2"/>
    <s v="Fránki Réka"/>
    <x v="5"/>
    <s v="HUN"/>
    <n v="5"/>
    <m/>
    <s v="Szigetszentmiklós"/>
    <d v="2026-03-22T00:00:00"/>
    <s v="Fránki Réka - TADASHII "/>
    <x v="1"/>
    <s v="TADASHII "/>
    <x v="1"/>
    <s v="ifjúsági"/>
  </r>
  <r>
    <x v="6"/>
    <n v="2"/>
    <n v="1173"/>
    <x v="0"/>
    <s v="Kumite, U16/Ifjúsági lány 60-64,9 kg"/>
    <s v="Kumite, ifjúsági lány 65 kg"/>
    <s v="6"/>
    <s v="6 fős vegyes"/>
    <s v="3"/>
    <s v="Bognár Boglárka"/>
    <x v="23"/>
    <s v="HUN"/>
    <n v="3"/>
    <m/>
    <s v="Szigetszentmiklós"/>
    <d v="2026-03-22T00:00:00"/>
    <s v="Bognár Boglárka - Rakurai"/>
    <x v="0"/>
    <s v="Rakurai"/>
    <x v="1"/>
    <s v="ifjúsági"/>
  </r>
  <r>
    <x v="6"/>
    <n v="2"/>
    <n v="1174"/>
    <x v="0"/>
    <s v="Kumite, U16/Ifjúsági lány 60-64,9 kg"/>
    <s v="Kumite, ifjúsági lány 65 kg"/>
    <s v="6"/>
    <s v="6 fős vegyes"/>
    <s v="4"/>
    <s v="Albert Szilvia Cintia"/>
    <x v="51"/>
    <s v="HUN"/>
    <n v="0"/>
    <m/>
    <s v="Szigetszentmiklós"/>
    <d v="2026-03-22T00:00:00"/>
    <s v="Albert Szilvia Cintia - Derecske BUDO"/>
    <x v="0"/>
    <s v="Derecske BUDO"/>
    <x v="1"/>
    <s v="ifjúsági"/>
  </r>
  <r>
    <x v="6"/>
    <n v="2"/>
    <n v="1175"/>
    <x v="0"/>
    <s v="Kumite, U16/Ifjúsági lány 60-64,9 kg"/>
    <s v="Kumite, ifjúsági lány 65 kg"/>
    <s v="6"/>
    <s v="6 fős vegyes"/>
    <s v="5"/>
    <s v="Kovács Viktória"/>
    <x v="10"/>
    <s v="HUN"/>
    <n v="0"/>
    <m/>
    <s v="Szigetszentmiklós"/>
    <d v="2026-03-22T00:00:00"/>
    <s v="Kovács Viktória - Nintai KKSE"/>
    <x v="1"/>
    <s v="Nintai KKSE"/>
    <x v="1"/>
    <s v="ifjúsági"/>
  </r>
  <r>
    <x v="6"/>
    <n v="2"/>
    <n v="1176"/>
    <x v="0"/>
    <s v="Kumite, U16/Ifjúsági lány 60-64,9 kg"/>
    <s v="Kumite, ifjúsági lány 65 kg"/>
    <s v="6"/>
    <s v="6 fős vegyes"/>
    <s v="6"/>
    <s v="Fránki Dorina"/>
    <x v="5"/>
    <s v="HUN"/>
    <n v="0"/>
    <m/>
    <s v="Szigetszentmiklós"/>
    <d v="2026-03-22T00:00:00"/>
    <s v="Fránki Dorina - TADASHII "/>
    <x v="1"/>
    <s v="TADASHII "/>
    <x v="1"/>
    <s v="ifjúsági"/>
  </r>
  <r>
    <x v="6"/>
    <n v="2"/>
    <n v="1177"/>
    <x v="0"/>
    <s v="Kumite, U16/Ifjúsági lány 65- kg"/>
    <s v="Kumite, ifjúsági lány +65 kg"/>
    <s v="2"/>
    <s v="2 fős egyenes kiesés"/>
    <s v="1"/>
    <s v="Csonka Kata"/>
    <x v="13"/>
    <s v="HUN"/>
    <n v="3"/>
    <m/>
    <s v="Szigetszentmiklós"/>
    <d v="2026-03-22T00:00:00"/>
    <s v="Csonka Kata - Kamikaze S"/>
    <x v="0"/>
    <s v="Kamikaze S"/>
    <x v="1"/>
    <s v="ifjúsági"/>
  </r>
  <r>
    <x v="6"/>
    <n v="2"/>
    <n v="1178"/>
    <x v="0"/>
    <s v="Kumite, U16/Ifjúsági lány 65- kg"/>
    <s v="Kumite, ifjúsági lány +65 kg"/>
    <s v="2"/>
    <s v="2 fős egyenes kiesés"/>
    <s v="2"/>
    <s v="Komondi Veronika Nilla"/>
    <x v="40"/>
    <s v="HUN"/>
    <n v="0"/>
    <m/>
    <s v="Szigetszentmiklós"/>
    <d v="2026-03-22T00:00:00"/>
    <s v="Komondi Veronika Nilla - Keszth.KKK"/>
    <x v="0"/>
    <s v="Keszth.KKK"/>
    <x v="1"/>
    <s v="ifjúsági"/>
  </r>
  <r>
    <x v="7"/>
    <n v="1"/>
    <n v="2"/>
    <x v="0"/>
    <s v="Kumite, junior lány 55 kg"/>
    <s v="Kumite, junior lány 55 kg"/>
    <m/>
    <m/>
    <n v="3"/>
    <s v="Ágoston Sára"/>
    <x v="7"/>
    <m/>
    <n v="15"/>
    <m/>
    <s v="Batumi, Georgia"/>
    <d v="2026-05-09T00:00:00"/>
    <s v="Ágoston Sára - KHSE"/>
    <x v="0"/>
    <s v="KHSE"/>
    <x v="1"/>
    <s v="junior"/>
  </r>
  <r>
    <x v="7"/>
    <n v="1"/>
    <n v="3"/>
    <x v="0"/>
    <s v="Kumite, junior lány 55 kg"/>
    <s v="Kumite, junior lány 55 kg"/>
    <m/>
    <m/>
    <n v="3"/>
    <s v="Lukács Kamilla"/>
    <x v="0"/>
    <m/>
    <n v="15"/>
    <m/>
    <s v="Batumi, Georgia"/>
    <d v="2026-05-09T00:00:00"/>
    <s v="Lukács Kamilla - Victory"/>
    <x v="0"/>
    <s v="Victory"/>
    <x v="1"/>
    <s v="junior"/>
  </r>
  <r>
    <x v="7"/>
    <n v="1"/>
    <n v="4"/>
    <x v="0"/>
    <s v="Kumite, junior lány 65 kg"/>
    <s v="Kumite, junior lány 65 kg"/>
    <m/>
    <m/>
    <s v="5-8"/>
    <s v="Szutor Anna"/>
    <x v="3"/>
    <m/>
    <n v="8"/>
    <m/>
    <s v="Batumi, Georgia"/>
    <d v="2026-05-09T00:00:00"/>
    <s v="Szutor Anna - Shogun"/>
    <x v="0"/>
    <s v="Shogun"/>
    <x v="1"/>
    <s v="junior"/>
  </r>
  <r>
    <x v="7"/>
    <n v="1"/>
    <n v="4"/>
    <x v="0"/>
    <s v="Kumite, junior lány 65 kg"/>
    <s v="Kumite, junior lány 65 kg"/>
    <m/>
    <m/>
    <s v="5-8"/>
    <s v="Éles Léna"/>
    <x v="0"/>
    <m/>
    <n v="8"/>
    <m/>
    <s v="Batumi, Georgia"/>
    <d v="2026-05-09T00:00:00"/>
    <s v="Éles Léna - Victory"/>
    <x v="0"/>
    <s v="Victory"/>
    <x v="1"/>
    <s v="junior"/>
  </r>
  <r>
    <x v="7"/>
    <n v="1"/>
    <n v="4"/>
    <x v="0"/>
    <s v="Kumite, junior lány +65 kg"/>
    <s v="Kumite, junior lány +65 kg"/>
    <m/>
    <m/>
    <s v="5-8"/>
    <s v="Vórincsák Vivien"/>
    <x v="7"/>
    <m/>
    <n v="8"/>
    <m/>
    <s v="Batumi, Georgia"/>
    <d v="2026-05-09T00:00:00"/>
    <s v="Vórincsák Vivien - KHSE"/>
    <x v="0"/>
    <s v="KHSE"/>
    <x v="1"/>
    <s v="junior"/>
  </r>
  <r>
    <x v="7"/>
    <n v="1"/>
    <n v="5"/>
    <x v="0"/>
    <s v="Kumite, junior lány +65 kg"/>
    <s v="Kumite, junior lány +65 kg"/>
    <m/>
    <m/>
    <n v="3"/>
    <s v="Ecsedi Réka"/>
    <x v="7"/>
    <m/>
    <n v="15"/>
    <m/>
    <s v="Batumi, Georgia"/>
    <d v="2026-05-09T00:00:00"/>
    <s v="Ecsedi Réka - KHSE"/>
    <x v="0"/>
    <s v="KHSE"/>
    <x v="1"/>
    <s v="junior"/>
  </r>
  <r>
    <x v="7"/>
    <n v="1"/>
    <n v="6"/>
    <x v="0"/>
    <s v="Kumite, junior fiú 70 kg"/>
    <s v="Kumite, junior fiú 70 kg"/>
    <m/>
    <m/>
    <s v="5-8"/>
    <s v="Böszörményi Gergő"/>
    <x v="0"/>
    <m/>
    <n v="8"/>
    <m/>
    <s v="Batumi, Georgia"/>
    <d v="2026-05-09T00:00:00"/>
    <s v="Böszörményi Gergő - Victory"/>
    <x v="0"/>
    <s v="Victory"/>
    <x v="1"/>
    <s v="junior"/>
  </r>
  <r>
    <x v="7"/>
    <n v="1"/>
    <n v="7"/>
    <x v="0"/>
    <s v="Kumite, junior fiú 80 kg"/>
    <s v="Kumite, junior fiú 80 kg"/>
    <m/>
    <m/>
    <s v="5-8"/>
    <s v="Bessenyei Csongor"/>
    <x v="3"/>
    <m/>
    <n v="8"/>
    <m/>
    <s v="Batumi, Georgia"/>
    <d v="2026-05-09T00:00:00"/>
    <s v="Bessenyei Csongor - Shogun"/>
    <x v="0"/>
    <s v="Shogun"/>
    <x v="1"/>
    <s v="junior"/>
  </r>
  <r>
    <x v="7"/>
    <n v="1"/>
    <n v="8"/>
    <x v="1"/>
    <s v="Kata, junior fiú"/>
    <s v="Kata, junior fiú"/>
    <m/>
    <m/>
    <s v="5-8"/>
    <s v="Bessenyei Csongor"/>
    <x v="3"/>
    <m/>
    <n v="6"/>
    <m/>
    <s v="Batumi, Georgia"/>
    <d v="2026-05-09T00:00:00"/>
    <s v="Bessenyei Csongor - Shogun"/>
    <x v="0"/>
    <s v="Shogun"/>
    <x v="1"/>
    <s v="junior"/>
  </r>
  <r>
    <x v="7"/>
    <n v="1"/>
    <n v="9"/>
    <x v="1"/>
    <s v="Kata, junior fiú"/>
    <s v="Kata, junior fiú"/>
    <m/>
    <m/>
    <n v="3"/>
    <s v="Terbócs Roland"/>
    <x v="3"/>
    <m/>
    <n v="10"/>
    <m/>
    <s v="Batumi, Georgia"/>
    <d v="2026-05-09T00:00:00"/>
    <s v="Terbócs Roland - Shogun"/>
    <x v="0"/>
    <s v="Shogun"/>
    <x v="1"/>
    <s v="junior"/>
  </r>
  <r>
    <x v="7"/>
    <n v="1"/>
    <n v="10"/>
    <x v="0"/>
    <s v="Kumite, felnőtt női 50 kg"/>
    <s v="Kumite, felnőtt női 50 kg"/>
    <m/>
    <m/>
    <s v="5-8"/>
    <s v="Dévényi Lora"/>
    <x v="0"/>
    <m/>
    <n v="15"/>
    <m/>
    <s v="Batumi, Georgia"/>
    <d v="2026-05-10T00:00:00"/>
    <s v="Dévényi Lora - Victory"/>
    <x v="0"/>
    <s v="Victory"/>
    <x v="0"/>
    <s v="felnőtt"/>
  </r>
  <r>
    <x v="7"/>
    <n v="1"/>
    <n v="11"/>
    <x v="0"/>
    <s v="Kumite, felnőtt női 54 kg (EB-n 54 kg)"/>
    <s v="Kumite, felnőtt női 55 kg"/>
    <m/>
    <m/>
    <s v="5-8"/>
    <s v="Gyenge Judit"/>
    <x v="7"/>
    <m/>
    <n v="15"/>
    <m/>
    <s v="Batumi, Georgia"/>
    <d v="2026-05-10T00:00:00"/>
    <s v="Gyenge Judit - KHSE"/>
    <x v="0"/>
    <s v="KHSE"/>
    <x v="0"/>
    <s v="felnőtt"/>
  </r>
  <r>
    <x v="7"/>
    <n v="1"/>
    <n v="12"/>
    <x v="0"/>
    <s v="Kumite, felnőtt női 54 kg (EB-n 54 kg)"/>
    <s v="Kumite, felnőtt női 55 kg"/>
    <m/>
    <m/>
    <n v="2"/>
    <s v="Litvák Lili"/>
    <x v="7"/>
    <m/>
    <n v="45"/>
    <m/>
    <s v="Batumi, Georgia"/>
    <d v="2026-05-10T00:00:00"/>
    <s v="Litvák Lili - KHSE"/>
    <x v="0"/>
    <s v="KHSE"/>
    <x v="0"/>
    <s v="felnőtt"/>
  </r>
  <r>
    <x v="7"/>
    <n v="1"/>
    <n v="13"/>
    <x v="0"/>
    <s v="Kumite, felnőtt női 65 kg"/>
    <s v="Kumite, felnőtt női 65 kg"/>
    <m/>
    <m/>
    <n v="3"/>
    <s v="Mező Lili"/>
    <x v="0"/>
    <m/>
    <n v="30"/>
    <m/>
    <s v="Batumi, Georgia"/>
    <d v="2026-05-10T00:00:00"/>
    <s v="Mező Lili - Victory"/>
    <x v="0"/>
    <s v="Victory"/>
    <x v="0"/>
    <s v="felnőtt"/>
  </r>
  <r>
    <x v="7"/>
    <n v="1"/>
    <n v="14"/>
    <x v="0"/>
    <s v="Kumite, felnőtt női 65 kg"/>
    <s v="Kumite, felnőtt női 65 kg"/>
    <m/>
    <m/>
    <s v="5-8"/>
    <s v="Mészáros Mercédesz"/>
    <x v="3"/>
    <m/>
    <n v="15"/>
    <m/>
    <s v="Batumi, Georgia"/>
    <d v="2026-05-10T00:00:00"/>
    <s v="Mészáros Mercédesz - Shogun"/>
    <x v="0"/>
    <s v="Shogun"/>
    <x v="0"/>
    <s v="felnőtt"/>
  </r>
  <r>
    <x v="7"/>
    <n v="1"/>
    <n v="15"/>
    <x v="0"/>
    <s v="Kumite, felnőtt női +65 kg"/>
    <s v="Kumite, felnőtt női +65 kg"/>
    <m/>
    <m/>
    <n v="3"/>
    <s v="Tóth Csenge"/>
    <x v="0"/>
    <m/>
    <n v="30"/>
    <m/>
    <s v="Batumi, Georgia"/>
    <d v="2026-05-10T00:00:00"/>
    <s v="Tóth Csenge - Victory"/>
    <x v="0"/>
    <s v="Victory"/>
    <x v="0"/>
    <s v="felnőtt"/>
  </r>
  <r>
    <x v="7"/>
    <n v="1"/>
    <n v="16"/>
    <x v="0"/>
    <s v="Kumite, felnőtt női +65 kg"/>
    <s v="Kumite, felnőtt női +65 kg"/>
    <m/>
    <m/>
    <s v="5-8"/>
    <s v="Gergely Henrietta"/>
    <x v="17"/>
    <m/>
    <n v="15"/>
    <m/>
    <s v="Batumi, Georgia"/>
    <d v="2026-05-10T00:00:00"/>
    <s v="Gergely Henrietta - BHMSE"/>
    <x v="0"/>
    <s v="BHMSE"/>
    <x v="0"/>
    <s v="felnőtt"/>
  </r>
  <r>
    <x v="7"/>
    <n v="1"/>
    <n v="17"/>
    <x v="0"/>
    <s v="Kumite, felnőtt férfi 80 kg"/>
    <s v="Kumite, felnőtt férfi 80 kg"/>
    <m/>
    <m/>
    <n v="3"/>
    <s v="Fekete Gergely"/>
    <x v="0"/>
    <m/>
    <n v="30"/>
    <m/>
    <s v="Batumi, Georgia"/>
    <d v="2026-05-10T00:00:00"/>
    <s v="Fekete Gergely - Victory"/>
    <x v="0"/>
    <s v="Victory"/>
    <x v="0"/>
    <s v="felnőtt"/>
  </r>
  <r>
    <x v="7"/>
    <n v="1"/>
    <n v="18"/>
    <x v="0"/>
    <s v="Kumite, felnőtt férfi 90 kg"/>
    <s v="Kumite, felnőtt férfi 90 kg"/>
    <m/>
    <m/>
    <n v="1"/>
    <s v="Lajtos Patrik"/>
    <x v="0"/>
    <m/>
    <n v="60"/>
    <m/>
    <s v="Batumi, Georgia"/>
    <d v="2026-05-10T00:00:00"/>
    <s v="Lajtos Patrik - Victory"/>
    <x v="0"/>
    <s v="Victory"/>
    <x v="0"/>
    <s v="felnőtt"/>
  </r>
  <r>
    <x v="7"/>
    <n v="1"/>
    <n v="19"/>
    <x v="1"/>
    <s v="Kata, felnőtt csapat"/>
    <s v="Kata, felnőtt csapat"/>
    <m/>
    <m/>
    <s v="5-8"/>
    <s v="Litvák Lili"/>
    <x v="7"/>
    <m/>
    <n v="3.3"/>
    <m/>
    <s v="Batumi, Georgia"/>
    <d v="2026-05-09T00:00:00"/>
    <s v="Litvák Lili - KHSE"/>
    <x v="0"/>
    <s v="KHSE"/>
    <x v="0"/>
    <s v="felnőtt"/>
  </r>
  <r>
    <x v="7"/>
    <n v="1"/>
    <n v="20"/>
    <x v="1"/>
    <s v="Kata, felnőtt csapat"/>
    <s v="Kata, felnőtt csapat"/>
    <m/>
    <m/>
    <s v="5-8"/>
    <s v="Rácz Dorottya"/>
    <x v="7"/>
    <m/>
    <n v="3.3"/>
    <m/>
    <s v="Batumi, Georgia"/>
    <d v="2026-05-09T00:00:00"/>
    <s v="Rácz Dorottya - KHSE"/>
    <x v="0"/>
    <s v="KHSE"/>
    <x v="0"/>
    <s v="felnőtt"/>
  </r>
  <r>
    <x v="7"/>
    <n v="1"/>
    <n v="20"/>
    <x v="1"/>
    <s v="Kata, felnőtt csapat"/>
    <s v="Kata, felnőtt csapat"/>
    <m/>
    <m/>
    <s v="5-8"/>
    <s v="Jernyei Nikolett"/>
    <x v="7"/>
    <m/>
    <n v="3.3"/>
    <m/>
    <s v="Batumi, Georgia"/>
    <d v="2026-05-09T00:00:00"/>
    <s v="Jernyei Nikolett - KHSE"/>
    <x v="0"/>
    <s v="KHSE"/>
    <x v="0"/>
    <s v="felnőtt"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  <r>
    <x v="8"/>
    <m/>
    <m/>
    <x v="2"/>
    <m/>
    <m/>
    <m/>
    <m/>
    <m/>
    <m/>
    <x v="60"/>
    <m/>
    <m/>
    <m/>
    <m/>
    <m/>
    <m/>
    <x v="2"/>
    <m/>
    <x v="2"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73">
  <r>
    <x v="0"/>
    <s v="3B"/>
    <n v="1"/>
    <s v="Kumite"/>
    <s v="Kumite, Felnőtt férfi 70-79,9kg"/>
    <x v="0"/>
    <s v="4"/>
    <s v="4 fős körmérkőzés"/>
    <s v="1"/>
    <s v="Fekete Gergely"/>
    <s v="Victory"/>
    <s v="HUN"/>
    <n v="12"/>
    <m/>
    <s v="Veszprém"/>
    <d v="2026-02-14T00:00:00"/>
    <x v="0"/>
    <x v="0"/>
    <s v="Victory"/>
    <s v="felnőtt"/>
    <s v="felnőtt"/>
    <m/>
  </r>
  <r>
    <x v="0"/>
    <s v="3B"/>
    <n v="2"/>
    <s v="Kumite"/>
    <s v="Kumite, Felnőtt férfi 70-79,9kg"/>
    <x v="0"/>
    <s v="4"/>
    <s v="4 fős körmérkőzés"/>
    <s v="2"/>
    <s v="Ujvári Bálint"/>
    <s v="Ippon KKSE"/>
    <s v="HUN"/>
    <n v="9"/>
    <m/>
    <s v="Veszprém"/>
    <d v="2026-02-14T00:00:00"/>
    <x v="1"/>
    <x v="0"/>
    <s v="Ippon KKSE"/>
    <s v="felnőtt"/>
    <s v="felnőtt"/>
    <m/>
  </r>
  <r>
    <x v="0"/>
    <s v="3B"/>
    <n v="3"/>
    <s v="Kumite"/>
    <s v="Kumite, Felnőtt férfi 70-79,9kg"/>
    <x v="0"/>
    <s v="4"/>
    <s v="4 fős körmérkőzés"/>
    <s v="3"/>
    <s v="Rétfalvi Tamás"/>
    <s v="Kisvárda KKDOSC"/>
    <s v="HUN"/>
    <n v="6"/>
    <m/>
    <s v="Veszprém"/>
    <d v="2026-02-14T00:00:00"/>
    <x v="2"/>
    <x v="0"/>
    <s v="Kisvárda KKDOSC"/>
    <s v="felnőtt"/>
    <s v="felnőtt"/>
    <m/>
  </r>
  <r>
    <x v="0"/>
    <s v="3B"/>
    <n v="4"/>
    <s v="Kumite"/>
    <s v="Kumite, Felnőtt férfi -59,9kg"/>
    <x v="1"/>
    <s v="3"/>
    <s v="3 fős körmérkőzés"/>
    <s v="1"/>
    <s v="Soltész Szabolcs"/>
    <s v="Kisvárda KKDOSC"/>
    <s v="HUN"/>
    <n v="10"/>
    <m/>
    <s v="Veszprém"/>
    <d v="2026-02-14T00:00:00"/>
    <x v="3"/>
    <x v="0"/>
    <s v="Kisvárda KKDOSC"/>
    <s v="felnőtt"/>
    <s v="felnőtt"/>
    <m/>
  </r>
  <r>
    <x v="0"/>
    <s v="3B"/>
    <n v="5"/>
    <s v="Kumite"/>
    <s v="Kumite, Felnőtt férfi -59,9kg"/>
    <x v="1"/>
    <s v="3"/>
    <s v="3 fős körmérkőzés"/>
    <s v="2"/>
    <s v="Feczkó Zoltán"/>
    <s v="Shogun"/>
    <s v="HUN"/>
    <n v="6"/>
    <m/>
    <s v="Veszprém"/>
    <d v="2026-02-14T00:00:00"/>
    <x v="4"/>
    <x v="0"/>
    <s v="Shogun"/>
    <s v="felnőtt"/>
    <s v="felnőtt"/>
    <m/>
  </r>
  <r>
    <x v="0"/>
    <s v="3B"/>
    <n v="6"/>
    <s v="Kumite"/>
    <s v="Kumite, Felnőtt férfi -59,9kg"/>
    <x v="1"/>
    <s v="3"/>
    <s v="3 fős körmérkőzés"/>
    <s v="3"/>
    <s v="Törő Attila"/>
    <s v="Victory"/>
    <s v="HUN"/>
    <n v="0"/>
    <s v="nem volt nyertes mérkőzése"/>
    <s v="Veszprém"/>
    <d v="2026-02-14T00:00:00"/>
    <x v="5"/>
    <x v="0"/>
    <s v="Victory"/>
    <s v="felnőtt"/>
    <s v="felnőtt"/>
    <m/>
  </r>
  <r>
    <x v="0"/>
    <s v="3B"/>
    <n v="7"/>
    <s v="Kumite"/>
    <s v="Kumite, Felnőtt férfi 60-69,9kg"/>
    <x v="2"/>
    <s v="3"/>
    <s v="3 fős körmérkőzés"/>
    <s v="1"/>
    <s v="Bede Zsombor"/>
    <s v="Ippon KKSE"/>
    <s v="HUN"/>
    <n v="10"/>
    <m/>
    <s v="Veszprém"/>
    <d v="2026-02-14T00:00:00"/>
    <x v="6"/>
    <x v="0"/>
    <s v="Ippon KKSE"/>
    <s v="felnőtt"/>
    <s v="felnőtt"/>
    <m/>
  </r>
  <r>
    <x v="0"/>
    <s v="3B"/>
    <n v="8"/>
    <s v="Kumite"/>
    <s v="Kumite, Felnőtt férfi 60-69,9kg"/>
    <x v="2"/>
    <s v="3"/>
    <s v="3 fős körmérkőzés"/>
    <s v="2"/>
    <s v="Ludszky Tamás"/>
    <s v="Főnix Dojo"/>
    <s v="HUN"/>
    <n v="6"/>
    <m/>
    <s v="Veszprém"/>
    <d v="2026-02-14T00:00:00"/>
    <x v="7"/>
    <x v="0"/>
    <s v="Főnix Dojo"/>
    <s v="felnőtt"/>
    <s v="felnőtt"/>
    <m/>
  </r>
  <r>
    <x v="0"/>
    <s v="3B"/>
    <n v="9"/>
    <s v="Kumite"/>
    <s v="Kumite, Felnőtt férfi 60-69,9kg"/>
    <x v="2"/>
    <s v="3"/>
    <s v="3 fős körmérkőzés"/>
    <s v="3"/>
    <s v="Törő Márton"/>
    <s v="Victory"/>
    <s v="HUN"/>
    <n v="0"/>
    <s v="nem volt nyertes mérkőzése"/>
    <s v="Veszprém"/>
    <d v="2026-02-14T00:00:00"/>
    <x v="8"/>
    <x v="0"/>
    <s v="Victory"/>
    <s v="felnőtt"/>
    <s v="felnőtt"/>
    <m/>
  </r>
  <r>
    <x v="0"/>
    <s v="3B"/>
    <n v="10"/>
    <s v="Kumite"/>
    <s v="Kumite, Felnőtt férfi 80-89,9kg"/>
    <x v="3"/>
    <s v="2"/>
    <s v="2 fős egyenes kiesés"/>
    <s v="1"/>
    <s v="Lajtos Patrik"/>
    <s v="Victory"/>
    <s v="HUN"/>
    <n v="6"/>
    <m/>
    <s v="Veszprém"/>
    <d v="2026-02-14T00:00:00"/>
    <x v="9"/>
    <x v="0"/>
    <s v="Victory"/>
    <s v="felnőtt"/>
    <s v="felnőtt"/>
    <m/>
  </r>
  <r>
    <x v="0"/>
    <s v="3B"/>
    <n v="11"/>
    <s v="Kumite"/>
    <s v="Kumite, Felnőtt férfi 80-89,9kg"/>
    <x v="3"/>
    <s v="2"/>
    <s v="2 fős egyenes kiesés"/>
    <s v="2"/>
    <s v="Badar Máté"/>
    <s v="TADASHII "/>
    <s v="HUN"/>
    <n v="0"/>
    <s v="nem volt nyertes mérkőzése"/>
    <s v="Veszprém"/>
    <d v="2026-02-14T00:00:00"/>
    <x v="10"/>
    <x v="1"/>
    <s v="TADASHII "/>
    <s v="felnőtt"/>
    <s v="felnőtt"/>
    <m/>
  </r>
  <r>
    <x v="0"/>
    <s v="3B"/>
    <n v="12"/>
    <s v="Kumite"/>
    <s v="Kumite, Felnőtt férfi 90-kg"/>
    <x v="4"/>
    <s v="4"/>
    <s v="4 fős körmérkőzés"/>
    <s v="1"/>
    <s v="Baranyai Máté"/>
    <s v="Shogun"/>
    <s v="HUN"/>
    <n v="12"/>
    <m/>
    <s v="Veszprém"/>
    <d v="2026-02-14T00:00:00"/>
    <x v="11"/>
    <x v="0"/>
    <s v="Shogun"/>
    <s v="felnőtt"/>
    <s v="felnőtt"/>
    <m/>
  </r>
  <r>
    <x v="0"/>
    <s v="3B"/>
    <n v="13"/>
    <s v="Kumite"/>
    <s v="Kumite, Felnőtt férfi 90-kg"/>
    <x v="4"/>
    <s v="4"/>
    <s v="4 fős körmérkőzés"/>
    <s v="2"/>
    <s v="Vancsek Kristóf"/>
    <s v="Ippon KKSE"/>
    <s v="HUN"/>
    <n v="9"/>
    <m/>
    <s v="Veszprém"/>
    <d v="2026-02-14T00:00:00"/>
    <x v="12"/>
    <x v="0"/>
    <s v="Ippon KKSE"/>
    <s v="felnőtt"/>
    <s v="felnőtt"/>
    <m/>
  </r>
  <r>
    <x v="0"/>
    <s v="3B"/>
    <n v="14"/>
    <s v="Kumite"/>
    <s v="Kumite, Felnőtt férfi 90-kg"/>
    <x v="4"/>
    <s v="4"/>
    <s v="4 fős körmérkőzés"/>
    <s v="3"/>
    <s v="Hoffer András"/>
    <s v="Castrum"/>
    <s v="HUN"/>
    <n v="6"/>
    <m/>
    <s v="Veszprém"/>
    <d v="2026-02-14T00:00:00"/>
    <x v="13"/>
    <x v="0"/>
    <s v="Castrum"/>
    <s v="felnőtt"/>
    <s v="felnőtt"/>
    <m/>
  </r>
  <r>
    <x v="0"/>
    <n v="2"/>
    <n v="15"/>
    <s v="Kumite"/>
    <s v="Kumite, Masters férfi 80-89,9kg"/>
    <x v="5"/>
    <s v="6"/>
    <s v="6 fős vegyes"/>
    <s v="1"/>
    <s v="Béres Sándor"/>
    <s v="KHSE"/>
    <s v="HUN"/>
    <n v="6"/>
    <m/>
    <s v="Veszprém"/>
    <d v="2026-02-14T00:00:00"/>
    <x v="14"/>
    <x v="0"/>
    <s v="KHSE"/>
    <s v="felnőtt"/>
    <s v="masters"/>
    <m/>
  </r>
  <r>
    <x v="0"/>
    <n v="2"/>
    <n v="16"/>
    <s v="Kumite"/>
    <s v="Kumite, Masters férfi 80-89,9kg"/>
    <x v="5"/>
    <s v="6"/>
    <s v="6 fős vegyes"/>
    <s v="2"/>
    <s v="Hamar Levente"/>
    <s v="KHSE"/>
    <s v="HUN"/>
    <n v="5"/>
    <m/>
    <s v="Veszprém"/>
    <d v="2026-02-14T00:00:00"/>
    <x v="15"/>
    <x v="0"/>
    <s v="KHSE"/>
    <s v="felnőtt"/>
    <s v="masters"/>
    <m/>
  </r>
  <r>
    <x v="0"/>
    <n v="2"/>
    <n v="17"/>
    <s v="Kumite"/>
    <s v="Kumite, Masters férfi 80-89,9kg"/>
    <x v="5"/>
    <s v="6"/>
    <s v="6 fős vegyes"/>
    <s v="3"/>
    <s v="Kollányi Miklós"/>
    <s v="Shogun"/>
    <s v="HUN"/>
    <n v="3"/>
    <m/>
    <s v="Veszprém"/>
    <d v="2026-02-14T00:00:00"/>
    <x v="16"/>
    <x v="0"/>
    <s v="Shogun"/>
    <s v="felnőtt"/>
    <s v="masters"/>
    <m/>
  </r>
  <r>
    <x v="0"/>
    <n v="2"/>
    <n v="18"/>
    <s v="Kumite"/>
    <s v="Kumite, Masters férfi 90-kg"/>
    <x v="5"/>
    <s v="4"/>
    <s v="4 fős egyenes kiesés + 3. hely"/>
    <s v="1"/>
    <s v="Tóth Attila"/>
    <s v="Seiken STKE"/>
    <s v="HUN"/>
    <n v="6"/>
    <m/>
    <s v="Veszprém"/>
    <d v="2026-02-14T00:00:00"/>
    <x v="17"/>
    <x v="1"/>
    <s v="Seiken STKE"/>
    <s v="felnőtt"/>
    <s v="masters"/>
    <m/>
  </r>
  <r>
    <x v="0"/>
    <n v="2"/>
    <n v="19"/>
    <s v="Kumite"/>
    <s v="Kumite, Masters férfi 90-kg"/>
    <x v="5"/>
    <s v="4"/>
    <s v="4 fős egyenes kiesés + 3. hely"/>
    <s v="2"/>
    <s v="Lengyel László"/>
    <s v="Beledi KÉSZ SE"/>
    <s v="HUN"/>
    <n v="5"/>
    <m/>
    <s v="Veszprém"/>
    <d v="2026-02-14T00:00:00"/>
    <x v="18"/>
    <x v="1"/>
    <s v="Beledi KÉSZ SE"/>
    <s v="felnőtt"/>
    <s v="masters"/>
    <m/>
  </r>
  <r>
    <x v="0"/>
    <n v="2"/>
    <n v="20"/>
    <s v="Kumite"/>
    <s v="Kumite, Masters férfi 90-kg"/>
    <x v="5"/>
    <s v="4"/>
    <s v="4 fős egyenes kiesés + 3. hely"/>
    <s v="3"/>
    <s v="Varga Krsiztián"/>
    <s v="Beledi KÉSZ SE"/>
    <s v="HUN"/>
    <n v="3"/>
    <m/>
    <s v="Veszprém"/>
    <d v="2026-02-14T00:00:00"/>
    <x v="19"/>
    <x v="1"/>
    <s v="Beledi KÉSZ SE"/>
    <s v="felnőtt"/>
    <s v="masters"/>
    <m/>
  </r>
  <r>
    <x v="0"/>
    <n v="2"/>
    <n v="21"/>
    <s v="Kumite"/>
    <s v="Kumite, Masters férfi 90-kg"/>
    <x v="5"/>
    <s v="4"/>
    <s v="4 fős egyenes kiesés + 3. hely"/>
    <s v="4"/>
    <s v="Csillag Viktor "/>
    <s v="Beledi KÉSZ SE"/>
    <s v="HUN"/>
    <n v="0"/>
    <s v="nem volt nyertes mérkőzése"/>
    <s v="Veszprém"/>
    <d v="2026-02-14T00:00:00"/>
    <x v="20"/>
    <x v="1"/>
    <s v="Beledi KÉSZ SE"/>
    <s v="felnőtt"/>
    <s v="masters"/>
    <m/>
  </r>
  <r>
    <x v="0"/>
    <s v="3A"/>
    <n v="22"/>
    <s v="Kumite"/>
    <s v="Kumite, U21 férfi 75-79,9"/>
    <x v="6"/>
    <s v="3"/>
    <s v="3 fős körmérkőzés"/>
    <s v="1"/>
    <s v="Szakály Dominik"/>
    <s v="Shogun"/>
    <s v="HUN"/>
    <n v="6"/>
    <m/>
    <s v="Veszprém"/>
    <d v="2026-02-14T00:00:00"/>
    <x v="21"/>
    <x v="0"/>
    <s v="Shogun"/>
    <s v="felnőtt"/>
    <s v="J21"/>
    <m/>
  </r>
  <r>
    <x v="0"/>
    <s v="3A"/>
    <n v="23"/>
    <s v="Kumite"/>
    <s v="Kumite, U21 férfi 75-79,9"/>
    <x v="6"/>
    <s v="3"/>
    <s v="3 fős körmérkőzés"/>
    <s v="2"/>
    <s v="Kollát Zétény"/>
    <s v="Nintai KKSE"/>
    <s v="HUN"/>
    <n v="4"/>
    <m/>
    <s v="Veszprém"/>
    <d v="2026-02-14T00:00:00"/>
    <x v="22"/>
    <x v="1"/>
    <s v="Nintai KKSE"/>
    <s v="felnőtt"/>
    <s v="J21"/>
    <m/>
  </r>
  <r>
    <x v="0"/>
    <s v="3A"/>
    <n v="24"/>
    <s v="Kumite"/>
    <s v="Kumite, U21 férfi 75-79,9"/>
    <x v="6"/>
    <s v="3"/>
    <s v="3 fős körmérkőzés"/>
    <s v="3"/>
    <s v="Szabó István Balázs"/>
    <s v="KyoDabas SE."/>
    <s v="HUN"/>
    <n v="0"/>
    <s v="nem volt nyertes mérkőzése"/>
    <s v="Veszprém"/>
    <d v="2026-02-14T00:00:00"/>
    <x v="23"/>
    <x v="1"/>
    <s v="KyoDabas SE."/>
    <s v="felnőtt"/>
    <s v="J21"/>
    <m/>
  </r>
  <r>
    <x v="0"/>
    <s v="3A"/>
    <n v="25"/>
    <s v="Kumite"/>
    <s v="Kumite, U21 férfi -64,9kg"/>
    <x v="7"/>
    <s v="2"/>
    <s v="2 fős egyenes kiesés"/>
    <s v="1"/>
    <s v="Csordás Benjamin"/>
    <s v="Seiken STKE"/>
    <s v="HUN"/>
    <n v="4"/>
    <m/>
    <s v="Veszprém"/>
    <d v="2026-02-14T00:00:00"/>
    <x v="24"/>
    <x v="1"/>
    <s v="Seiken STKE"/>
    <s v="felnőtt"/>
    <s v="J21"/>
    <m/>
  </r>
  <r>
    <x v="0"/>
    <s v="3A"/>
    <n v="26"/>
    <s v="Kumite"/>
    <s v="Kumite, U21 férfi -64,9kg"/>
    <x v="7"/>
    <s v="2"/>
    <s v="2 fős egyenes kiesés"/>
    <s v="2"/>
    <s v="Szabó Imre Richárd"/>
    <s v="KHSE"/>
    <s v="HUN"/>
    <n v="0"/>
    <s v="nem volt nyertes mérkőzése"/>
    <s v="Veszprém"/>
    <d v="2026-02-14T00:00:00"/>
    <x v="25"/>
    <x v="0"/>
    <s v="KHSE"/>
    <s v="felnőtt"/>
    <s v="J21"/>
    <m/>
  </r>
  <r>
    <x v="0"/>
    <s v="3A"/>
    <n v="27"/>
    <s v="Kumite"/>
    <s v="Kumite, U21 férfi 70-74,9kg"/>
    <x v="8"/>
    <s v="3"/>
    <s v="3 fős körmérkőzés"/>
    <s v="1"/>
    <s v="Jámbor Dániel"/>
    <s v="KHSE"/>
    <s v="HUN"/>
    <n v="6"/>
    <m/>
    <s v="Veszprém"/>
    <d v="2026-02-14T00:00:00"/>
    <x v="26"/>
    <x v="0"/>
    <s v="KHSE"/>
    <s v="felnőtt"/>
    <s v="J21"/>
    <m/>
  </r>
  <r>
    <x v="0"/>
    <s v="3A"/>
    <n v="28"/>
    <s v="Kumite"/>
    <s v="Kumite, U21 férfi 70-74,9kg"/>
    <x v="8"/>
    <s v="3"/>
    <s v="3 fős körmérkőzés"/>
    <s v="2"/>
    <s v="Horváth Levente András"/>
    <s v="Castrum"/>
    <s v="HUN"/>
    <n v="4"/>
    <m/>
    <s v="Veszprém"/>
    <d v="2026-02-14T00:00:00"/>
    <x v="27"/>
    <x v="0"/>
    <s v="Castrum"/>
    <s v="felnőtt"/>
    <s v="J21"/>
    <m/>
  </r>
  <r>
    <x v="0"/>
    <s v="3A"/>
    <n v="29"/>
    <s v="Kumite"/>
    <s v="Kumite, U21 férfi 70-74,9kg"/>
    <x v="8"/>
    <s v="3"/>
    <s v="3 fős körmérkőzés"/>
    <s v="3"/>
    <s v="Gáspár Botond"/>
    <s v="Főnix Dojo"/>
    <s v="HUN"/>
    <n v="0"/>
    <s v="nem volt nyertes mérkőzése"/>
    <s v="Veszprém"/>
    <d v="2026-02-14T00:00:00"/>
    <x v="28"/>
    <x v="0"/>
    <s v="Főnix Dojo"/>
    <s v="felnőtt"/>
    <s v="J21"/>
    <m/>
  </r>
  <r>
    <x v="0"/>
    <s v="3B"/>
    <n v="30"/>
    <s v="Kata"/>
    <s v="Kata, FELNŐTT férfi"/>
    <x v="9"/>
    <s v="10"/>
    <s v="16 fős egyenes kiesés + 3. hely"/>
    <s v="1"/>
    <s v="Bendiák Soma"/>
    <s v="Bendiák Dojo"/>
    <s v="HUN"/>
    <n v="10"/>
    <m/>
    <s v="Veszprém"/>
    <d v="2026-02-14T00:00:00"/>
    <x v="29"/>
    <x v="0"/>
    <s v="Bendiák Dojo"/>
    <s v="felnőtt"/>
    <s v="felnőtt"/>
    <m/>
  </r>
  <r>
    <x v="0"/>
    <s v="3B"/>
    <n v="31"/>
    <s v="Kata"/>
    <s v="Kata, FELNŐTT férfi"/>
    <x v="9"/>
    <s v="10"/>
    <s v="16 fős egyenes kiesés + 3. hely"/>
    <s v="2"/>
    <s v="Spéder István"/>
    <s v="Kamikaze S"/>
    <s v="HUN"/>
    <n v="8"/>
    <m/>
    <s v="Veszprém"/>
    <d v="2026-02-14T00:00:00"/>
    <x v="30"/>
    <x v="0"/>
    <s v="Kamikaze S"/>
    <s v="felnőtt"/>
    <s v="felnőtt"/>
    <m/>
  </r>
  <r>
    <x v="0"/>
    <s v="3B"/>
    <n v="32"/>
    <s v="Kata"/>
    <s v="Kata, FELNŐTT férfi"/>
    <x v="9"/>
    <s v="10"/>
    <s v="16 fős egyenes kiesés + 3. hely"/>
    <s v="3"/>
    <s v="Pápai Balázs"/>
    <s v="TADASHII "/>
    <s v="HUN"/>
    <n v="6"/>
    <m/>
    <s v="Veszprém"/>
    <d v="2026-02-14T00:00:00"/>
    <x v="31"/>
    <x v="1"/>
    <s v="TADASHII "/>
    <s v="felnőtt"/>
    <s v="felnőtt"/>
    <m/>
  </r>
  <r>
    <x v="0"/>
    <s v="3B"/>
    <n v="33"/>
    <s v="Kata"/>
    <s v="Kata, FELNŐTT férfi"/>
    <x v="9"/>
    <s v="10"/>
    <s v="16 fős egyenes kiesés + 3. hely"/>
    <s v="4"/>
    <s v="Soltész Szabolcs"/>
    <s v="Kisvárda KKDOSC"/>
    <s v="HUN"/>
    <n v="4"/>
    <m/>
    <s v="Veszprém"/>
    <d v="2026-02-14T00:00:00"/>
    <x v="3"/>
    <x v="0"/>
    <s v="Kisvárda KKDOSC"/>
    <s v="felnőtt"/>
    <s v="felnőtt"/>
    <m/>
  </r>
  <r>
    <x v="0"/>
    <s v="3B"/>
    <n v="37"/>
    <s v="Kata"/>
    <s v="Kata, FELNŐTT férfi"/>
    <x v="9"/>
    <s v="10"/>
    <s v="16 fős egyenes kiesés + 3. hely"/>
    <n v="5"/>
    <s v="Gagna Patrik"/>
    <s v="Nozomu Dojo"/>
    <s v="HUN"/>
    <n v="3"/>
    <m/>
    <s v="Veszprém"/>
    <d v="2026-02-14T00:00:00"/>
    <x v="32"/>
    <x v="0"/>
    <s v="Nozomu Dojo"/>
    <s v="felnőtt"/>
    <s v="felnőtt"/>
    <m/>
  </r>
  <r>
    <x v="0"/>
    <s v="3B"/>
    <n v="34"/>
    <s v="Kata"/>
    <s v="Kata, FELNŐTT férfi"/>
    <x v="9"/>
    <s v="10"/>
    <s v="16 fős egyenes kiesés + 3. hely"/>
    <n v="6"/>
    <s v="Szabó Bence"/>
    <s v="Shogun"/>
    <s v="HUN"/>
    <n v="3"/>
    <m/>
    <s v="Veszprém"/>
    <d v="2026-02-14T00:00:00"/>
    <x v="33"/>
    <x v="0"/>
    <s v="Shogun"/>
    <s v="felnőtt"/>
    <s v="felnőtt"/>
    <m/>
  </r>
  <r>
    <x v="0"/>
    <s v="3B"/>
    <n v="36"/>
    <s v="Kata"/>
    <s v="Kata, FELNŐTT férfi"/>
    <x v="9"/>
    <s v="10"/>
    <s v="16 fős egyenes kiesés + 3. hely"/>
    <n v="7"/>
    <s v="Andrikó Antal"/>
    <s v="KSE Tarján"/>
    <s v="HUN"/>
    <n v="0"/>
    <s v="10 induló &gt; nem jár már pont"/>
    <s v="Veszprém"/>
    <d v="2026-02-14T00:00:00"/>
    <x v="34"/>
    <x v="0"/>
    <s v="KSE Tarján"/>
    <s v="felnőtt"/>
    <s v="felnőtt"/>
    <m/>
  </r>
  <r>
    <x v="0"/>
    <s v="3B"/>
    <n v="35"/>
    <s v="Kata"/>
    <s v="Kata, FELNŐTT férfi"/>
    <x v="9"/>
    <s v="10"/>
    <s v="16 fős egyenes kiesés + 3. hely"/>
    <n v="8"/>
    <s v="Kurucz László Botond"/>
    <s v="Genbu dojo"/>
    <s v="HUN"/>
    <n v="0"/>
    <s v="10 induló &gt; nem jár már pont"/>
    <s v="Veszprém"/>
    <d v="2026-02-14T00:00:00"/>
    <x v="35"/>
    <x v="1"/>
    <s v="Genbu dojo"/>
    <s v="felnőtt"/>
    <s v="felnőtt"/>
    <m/>
  </r>
  <r>
    <x v="0"/>
    <s v="3B"/>
    <n v="39"/>
    <s v="Kata"/>
    <s v="Kata, FELNŐTT férfi"/>
    <x v="9"/>
    <s v="10"/>
    <s v="16 fős egyenes kiesés + 3. hely"/>
    <n v="9"/>
    <s v="Csordás Benjamin"/>
    <s v="Seiken STKE"/>
    <s v="HUN"/>
    <n v="0"/>
    <s v="10 induló &gt; nem jár már pont"/>
    <s v="Veszprém"/>
    <d v="2026-02-14T00:00:00"/>
    <x v="24"/>
    <x v="1"/>
    <s v="Seiken STKE"/>
    <s v="felnőtt"/>
    <s v="felnőtt"/>
    <m/>
  </r>
  <r>
    <x v="0"/>
    <s v="3B"/>
    <n v="38"/>
    <s v="Kata"/>
    <s v="Kata, FELNŐTT férfi"/>
    <x v="9"/>
    <s v="10"/>
    <s v="16 fős egyenes kiesés + 3. hely"/>
    <n v="10"/>
    <s v="Dávid András"/>
    <s v="BHMSE"/>
    <s v="HUN"/>
    <n v="0"/>
    <s v="10 induló &gt; nem jár már pont"/>
    <s v="Veszprém"/>
    <d v="2026-02-14T00:00:00"/>
    <x v="36"/>
    <x v="0"/>
    <s v="BHMSE"/>
    <s v="felnőtt"/>
    <s v="felnőtt"/>
    <m/>
  </r>
  <r>
    <x v="0"/>
    <s v="3B"/>
    <n v="40"/>
    <s v="Kumite"/>
    <s v="Kumite, Felnőtt nő -49,9kg"/>
    <x v="10"/>
    <s v="2"/>
    <s v="2 fős egyenes kiesés"/>
    <s v="1"/>
    <s v="Dévényi Lora"/>
    <s v="Victory"/>
    <s v="HUN"/>
    <n v="6"/>
    <m/>
    <s v="Veszprém"/>
    <d v="2026-02-14T00:00:00"/>
    <x v="37"/>
    <x v="0"/>
    <s v="Victory"/>
    <s v="felnőtt"/>
    <s v="felnőtt"/>
    <m/>
  </r>
  <r>
    <x v="0"/>
    <s v="3B"/>
    <n v="41"/>
    <s v="Kumite"/>
    <s v="Kumite, Felnőtt nő -49,9kg"/>
    <x v="10"/>
    <s v="2"/>
    <s v="2 fős egyenes kiesés"/>
    <s v="2"/>
    <s v="Bihari Lili"/>
    <s v="Bátor KSE"/>
    <s v="HUN"/>
    <n v="0"/>
    <s v="nem volt nyertes mérkőzése"/>
    <s v="Veszprém"/>
    <d v="2026-02-14T00:00:00"/>
    <x v="38"/>
    <x v="0"/>
    <s v="Bátor KSE"/>
    <s v="felnőtt"/>
    <s v="felnőtt"/>
    <m/>
  </r>
  <r>
    <x v="0"/>
    <s v="3B"/>
    <n v="42"/>
    <s v="Kumite"/>
    <s v="Kumite, Felnőtt nő 50-54,9kg"/>
    <x v="11"/>
    <s v="3"/>
    <s v="3 fős körmérkőzés"/>
    <s v="1"/>
    <s v="Litvák Lili"/>
    <s v="KHSE"/>
    <s v="HUN"/>
    <n v="10"/>
    <m/>
    <s v="Veszprém"/>
    <d v="2026-02-14T00:00:00"/>
    <x v="39"/>
    <x v="0"/>
    <s v="KHSE"/>
    <s v="felnőtt"/>
    <s v="felnőtt"/>
    <m/>
  </r>
  <r>
    <x v="0"/>
    <s v="3B"/>
    <n v="43"/>
    <s v="Kumite"/>
    <s v="Kumite, Felnőtt nő 50-54,9kg"/>
    <x v="11"/>
    <s v="3"/>
    <s v="3 fős körmérkőzés"/>
    <s v="2"/>
    <s v="Polák Leila"/>
    <s v="TADASHII "/>
    <s v="HUN"/>
    <n v="6"/>
    <m/>
    <s v="Veszprém"/>
    <d v="2026-02-14T00:00:00"/>
    <x v="40"/>
    <x v="1"/>
    <s v="TADASHII "/>
    <s v="felnőtt"/>
    <s v="felnőtt"/>
    <m/>
  </r>
  <r>
    <x v="0"/>
    <s v="3B"/>
    <n v="44"/>
    <s v="Kumite"/>
    <s v="Kumite, Felnőtt nő 50-54,9kg"/>
    <x v="11"/>
    <s v="3"/>
    <s v="3 fős körmérkőzés"/>
    <s v="3"/>
    <s v="Gyenge Judit"/>
    <s v="KHSE"/>
    <s v="HUN"/>
    <n v="0"/>
    <s v="nem volt nyertes mérkőzése"/>
    <s v="Veszprém"/>
    <d v="2026-02-14T00:00:00"/>
    <x v="41"/>
    <x v="0"/>
    <s v="KHSE"/>
    <s v="felnőtt"/>
    <s v="felnőtt"/>
    <m/>
  </r>
  <r>
    <x v="0"/>
    <s v="3B"/>
    <n v="45"/>
    <s v="Kumite"/>
    <s v="Kumite, Felnőtt nő 55-59,9kg"/>
    <x v="12"/>
    <s v="4"/>
    <s v="4 fős körmérkőzés"/>
    <s v="1"/>
    <s v="Csordás Norina"/>
    <s v="Seiken STKE"/>
    <s v="HUN"/>
    <n v="12"/>
    <m/>
    <s v="Veszprém"/>
    <d v="2026-02-14T00:00:00"/>
    <x v="42"/>
    <x v="1"/>
    <s v="Seiken STKE"/>
    <s v="felnőtt"/>
    <s v="felnőtt"/>
    <m/>
  </r>
  <r>
    <x v="0"/>
    <s v="3B"/>
    <n v="46"/>
    <s v="Kumite"/>
    <s v="Kumite, Felnőtt nő 55-59,9kg"/>
    <x v="12"/>
    <s v="4"/>
    <s v="4 fős körmérkőzés"/>
    <s v="2"/>
    <s v="Kántor Viktória"/>
    <s v="VTSE"/>
    <s v="HUN"/>
    <n v="9"/>
    <m/>
    <s v="Veszprém"/>
    <d v="2026-02-14T00:00:00"/>
    <x v="43"/>
    <x v="1"/>
    <s v="VTSE"/>
    <s v="felnőtt"/>
    <s v="felnőtt"/>
    <m/>
  </r>
  <r>
    <x v="0"/>
    <s v="3B"/>
    <n v="47"/>
    <s v="Kumite"/>
    <s v="Kumite, Felnőtt nő 55-59,9kg"/>
    <x v="12"/>
    <s v="4"/>
    <s v="4 fős körmérkőzés"/>
    <s v="3"/>
    <s v="Sharabi Maya"/>
    <s v="BHMSE"/>
    <s v="HUN"/>
    <n v="6"/>
    <m/>
    <s v="Veszprém"/>
    <d v="2026-02-14T00:00:00"/>
    <x v="44"/>
    <x v="0"/>
    <s v="BHMSE"/>
    <s v="felnőtt"/>
    <s v="felnőtt"/>
    <m/>
  </r>
  <r>
    <x v="0"/>
    <s v="3B"/>
    <n v="48"/>
    <s v="Kumite"/>
    <s v="Kumite, Felnőtt nő 60-64,9kg"/>
    <x v="13"/>
    <s v="6"/>
    <s v="6 fős vegyes"/>
    <s v="1"/>
    <s v="Mező Lili"/>
    <s v="Victory"/>
    <s v="HUN"/>
    <n v="12"/>
    <m/>
    <s v="Veszprém"/>
    <d v="2026-02-14T00:00:00"/>
    <x v="45"/>
    <x v="0"/>
    <s v="Victory"/>
    <s v="felnőtt"/>
    <s v="felnőtt"/>
    <m/>
  </r>
  <r>
    <x v="0"/>
    <s v="3B"/>
    <n v="49"/>
    <s v="Kumite"/>
    <s v="Kumite, Felnőtt nő 60-64,9kg"/>
    <x v="13"/>
    <s v="6"/>
    <s v="6 fős vegyes"/>
    <s v="2"/>
    <s v="Szalay Berta"/>
    <s v="Castrum"/>
    <s v="HUN"/>
    <n v="9"/>
    <m/>
    <s v="Veszprém"/>
    <d v="2026-02-14T00:00:00"/>
    <x v="46"/>
    <x v="0"/>
    <s v="Castrum"/>
    <s v="felnőtt"/>
    <s v="felnőtt"/>
    <m/>
  </r>
  <r>
    <x v="0"/>
    <s v="3B"/>
    <n v="50"/>
    <s v="Kumite"/>
    <s v="Kumite, Felnőtt nő 60-64,9kg"/>
    <x v="13"/>
    <s v="6"/>
    <s v="6 fős vegyes"/>
    <s v="3"/>
    <s v="Bóka Viktória"/>
    <s v="Griff SE"/>
    <s v="HUN"/>
    <n v="6"/>
    <m/>
    <s v="Veszprém"/>
    <d v="2026-02-14T00:00:00"/>
    <x v="47"/>
    <x v="0"/>
    <s v="Griff SE"/>
    <s v="felnőtt"/>
    <s v="felnőtt"/>
    <m/>
  </r>
  <r>
    <x v="0"/>
    <s v="3B"/>
    <n v="51"/>
    <s v="Kumite"/>
    <s v="Kumite, Felnőtt nő 65-kg"/>
    <x v="14"/>
    <s v="4"/>
    <s v="4 fős körmérkőzés"/>
    <s v="1"/>
    <s v="Tóth Csenge"/>
    <s v="Victory"/>
    <s v="HUN"/>
    <n v="12"/>
    <m/>
    <s v="Veszprém"/>
    <d v="2026-02-14T00:00:00"/>
    <x v="48"/>
    <x v="0"/>
    <s v="Victory"/>
    <s v="felnőtt"/>
    <s v="felnőtt"/>
    <m/>
  </r>
  <r>
    <x v="0"/>
    <s v="3B"/>
    <n v="52"/>
    <s v="Kumite"/>
    <s v="Kumite, Felnőtt nő 65-kg"/>
    <x v="14"/>
    <s v="4"/>
    <s v="4 fős körmérkőzés"/>
    <s v="2"/>
    <s v="Gergely Henrietta"/>
    <s v="BHMSE"/>
    <s v="HUN"/>
    <n v="9"/>
    <m/>
    <s v="Veszprém"/>
    <d v="2026-02-14T00:00:00"/>
    <x v="49"/>
    <x v="0"/>
    <s v="BHMSE"/>
    <s v="felnőtt"/>
    <s v="felnőtt"/>
    <m/>
  </r>
  <r>
    <x v="0"/>
    <s v="3B"/>
    <n v="53"/>
    <s v="Kumite"/>
    <s v="Kumite, Felnőtt nő 65-kg"/>
    <x v="14"/>
    <s v="4"/>
    <s v="4 fős körmérkőzés"/>
    <s v="3"/>
    <s v="Varga Borbála"/>
    <s v="Kamikaze S"/>
    <s v="HUN"/>
    <n v="6"/>
    <m/>
    <s v="Veszprém"/>
    <d v="2026-02-14T00:00:00"/>
    <x v="50"/>
    <x v="0"/>
    <s v="Kamikaze S"/>
    <s v="felnőtt"/>
    <s v="felnőtt"/>
    <m/>
  </r>
  <r>
    <x v="0"/>
    <s v="3A"/>
    <n v="54"/>
    <s v="Kumite"/>
    <s v="Kumite, U21 nő 60-64,9kg"/>
    <x v="15"/>
    <s v="3"/>
    <s v="3 fős körmérkőzés"/>
    <s v="1"/>
    <s v="Józsa Erika Réka"/>
    <s v="KHSE"/>
    <s v="HUN"/>
    <n v="6"/>
    <m/>
    <s v="Veszprém"/>
    <d v="2026-02-14T00:00:00"/>
    <x v="51"/>
    <x v="0"/>
    <s v="KHSE"/>
    <s v="felnőtt"/>
    <s v="J21"/>
    <m/>
  </r>
  <r>
    <x v="0"/>
    <s v="3A"/>
    <n v="55"/>
    <s v="Kumite"/>
    <s v="Kumite, U21 nő 60-64,9kg"/>
    <x v="15"/>
    <s v="3"/>
    <s v="3 fős körmérkőzés"/>
    <s v="2"/>
    <s v="Kis Mónika"/>
    <s v="Főnix Dojo"/>
    <s v="HUN"/>
    <n v="4"/>
    <m/>
    <s v="Veszprém"/>
    <d v="2026-02-14T00:00:00"/>
    <x v="52"/>
    <x v="0"/>
    <s v="Főnix Dojo"/>
    <s v="felnőtt"/>
    <s v="J21"/>
    <m/>
  </r>
  <r>
    <x v="0"/>
    <s v="3A"/>
    <n v="56"/>
    <s v="Kumite"/>
    <s v="Kumite, U21 nő 60-64,9kg"/>
    <x v="15"/>
    <s v="3"/>
    <s v="3 fős körmérkőzés"/>
    <s v="3"/>
    <s v="Rácz Dorottya"/>
    <s v="KHSE"/>
    <s v="HUN"/>
    <n v="0"/>
    <s v="nem volt nyertes mérkőzése"/>
    <s v="Veszprém"/>
    <d v="2026-02-14T00:00:00"/>
    <x v="53"/>
    <x v="0"/>
    <s v="KHSE"/>
    <s v="felnőtt"/>
    <s v="J21"/>
    <m/>
  </r>
  <r>
    <x v="0"/>
    <s v="3B"/>
    <n v="57"/>
    <s v="Kata"/>
    <s v="Kata, FELNŐTT nő"/>
    <x v="16"/>
    <n v="14"/>
    <s v="16 fős egyenes kiesés + 3. hely"/>
    <s v="1"/>
    <s v="Polák Leila"/>
    <s v="TADASHII "/>
    <s v="HUN"/>
    <n v="10.000000010000001"/>
    <m/>
    <s v="Veszprém"/>
    <d v="2026-02-14T00:00:00"/>
    <x v="40"/>
    <x v="1"/>
    <s v="TADASHII "/>
    <s v="felnőtt"/>
    <s v="felnőtt"/>
    <m/>
  </r>
  <r>
    <x v="0"/>
    <s v="3B"/>
    <n v="58"/>
    <s v="Kata"/>
    <s v="Kata, FELNŐTT nő"/>
    <x v="16"/>
    <n v="14"/>
    <s v="16 fős egyenes kiesés + 3. hely"/>
    <s v="2"/>
    <s v="Berényi Lujza Beatrix"/>
    <s v="Kagami"/>
    <s v="HUN"/>
    <n v="8.0000000100000008"/>
    <m/>
    <s v="Veszprém"/>
    <d v="2026-02-14T00:00:00"/>
    <x v="54"/>
    <x v="0"/>
    <s v="Kagami"/>
    <s v="felnőtt"/>
    <s v="felnőtt"/>
    <m/>
  </r>
  <r>
    <x v="0"/>
    <s v="3B"/>
    <n v="59"/>
    <s v="Kata"/>
    <s v="Kata, FELNŐTT nő"/>
    <x v="16"/>
    <n v="14"/>
    <s v="16 fős egyenes kiesés + 3. hely"/>
    <s v="3"/>
    <s v="Csordás Norina"/>
    <s v="Seiken STKE"/>
    <s v="HUN"/>
    <n v="6.0000000099999999"/>
    <m/>
    <s v="Veszprém"/>
    <d v="2026-02-14T00:00:00"/>
    <x v="42"/>
    <x v="1"/>
    <s v="Seiken STKE"/>
    <s v="felnőtt"/>
    <s v="felnőtt"/>
    <m/>
  </r>
  <r>
    <x v="0"/>
    <s v="3B"/>
    <n v="60"/>
    <s v="Kata"/>
    <s v="Kata, FELNŐTT nő"/>
    <x v="16"/>
    <n v="14"/>
    <s v="16 fős egyenes kiesés + 3. hely"/>
    <s v="4"/>
    <s v="Gerő Hanna Gréta"/>
    <s v="Kagami"/>
    <s v="HUN"/>
    <n v="4.0000000099999999"/>
    <m/>
    <s v="Veszprém"/>
    <d v="2026-02-14T00:00:00"/>
    <x v="55"/>
    <x v="0"/>
    <s v="Kagami"/>
    <s v="felnőtt"/>
    <s v="felnőtt"/>
    <m/>
  </r>
  <r>
    <x v="0"/>
    <s v="3B"/>
    <n v="62"/>
    <s v="Kata"/>
    <s v="Kata, FELNŐTT nő"/>
    <x v="16"/>
    <n v="14"/>
    <s v="16 fős egyenes kiesés + 3. hely"/>
    <n v="5"/>
    <s v="Litvák Lili"/>
    <s v="KHSE"/>
    <s v="HUN"/>
    <n v="3.0000000099999999"/>
    <m/>
    <s v="Veszprém"/>
    <d v="2026-02-14T00:00:00"/>
    <x v="39"/>
    <x v="0"/>
    <s v="KHSE"/>
    <s v="felnőtt"/>
    <s v="felnőtt"/>
    <m/>
  </r>
  <r>
    <x v="0"/>
    <s v="3B"/>
    <n v="71"/>
    <s v="Kata"/>
    <s v="Kata, FELNŐTT nő"/>
    <x v="16"/>
    <n v="14"/>
    <s v="16 fős egyenes kiesés + 3. hely"/>
    <n v="6"/>
    <s v="Rácz Viktória"/>
    <s v="Shogun"/>
    <s v="HUN"/>
    <n v="3.0000000099999999"/>
    <m/>
    <s v="Veszprém"/>
    <d v="2026-02-14T00:00:00"/>
    <x v="56"/>
    <x v="0"/>
    <s v="Shogun"/>
    <s v="felnőtt"/>
    <s v="felnőtt"/>
    <m/>
  </r>
  <r>
    <x v="0"/>
    <s v="3B"/>
    <n v="69"/>
    <s v="Kata"/>
    <s v="Kata, FELNŐTT nő"/>
    <x v="16"/>
    <n v="14"/>
    <s v="16 fős egyenes kiesés + 3. hely"/>
    <n v="7"/>
    <s v="Sólyom Anna"/>
    <s v="Shogun"/>
    <s v="HUN"/>
    <n v="3.0000000099999999"/>
    <m/>
    <s v="Veszprém"/>
    <d v="2026-02-14T00:00:00"/>
    <x v="57"/>
    <x v="0"/>
    <s v="Shogun"/>
    <s v="felnőtt"/>
    <s v="felnőtt"/>
    <m/>
  </r>
  <r>
    <x v="0"/>
    <s v="3B"/>
    <n v="61"/>
    <s v="Kata"/>
    <s v="Kata, FELNŐTT nő"/>
    <x v="16"/>
    <n v="14"/>
    <s v="16 fős egyenes kiesés + 3. hely"/>
    <n v="8"/>
    <s v="Arnódi Gréta Bernadette"/>
    <s v="Kagami"/>
    <s v="HUN"/>
    <n v="3.0000000099999999"/>
    <m/>
    <s v="Veszprém"/>
    <d v="2026-02-14T00:00:00"/>
    <x v="58"/>
    <x v="0"/>
    <s v="Kagami"/>
    <s v="felnőtt"/>
    <s v="felnőtt"/>
    <m/>
  </r>
  <r>
    <x v="0"/>
    <s v="3B"/>
    <n v="68"/>
    <s v="Kata"/>
    <s v="Kata, FELNŐTT nő"/>
    <x v="16"/>
    <n v="14"/>
    <s v="16 fős egyenes kiesés + 3. hely"/>
    <n v="9"/>
    <s v="Hardi Laura"/>
    <s v="Siófok KSE"/>
    <s v="HUN"/>
    <n v="0"/>
    <s v="14 induló &gt; nem jár már pont"/>
    <s v="Veszprém"/>
    <d v="2026-02-14T00:00:00"/>
    <x v="59"/>
    <x v="0"/>
    <s v="Siófok KSE"/>
    <s v="felnőtt"/>
    <s v="felnőtt"/>
    <m/>
  </r>
  <r>
    <x v="0"/>
    <s v="3B"/>
    <n v="65"/>
    <s v="Kata"/>
    <s v="Kata, FELNŐTT nő"/>
    <x v="16"/>
    <n v="14"/>
    <s v="16 fős egyenes kiesés + 3. hely"/>
    <n v="10"/>
    <s v="Sólyom Gréta"/>
    <s v="Shogun"/>
    <s v="HUN"/>
    <n v="0"/>
    <s v="14 induló &gt; nem jár már pont"/>
    <s v="Veszprém"/>
    <d v="2026-02-14T00:00:00"/>
    <x v="60"/>
    <x v="0"/>
    <s v="Shogun"/>
    <s v="felnőtt"/>
    <s v="felnőtt"/>
    <m/>
  </r>
  <r>
    <x v="0"/>
    <s v="3B"/>
    <n v="66"/>
    <s v="Kata"/>
    <s v="Kata, FELNŐTT nő"/>
    <x v="16"/>
    <n v="14"/>
    <s v="16 fős egyenes kiesés + 3. hely"/>
    <n v="11"/>
    <s v="Jernyei Nikolett"/>
    <s v="KHSE"/>
    <s v="HUN"/>
    <n v="0"/>
    <s v="14 induló &gt; nem jár már pont"/>
    <s v="Veszprém"/>
    <d v="2026-02-14T00:00:00"/>
    <x v="61"/>
    <x v="0"/>
    <s v="KHSE"/>
    <s v="felnőtt"/>
    <s v="felnőtt"/>
    <m/>
  </r>
  <r>
    <x v="0"/>
    <s v="3B"/>
    <n v="67"/>
    <s v="Kata"/>
    <s v="Kata, FELNŐTT nő"/>
    <x v="16"/>
    <n v="14"/>
    <s v="16 fős egyenes kiesés + 3. hely"/>
    <n v="12"/>
    <s v="Nagy Nóra Bíborka"/>
    <s v="BHMSE"/>
    <s v="HUN"/>
    <n v="0"/>
    <s v="14 induló &gt; nem jár már pont"/>
    <s v="Veszprém"/>
    <d v="2026-02-14T00:00:00"/>
    <x v="62"/>
    <x v="0"/>
    <s v="BHMSE"/>
    <s v="felnőtt"/>
    <s v="felnőtt"/>
    <m/>
  </r>
  <r>
    <x v="0"/>
    <s v="3B"/>
    <n v="63"/>
    <s v="Kata"/>
    <s v="Kata, FELNŐTT nő"/>
    <x v="16"/>
    <n v="14"/>
    <s v="16 fős egyenes kiesés + 3. hely"/>
    <n v="13"/>
    <s v="Horváth Nóra"/>
    <s v="Beledi KÉSZ SE"/>
    <s v="HUN"/>
    <n v="0"/>
    <s v="14 induló &gt; nem jár már pont"/>
    <s v="Veszprém"/>
    <d v="2026-02-14T00:00:00"/>
    <x v="63"/>
    <x v="1"/>
    <s v="Beledi KÉSZ SE"/>
    <s v="felnőtt"/>
    <s v="felnőtt"/>
    <m/>
  </r>
  <r>
    <x v="0"/>
    <s v="3B"/>
    <n v="70"/>
    <s v="Kata"/>
    <s v="Kata, FELNŐTT nő"/>
    <x v="16"/>
    <n v="14"/>
    <s v="16 fős egyenes kiesés + 3. hely"/>
    <n v="14"/>
    <s v="Dróth-Tóth Adrienn"/>
    <s v="Rakurai"/>
    <s v="HUN"/>
    <n v="0"/>
    <s v="14 induló &gt; nem jár már pont"/>
    <s v="Veszprém"/>
    <d v="2026-02-14T00:00:00"/>
    <x v="64"/>
    <x v="0"/>
    <s v="Rakurai"/>
    <s v="felnőtt"/>
    <s v="felnőtt"/>
    <m/>
  </r>
  <r>
    <x v="0"/>
    <n v="2"/>
    <n v="72"/>
    <s v="Kata"/>
    <s v="Kata, FELNŐTT nő"/>
    <x v="17"/>
    <n v="2"/>
    <s v="2 csapat induló "/>
    <n v="1"/>
    <s v="KHSE csapat"/>
    <s v="KHSE"/>
    <s v="HUN"/>
    <n v="0"/>
    <s v="2 induló estetán nem jár pont"/>
    <s v="Veszprém"/>
    <d v="2026-02-14T00:00:00"/>
    <x v="65"/>
    <x v="0"/>
    <s v="KHSE"/>
    <s v="felnőtt"/>
    <s v="felnőtt"/>
    <m/>
  </r>
  <r>
    <x v="0"/>
    <n v="2"/>
    <n v="73"/>
    <s v="Kata"/>
    <s v="Kata, FELNŐTT nő"/>
    <x v="17"/>
    <n v="2"/>
    <s v="2 csapat induló "/>
    <n v="2"/>
    <s v="Kagami csapat"/>
    <s v="Kagami"/>
    <s v="HUN"/>
    <n v="0"/>
    <s v="2 induló estetán nem jár pont"/>
    <s v="Veszprém"/>
    <d v="2026-02-14T00:00:00"/>
    <x v="66"/>
    <x v="0"/>
    <s v="Kagami"/>
    <s v="felnőtt"/>
    <s v="felnőtt"/>
    <m/>
  </r>
  <r>
    <x v="1"/>
    <n v="2"/>
    <n v="1"/>
    <s v="Kumite"/>
    <s v="Kumite, -, 0-30 kg, Gyerek 1. (9-10"/>
    <x v="18"/>
    <s v="6"/>
    <s v="6 fős vegyes"/>
    <s v="1"/>
    <s v="Vámosi Juhász Ádám"/>
    <s v="Nagykátai Bushido SE"/>
    <s v="HUN"/>
    <n v="6"/>
    <m/>
    <s v="Várpalota"/>
    <d v="2026-02-28T00:00:00"/>
    <x v="67"/>
    <x v="0"/>
    <s v="Nagykátai Bushido SE"/>
    <s v="utánpótlás"/>
    <s v="gyerek"/>
    <m/>
  </r>
  <r>
    <x v="1"/>
    <n v="2"/>
    <n v="2"/>
    <s v="Kumite"/>
    <s v="Kumite, -, 0-30 kg, Gyerek 1. (9-10"/>
    <x v="18"/>
    <s v="6"/>
    <s v="6 fős vegyes"/>
    <s v="2"/>
    <s v="Zajácz Imre"/>
    <s v="Kamikaze S"/>
    <s v="HUN"/>
    <n v="5"/>
    <m/>
    <s v="Várpalota"/>
    <d v="2026-02-28T00:00:00"/>
    <x v="68"/>
    <x v="0"/>
    <s v="Kamikaze S"/>
    <s v="utánpótlás"/>
    <s v="gyerek"/>
    <m/>
  </r>
  <r>
    <x v="1"/>
    <n v="2"/>
    <n v="3"/>
    <s v="Kumite"/>
    <s v="Kumite, -, 0-30 kg, Gyerek 1. (9-10"/>
    <x v="18"/>
    <s v="6"/>
    <s v="6 fős vegyes"/>
    <s v="3"/>
    <s v="Aupek Márk"/>
    <s v="VTSE"/>
    <s v="HUN"/>
    <n v="3"/>
    <m/>
    <s v="Várpalota"/>
    <d v="2026-02-28T00:00:00"/>
    <x v="69"/>
    <x v="1"/>
    <s v="VTSE"/>
    <s v="utánpótlás"/>
    <s v="gyerek"/>
    <m/>
  </r>
  <r>
    <x v="1"/>
    <n v="2"/>
    <n v="4"/>
    <s v="Kumite"/>
    <s v="Kumite, -, 30-35 kg, Gyerek 1. (9-10"/>
    <x v="19"/>
    <s v="6"/>
    <s v="6 fős vegyes"/>
    <s v="1"/>
    <s v="Gombos-Weidinger Bence"/>
    <s v="BHMSE"/>
    <s v="HUN"/>
    <n v="6"/>
    <m/>
    <s v="Várpalota"/>
    <d v="2026-02-28T00:00:00"/>
    <x v="70"/>
    <x v="0"/>
    <s v="BHMSE"/>
    <s v="utánpótlás"/>
    <s v="gyerek"/>
    <m/>
  </r>
  <r>
    <x v="1"/>
    <n v="2"/>
    <n v="5"/>
    <s v="Kumite"/>
    <s v="Kumite, -, 30-35 kg, Gyerek 1. (9-10"/>
    <x v="19"/>
    <s v="6"/>
    <s v="6 fős vegyes"/>
    <s v="2"/>
    <s v="Seres Zoltán"/>
    <s v="Ippon KKSE"/>
    <s v="HUN"/>
    <n v="5"/>
    <m/>
    <s v="Várpalota"/>
    <d v="2026-02-28T00:00:00"/>
    <x v="71"/>
    <x v="0"/>
    <s v="Ippon KKSE"/>
    <s v="utánpótlás"/>
    <s v="gyerek"/>
    <m/>
  </r>
  <r>
    <x v="1"/>
    <n v="2"/>
    <n v="6"/>
    <s v="Kumite"/>
    <s v="Kumite, -, 30-35 kg, Gyerek 1. (9-10"/>
    <x v="19"/>
    <s v="6"/>
    <s v="6 fős vegyes"/>
    <s v="3"/>
    <s v="Menyhárt Levente "/>
    <s v="Beledi KÉSZ SE"/>
    <s v="HUN"/>
    <n v="3"/>
    <m/>
    <s v="Várpalota"/>
    <d v="2026-02-28T00:00:00"/>
    <x v="72"/>
    <x v="1"/>
    <s v="Beledi KÉSZ SE"/>
    <s v="utánpótlás"/>
    <s v="gyerek"/>
    <m/>
  </r>
  <r>
    <x v="1"/>
    <n v="2"/>
    <n v="7"/>
    <s v="Kumite"/>
    <s v="Kumite, -, 35-99 kg, Gyerek 1. (9-10"/>
    <x v="20"/>
    <s v="7"/>
    <s v="8 fős egyenes kiesés"/>
    <s v="1"/>
    <s v="Szabó Marcell Károly"/>
    <s v="Katana SE"/>
    <s v="HUN"/>
    <n v="6"/>
    <m/>
    <s v="Várpalota"/>
    <d v="2026-02-28T00:00:00"/>
    <x v="73"/>
    <x v="0"/>
    <s v="Katana SE"/>
    <s v="utánpótlás"/>
    <s v="gyerek"/>
    <m/>
  </r>
  <r>
    <x v="1"/>
    <n v="2"/>
    <n v="8"/>
    <s v="Kumite"/>
    <s v="Kumite, -, 35-99 kg, Gyerek 1. (9-10"/>
    <x v="20"/>
    <s v="7"/>
    <s v="8 fős egyenes kiesés"/>
    <s v="2"/>
    <s v="Kasza Benett"/>
    <s v="Nagykátai Bushido SE"/>
    <s v="HUN"/>
    <n v="5"/>
    <m/>
    <s v="Várpalota"/>
    <d v="2026-02-28T00:00:00"/>
    <x v="74"/>
    <x v="0"/>
    <s v="Nagykátai Bushido SE"/>
    <s v="utánpótlás"/>
    <s v="gyerek"/>
    <m/>
  </r>
  <r>
    <x v="1"/>
    <n v="2"/>
    <n v="9"/>
    <s v="Kumite"/>
    <s v="Kumite, -, 35-99 kg, Gyerek 1. (9-10"/>
    <x v="20"/>
    <s v="7"/>
    <s v="8 fős egyenes kiesés"/>
    <s v="3"/>
    <s v="Bakonyi Erik"/>
    <s v="BHMSE"/>
    <s v="HUN"/>
    <n v="0"/>
    <s v="nem volt nyertes mérkőzése"/>
    <s v="Várpalota"/>
    <d v="2026-02-28T00:00:00"/>
    <x v="75"/>
    <x v="0"/>
    <s v="BHMSE"/>
    <s v="utánpótlás"/>
    <s v="gyerek"/>
    <m/>
  </r>
  <r>
    <x v="1"/>
    <n v="2"/>
    <n v="10"/>
    <s v="Kumite"/>
    <s v="Kumite, -, 35-99 kg, Gyerek 1. (9-10"/>
    <x v="20"/>
    <s v="7"/>
    <s v="8 fős egyenes kiesés"/>
    <s v="3"/>
    <s v="Kelemen Milán"/>
    <s v="Beledi KÉSZ SE"/>
    <s v="HUN"/>
    <n v="3"/>
    <m/>
    <s v="Várpalota"/>
    <d v="2026-02-28T00:00:00"/>
    <x v="76"/>
    <x v="1"/>
    <s v="Beledi KÉSZ SE"/>
    <s v="utánpótlás"/>
    <s v="gyerek"/>
    <m/>
  </r>
  <r>
    <x v="1"/>
    <n v="2"/>
    <n v="11"/>
    <s v="Kumite"/>
    <s v="Kumite, -, 35-99 kg, Gyerek 1. (9-10"/>
    <x v="20"/>
    <s v="7"/>
    <s v="8 fős egyenes kiesés"/>
    <s v="5"/>
    <s v="Vass Zalán"/>
    <s v="Főnix Dojo"/>
    <s v="HUN"/>
    <n v="0"/>
    <m/>
    <s v="Várpalota"/>
    <d v="2026-02-28T00:00:00"/>
    <x v="77"/>
    <x v="0"/>
    <s v="Főnix Dojo"/>
    <s v="utánpótlás"/>
    <s v="gyerek"/>
    <m/>
  </r>
  <r>
    <x v="1"/>
    <n v="2"/>
    <n v="12"/>
    <s v="Kumite"/>
    <s v="Kumite, -, 35-99 kg, Gyerek 1. (9-10"/>
    <x v="20"/>
    <s v="7"/>
    <s v="8 fős egyenes kiesés"/>
    <s v="6"/>
    <s v="Tamási Péter Tamás"/>
    <s v="Castrum"/>
    <s v="HUN"/>
    <n v="0"/>
    <m/>
    <s v="Várpalota"/>
    <d v="2026-02-28T00:00:00"/>
    <x v="78"/>
    <x v="0"/>
    <s v="Castrum"/>
    <s v="utánpótlás"/>
    <s v="gyerek"/>
    <m/>
  </r>
  <r>
    <x v="1"/>
    <n v="2"/>
    <n v="13"/>
    <s v="Kumite"/>
    <s v="Kumite, -, 35-99 kg, Gyerek 1. (9-10"/>
    <x v="20"/>
    <s v="7"/>
    <s v="8 fős egyenes kiesés"/>
    <s v="7-8"/>
    <s v="Nagy Hunor"/>
    <s v="Rakurai"/>
    <s v="HUN"/>
    <n v="0"/>
    <m/>
    <s v="Várpalota"/>
    <d v="2026-02-28T00:00:00"/>
    <x v="79"/>
    <x v="0"/>
    <s v="Rakurai"/>
    <s v="utánpótlás"/>
    <s v="gyerek"/>
    <m/>
  </r>
  <r>
    <x v="1"/>
    <n v="2"/>
    <n v="14"/>
    <s v="Kata"/>
    <s v="Kata, -, 0-100 kg, Gyerek 1. (9-10"/>
    <x v="21"/>
    <s v="12"/>
    <s v="16 fős egyenes kiesés"/>
    <s v="1"/>
    <s v="Kolipka Máté Gergő"/>
    <s v="KSE Tarján"/>
    <s v="HUN"/>
    <n v="6"/>
    <m/>
    <s v="Várpalota"/>
    <d v="2026-02-28T00:00:00"/>
    <x v="80"/>
    <x v="0"/>
    <s v="KSE Tarján"/>
    <s v="utánpótlás"/>
    <s v="gyerek"/>
    <m/>
  </r>
  <r>
    <x v="1"/>
    <n v="2"/>
    <n v="15"/>
    <s v="Kata"/>
    <s v="Kata, -, 0-100 kg, Gyerek 1. (9-10"/>
    <x v="21"/>
    <s v="12"/>
    <s v="16 fős egyenes kiesés"/>
    <s v="2"/>
    <s v="Aupek Márk"/>
    <s v="VTSE"/>
    <s v="HUN"/>
    <n v="5"/>
    <m/>
    <s v="Várpalota"/>
    <d v="2026-02-28T00:00:00"/>
    <x v="69"/>
    <x v="1"/>
    <s v="VTSE"/>
    <s v="utánpótlás"/>
    <s v="gyerek"/>
    <m/>
  </r>
  <r>
    <x v="1"/>
    <n v="2"/>
    <n v="16"/>
    <s v="Kata"/>
    <s v="Kata, -, 0-100 kg, Gyerek 1. (9-10"/>
    <x v="21"/>
    <s v="12"/>
    <s v="16 fős egyenes kiesés"/>
    <s v="3"/>
    <s v="Csordás Olivér"/>
    <s v="KSE Tarján"/>
    <s v="HUN"/>
    <n v="3"/>
    <m/>
    <s v="Várpalota"/>
    <d v="2026-02-28T00:00:00"/>
    <x v="81"/>
    <x v="0"/>
    <s v="KSE Tarján"/>
    <s v="utánpótlás"/>
    <s v="gyerek"/>
    <m/>
  </r>
  <r>
    <x v="1"/>
    <n v="2"/>
    <n v="17"/>
    <s v="Kata"/>
    <s v="Kata, -, 0-100 kg, Gyerek 1. (9-10"/>
    <x v="21"/>
    <s v="12"/>
    <s v="16 fős egyenes kiesés"/>
    <s v="3"/>
    <s v="Gruber Marcell"/>
    <s v="Siófok KSE"/>
    <s v="HUN"/>
    <n v="3"/>
    <m/>
    <s v="Várpalota"/>
    <d v="2026-02-28T00:00:00"/>
    <x v="82"/>
    <x v="0"/>
    <s v="Siófok KSE"/>
    <s v="utánpótlás"/>
    <s v="gyerek"/>
    <m/>
  </r>
  <r>
    <x v="1"/>
    <n v="2"/>
    <n v="18"/>
    <s v="Kata"/>
    <s v="Kata, -, 0-100 kg, Gyerek 1. (9-10"/>
    <x v="21"/>
    <s v="12"/>
    <s v="16 fős egyenes kiesés"/>
    <s v="5"/>
    <s v="Bogdán Zsombor"/>
    <s v="Katana SE"/>
    <s v="HUN"/>
    <n v="0"/>
    <s v="nem volt nyertes mérkőzése"/>
    <s v="Várpalota"/>
    <d v="2026-02-28T00:00:00"/>
    <x v="83"/>
    <x v="0"/>
    <s v="Katana SE"/>
    <s v="utánpótlás"/>
    <s v="gyerek"/>
    <m/>
  </r>
  <r>
    <x v="1"/>
    <n v="2"/>
    <n v="19"/>
    <s v="Kata"/>
    <s v="Kata, -, 0-100 kg, Gyerek 1. (9-10"/>
    <x v="21"/>
    <s v="12"/>
    <s v="16 fős egyenes kiesés"/>
    <s v="6"/>
    <s v="Németh Dávid"/>
    <s v="BHMSE"/>
    <s v="HUN"/>
    <n v="0"/>
    <s v="nem volt nyertes mérkőzése"/>
    <s v="Várpalota"/>
    <d v="2026-02-28T00:00:00"/>
    <x v="84"/>
    <x v="0"/>
    <s v="BHMSE"/>
    <s v="utánpótlás"/>
    <s v="gyerek"/>
    <m/>
  </r>
  <r>
    <x v="1"/>
    <n v="2"/>
    <n v="20"/>
    <s v="Kata"/>
    <s v="Kata, -, 0-100 kg, Gyerek 1. (9-10"/>
    <x v="21"/>
    <s v="12"/>
    <s v="16 fős egyenes kiesés"/>
    <s v="7-8"/>
    <s v="Péntek András"/>
    <s v="Katana SE"/>
    <s v="HUN"/>
    <n v="0"/>
    <s v="nem volt nyertes mérkőzése"/>
    <s v="Várpalota"/>
    <d v="2026-02-28T00:00:00"/>
    <x v="85"/>
    <x v="0"/>
    <s v="Katana SE"/>
    <s v="utánpótlás"/>
    <s v="gyerek"/>
    <m/>
  </r>
  <r>
    <x v="1"/>
    <n v="2"/>
    <n v="21"/>
    <s v="Kata"/>
    <s v="Kata, -, 0-100 kg, Gyerek 1. (9-10"/>
    <x v="21"/>
    <s v="12"/>
    <s v="16 fős egyenes kiesés"/>
    <s v="7-8"/>
    <s v="Bakonyi Erik"/>
    <s v="BHMSE"/>
    <s v="HUN"/>
    <n v="0"/>
    <s v="nem volt nyertes mérkőzése"/>
    <s v="Várpalota"/>
    <d v="2026-02-28T00:00:00"/>
    <x v="75"/>
    <x v="0"/>
    <s v="BHMSE"/>
    <s v="utánpótlás"/>
    <s v="gyerek"/>
    <m/>
  </r>
  <r>
    <x v="1"/>
    <n v="2"/>
    <n v="22"/>
    <s v="Kata"/>
    <s v="Kata, -, 0-100 kg, Gyerek 1. (9-10"/>
    <x v="21"/>
    <s v="12"/>
    <s v="16 fős egyenes kiesés"/>
    <s v="9"/>
    <s v="Gattoni Marcello"/>
    <s v="BHMSE"/>
    <s v="HUN"/>
    <n v="0"/>
    <m/>
    <s v="Várpalota"/>
    <d v="2026-02-28T00:00:00"/>
    <x v="86"/>
    <x v="0"/>
    <s v="BHMSE"/>
    <s v="utánpótlás"/>
    <s v="gyerek"/>
    <m/>
  </r>
  <r>
    <x v="1"/>
    <n v="2"/>
    <n v="23"/>
    <s v="Kata"/>
    <s v="Kata, -, 0-100 kg, Gyerek 1. (9-10"/>
    <x v="21"/>
    <s v="12"/>
    <s v="16 fős egyenes kiesés"/>
    <s v="10"/>
    <s v="Karácsony Vadim"/>
    <s v="BHMSE"/>
    <s v="HUN"/>
    <n v="0"/>
    <m/>
    <s v="Várpalota"/>
    <d v="2026-02-28T00:00:00"/>
    <x v="87"/>
    <x v="0"/>
    <s v="BHMSE"/>
    <s v="utánpótlás"/>
    <s v="gyerek"/>
    <m/>
  </r>
  <r>
    <x v="1"/>
    <n v="2"/>
    <n v="24"/>
    <s v="Kata"/>
    <s v="Kata, -, 0-100 kg, Gyerek 1. (9-10"/>
    <x v="21"/>
    <s v="12"/>
    <s v="16 fős egyenes kiesés"/>
    <s v="11-16"/>
    <s v="Jávor Mika"/>
    <s v="BHMSE"/>
    <s v="HUN"/>
    <n v="0"/>
    <m/>
    <s v="Várpalota"/>
    <d v="2026-02-28T00:00:00"/>
    <x v="88"/>
    <x v="0"/>
    <s v="BHMSE"/>
    <s v="utánpótlás"/>
    <s v="gyerek"/>
    <m/>
  </r>
  <r>
    <x v="1"/>
    <n v="2"/>
    <n v="25"/>
    <s v="Kata"/>
    <s v="Kata, -, 0-100 kg, Gyerek 1. (9-10"/>
    <x v="21"/>
    <s v="12"/>
    <s v="16 fős egyenes kiesés"/>
    <s v="11-16"/>
    <s v="Gombos-Weidinger Bence"/>
    <s v="BHMSE"/>
    <s v="HUN"/>
    <n v="0"/>
    <m/>
    <s v="Várpalota"/>
    <d v="2026-02-28T00:00:00"/>
    <x v="70"/>
    <x v="0"/>
    <s v="BHMSE"/>
    <s v="utánpótlás"/>
    <s v="gyerek"/>
    <m/>
  </r>
  <r>
    <x v="1"/>
    <n v="2"/>
    <n v="26"/>
    <s v="Kumite"/>
    <s v="Kumite, -, 0-30 kg, Gyerek 1. (9-10"/>
    <x v="22"/>
    <s v="2"/>
    <s v="2 fős egyenes kiesés"/>
    <s v="1"/>
    <s v="Lukács Ajsa"/>
    <s v="BHMSE"/>
    <s v="HUN"/>
    <n v="3"/>
    <m/>
    <s v="Várpalota"/>
    <d v="2026-02-28T00:00:00"/>
    <x v="89"/>
    <x v="0"/>
    <s v="BHMSE"/>
    <s v="utánpótlás"/>
    <s v="gyerek"/>
    <m/>
  </r>
  <r>
    <x v="1"/>
    <n v="2"/>
    <n v="27"/>
    <s v="Kumite"/>
    <s v="Kumite, -, 0-30 kg, Gyerek 1. (9-10"/>
    <x v="22"/>
    <s v="2"/>
    <s v="2 fős egyenes kiesés"/>
    <s v="2"/>
    <s v="Erdei Emília"/>
    <s v="Rokku KKSE"/>
    <s v="HUN"/>
    <n v="0"/>
    <m/>
    <s v="Várpalota"/>
    <d v="2026-02-28T00:00:00"/>
    <x v="90"/>
    <x v="0"/>
    <s v="Rokku KKSE"/>
    <s v="utánpótlás"/>
    <s v="gyerek"/>
    <m/>
  </r>
  <r>
    <x v="1"/>
    <n v="2"/>
    <n v="28"/>
    <s v="Kumite"/>
    <s v="Kumite, -, 30-35 kg, Gyerek 1. (9-10"/>
    <x v="23"/>
    <s v="2"/>
    <s v="2 fős egyenes kiesés"/>
    <s v="1"/>
    <s v="Kámán Luca"/>
    <s v="Rakurai"/>
    <s v="HUN"/>
    <n v="3"/>
    <m/>
    <s v="Várpalota"/>
    <d v="2026-02-28T00:00:00"/>
    <x v="91"/>
    <x v="0"/>
    <s v="Rakurai"/>
    <s v="utánpótlás"/>
    <s v="gyerek"/>
    <m/>
  </r>
  <r>
    <x v="1"/>
    <n v="2"/>
    <n v="29"/>
    <s v="Kumite"/>
    <s v="Kumite, -, 30-35 kg, Gyerek 1. (9-10"/>
    <x v="23"/>
    <s v="2"/>
    <s v="2 fős egyenes kiesés"/>
    <s v="2"/>
    <s v="Falus Dorottya"/>
    <s v="Rokku KKSE"/>
    <s v="HUN"/>
    <n v="0"/>
    <m/>
    <s v="Várpalota"/>
    <d v="2026-02-28T00:00:00"/>
    <x v="92"/>
    <x v="0"/>
    <s v="Rokku KKSE"/>
    <s v="utánpótlás"/>
    <s v="gyerek"/>
    <m/>
  </r>
  <r>
    <x v="1"/>
    <n v="2"/>
    <n v="30"/>
    <s v="Kumite"/>
    <s v="Kumite, -, 35-200 kg, Gyerek 1. (9-10"/>
    <x v="24"/>
    <s v="4"/>
    <s v="4 fős körmérkőzés"/>
    <s v="1"/>
    <s v="Németh Kitti"/>
    <s v="Meiyo dojo"/>
    <s v="HUN"/>
    <n v="6"/>
    <m/>
    <s v="Várpalota"/>
    <d v="2026-02-28T00:00:00"/>
    <x v="93"/>
    <x v="0"/>
    <s v="Meiyo dojo"/>
    <s v="utánpótlás"/>
    <s v="gyerek"/>
    <m/>
  </r>
  <r>
    <x v="1"/>
    <n v="2"/>
    <n v="31"/>
    <s v="Kumite"/>
    <s v="Kumite, -, 35-200 kg, Gyerek 1. (9-10"/>
    <x v="24"/>
    <s v="4"/>
    <s v="4 fős körmérkőzés"/>
    <s v="2"/>
    <s v="Buzás Anna"/>
    <s v="Meiyo dojo"/>
    <s v="HUN"/>
    <n v="5"/>
    <m/>
    <s v="Várpalota"/>
    <d v="2026-02-28T00:00:00"/>
    <x v="94"/>
    <x v="0"/>
    <s v="Meiyo dojo"/>
    <s v="utánpótlás"/>
    <s v="gyerek"/>
    <m/>
  </r>
  <r>
    <x v="1"/>
    <n v="2"/>
    <n v="32"/>
    <s v="Kumite"/>
    <s v="Kumite, -, 35-200 kg, Gyerek 1. (9-10"/>
    <x v="24"/>
    <s v="4"/>
    <s v="4 fős körmérkőzés"/>
    <s v="3"/>
    <s v="Balogh Zora"/>
    <s v="Meiyo dojo"/>
    <s v="HUN"/>
    <n v="3"/>
    <m/>
    <s v="Várpalota"/>
    <d v="2026-02-28T00:00:00"/>
    <x v="95"/>
    <x v="0"/>
    <s v="Meiyo dojo"/>
    <s v="utánpótlás"/>
    <s v="gyerek"/>
    <m/>
  </r>
  <r>
    <x v="1"/>
    <n v="2"/>
    <n v="33"/>
    <s v="Kata"/>
    <s v="Kata, -, 0-100 kg, Gyerek 1. (9-10"/>
    <x v="25"/>
    <s v="8"/>
    <s v="8 fős egyenes kiesés"/>
    <s v="1"/>
    <s v="Varga Olivia"/>
    <s v="KSE Tarján"/>
    <s v="HUN"/>
    <n v="5"/>
    <m/>
    <s v="Várpalota"/>
    <d v="2026-02-28T00:00:00"/>
    <x v="96"/>
    <x v="0"/>
    <s v="KSE Tarján"/>
    <s v="utánpótlás"/>
    <s v="gyerek"/>
    <m/>
  </r>
  <r>
    <x v="1"/>
    <n v="2"/>
    <n v="34"/>
    <s v="Kata"/>
    <s v="Kata, -, 0-100 kg, Gyerek 1. (9-10"/>
    <x v="25"/>
    <s v="8"/>
    <s v="8 fős egyenes kiesés"/>
    <s v="2"/>
    <s v="Tóth Csenge"/>
    <s v="Nagykátai Bushido SE"/>
    <s v="HUN"/>
    <n v="4"/>
    <m/>
    <s v="Várpalota"/>
    <d v="2026-02-28T00:00:00"/>
    <x v="97"/>
    <x v="0"/>
    <s v="Nagykátai Bushido SE"/>
    <s v="utánpótlás"/>
    <s v="gyerek"/>
    <m/>
  </r>
  <r>
    <x v="1"/>
    <n v="2"/>
    <n v="35"/>
    <s v="Kata"/>
    <s v="Kata, -, 0-100 kg, Gyerek 1. (9-10"/>
    <x v="25"/>
    <s v="8"/>
    <s v="8 fős egyenes kiesés"/>
    <s v="3"/>
    <s v="Falus Dorottya"/>
    <s v="Rokku KKSE"/>
    <s v="HUN"/>
    <n v="2"/>
    <m/>
    <s v="Várpalota"/>
    <d v="2026-02-28T00:00:00"/>
    <x v="92"/>
    <x v="0"/>
    <s v="Rokku KKSE"/>
    <s v="utánpótlás"/>
    <s v="gyerek"/>
    <m/>
  </r>
  <r>
    <x v="1"/>
    <n v="2"/>
    <n v="36"/>
    <s v="Kata"/>
    <s v="Kata, -, 0-100 kg, Gyerek 1. (9-10"/>
    <x v="25"/>
    <s v="8"/>
    <s v="8 fős egyenes kiesés"/>
    <s v="3"/>
    <s v="Németh Kitti"/>
    <s v="Meiyo dojo"/>
    <s v="HUN"/>
    <n v="2"/>
    <m/>
    <s v="Várpalota"/>
    <d v="2026-02-28T00:00:00"/>
    <x v="93"/>
    <x v="0"/>
    <s v="Meiyo dojo"/>
    <s v="utánpótlás"/>
    <s v="gyerek"/>
    <m/>
  </r>
  <r>
    <x v="1"/>
    <n v="2"/>
    <n v="37"/>
    <s v="Kata"/>
    <s v="Kata, -, 0-100 kg, Gyerek 1. (9-10"/>
    <x v="25"/>
    <s v="8"/>
    <s v="8 fős egyenes kiesés"/>
    <s v="5"/>
    <s v="Simor Szofi Anna"/>
    <s v="BHMSE"/>
    <s v="HUN"/>
    <n v="0"/>
    <m/>
    <s v="Várpalota"/>
    <d v="2026-02-28T00:00:00"/>
    <x v="98"/>
    <x v="0"/>
    <s v="BHMSE"/>
    <s v="utánpótlás"/>
    <s v="gyerek"/>
    <m/>
  </r>
  <r>
    <x v="1"/>
    <n v="2"/>
    <n v="38"/>
    <s v="Kata"/>
    <s v="Kata, -, 0-100 kg, Gyerek 1. (9-10"/>
    <x v="25"/>
    <s v="8"/>
    <s v="8 fős egyenes kiesés"/>
    <s v="6"/>
    <s v="Lukács Ajsa"/>
    <s v="BHMSE"/>
    <s v="HUN"/>
    <n v="0"/>
    <m/>
    <s v="Várpalota"/>
    <d v="2026-02-28T00:00:00"/>
    <x v="89"/>
    <x v="0"/>
    <s v="BHMSE"/>
    <s v="utánpótlás"/>
    <s v="gyerek"/>
    <m/>
  </r>
  <r>
    <x v="1"/>
    <n v="2"/>
    <n v="39"/>
    <s v="Kata"/>
    <s v="Kata, -, 0-100 kg, Gyerek 1. (9-10"/>
    <x v="25"/>
    <s v="8"/>
    <s v="8 fős egyenes kiesés"/>
    <s v="7-8"/>
    <s v="Erdei Emília"/>
    <s v="Rokku KKSE"/>
    <s v="HUN"/>
    <n v="0"/>
    <m/>
    <s v="Várpalota"/>
    <d v="2026-02-28T00:00:00"/>
    <x v="90"/>
    <x v="0"/>
    <s v="Rokku KKSE"/>
    <s v="utánpótlás"/>
    <s v="gyerek"/>
    <m/>
  </r>
  <r>
    <x v="1"/>
    <n v="2"/>
    <n v="40"/>
    <s v="Kata"/>
    <s v="Kata, -, 0-100 kg, Gyerek 1. (9-10"/>
    <x v="25"/>
    <s v="8"/>
    <s v="8 fős egyenes kiesés"/>
    <s v="7-8"/>
    <s v="Buzás Anna"/>
    <s v="Meiyo dojo"/>
    <s v="HUN"/>
    <n v="0"/>
    <m/>
    <s v="Várpalota"/>
    <d v="2026-02-28T00:00:00"/>
    <x v="94"/>
    <x v="0"/>
    <s v="Meiyo dojo"/>
    <s v="utánpótlás"/>
    <s v="gyerek"/>
    <m/>
  </r>
  <r>
    <x v="1"/>
    <n v="2"/>
    <n v="41"/>
    <s v="Kumite"/>
    <s v="Kumite, -, 0-35 kg, Gyerek 2. (11-12"/>
    <x v="26"/>
    <s v="11"/>
    <s v="16 fős egyenes kiesés"/>
    <s v="1"/>
    <s v="Boka Norman Eliot"/>
    <s v="Katana SE"/>
    <s v="HUN"/>
    <n v="8"/>
    <m/>
    <s v="Várpalota"/>
    <d v="2026-02-28T00:00:00"/>
    <x v="99"/>
    <x v="0"/>
    <s v="Katana SE"/>
    <s v="utánpótlás"/>
    <s v="gyerek"/>
    <m/>
  </r>
  <r>
    <x v="1"/>
    <n v="2"/>
    <n v="42"/>
    <s v="Kumite"/>
    <s v="Kumite, -, 0-35 kg, Gyerek 2. (11-12"/>
    <x v="26"/>
    <s v="11"/>
    <s v="16 fős egyenes kiesés"/>
    <s v="2"/>
    <s v="Hegedűs Vencel"/>
    <s v="Nagykátai Bushido SE"/>
    <s v="HUN"/>
    <n v="6"/>
    <m/>
    <s v="Várpalota"/>
    <d v="2026-02-28T00:00:00"/>
    <x v="100"/>
    <x v="0"/>
    <s v="Nagykátai Bushido SE"/>
    <s v="utánpótlás"/>
    <s v="gyerek"/>
    <m/>
  </r>
  <r>
    <x v="1"/>
    <n v="2"/>
    <n v="43"/>
    <s v="Kumite"/>
    <s v="Kumite, -, 0-35 kg, Gyerek 2. (11-12"/>
    <x v="26"/>
    <s v="11"/>
    <s v="16 fős egyenes kiesés"/>
    <s v="3"/>
    <s v="Zajácz Miklós"/>
    <s v="Kamikaze S"/>
    <s v="HUN"/>
    <n v="4"/>
    <m/>
    <s v="Várpalota"/>
    <d v="2026-02-28T00:00:00"/>
    <x v="101"/>
    <x v="0"/>
    <s v="Kamikaze S"/>
    <s v="utánpótlás"/>
    <s v="gyerek"/>
    <m/>
  </r>
  <r>
    <x v="1"/>
    <n v="2"/>
    <n v="44"/>
    <s v="Kumite"/>
    <s v="Kumite, -, 0-35 kg, Gyerek 2. (11-12"/>
    <x v="26"/>
    <s v="11"/>
    <s v="16 fős egyenes kiesés"/>
    <s v="3"/>
    <s v="Gordos Zalán"/>
    <s v="VTSE"/>
    <s v="HUN"/>
    <n v="4"/>
    <m/>
    <s v="Várpalota"/>
    <d v="2026-02-28T00:00:00"/>
    <x v="102"/>
    <x v="1"/>
    <s v="VTSE"/>
    <s v="utánpótlás"/>
    <s v="gyerek"/>
    <m/>
  </r>
  <r>
    <x v="1"/>
    <n v="2"/>
    <n v="45"/>
    <s v="Kumite"/>
    <s v="Kumite, -, 0-35 kg, Gyerek 2. (11-12"/>
    <x v="26"/>
    <s v="11"/>
    <s v="16 fős egyenes kiesés"/>
    <s v="5"/>
    <s v="Vörös Mátyás"/>
    <s v="Rokku KKSE"/>
    <s v="HUN"/>
    <n v="0"/>
    <s v="nem volt nyertes mérkőzése"/>
    <s v="Várpalota"/>
    <d v="2026-02-28T00:00:00"/>
    <x v="103"/>
    <x v="0"/>
    <s v="Rokku KKSE"/>
    <s v="utánpótlás"/>
    <s v="gyerek"/>
    <m/>
  </r>
  <r>
    <x v="1"/>
    <n v="2"/>
    <n v="46"/>
    <s v="Kumite"/>
    <s v="Kumite, -, 0-35 kg, Gyerek 2. (11-12"/>
    <x v="26"/>
    <s v="11"/>
    <s v="16 fős egyenes kiesés"/>
    <s v="6"/>
    <s v="Nagy Zétény"/>
    <s v="BHMSE"/>
    <s v="HUN"/>
    <n v="0"/>
    <s v="nem volt nyertes mérkőzése"/>
    <s v="Várpalota"/>
    <d v="2026-02-28T00:00:00"/>
    <x v="104"/>
    <x v="0"/>
    <s v="BHMSE"/>
    <s v="utánpótlás"/>
    <s v="gyerek"/>
    <m/>
  </r>
  <r>
    <x v="1"/>
    <n v="2"/>
    <n v="47"/>
    <s v="Kumite"/>
    <s v="Kumite, -, 0-35 kg, Gyerek 2. (11-12"/>
    <x v="26"/>
    <s v="11"/>
    <s v="16 fős egyenes kiesés"/>
    <s v="7-8"/>
    <s v="Kovács Milán"/>
    <s v="Katana SE"/>
    <s v="HUN"/>
    <n v="2"/>
    <m/>
    <s v="Várpalota"/>
    <d v="2026-02-28T00:00:00"/>
    <x v="105"/>
    <x v="0"/>
    <s v="Katana SE"/>
    <s v="utánpótlás"/>
    <s v="gyerek"/>
    <m/>
  </r>
  <r>
    <x v="1"/>
    <n v="2"/>
    <n v="48"/>
    <s v="Kumite"/>
    <s v="Kumite, -, 0-35 kg, Gyerek 2. (11-12"/>
    <x v="26"/>
    <s v="11"/>
    <s v="16 fős egyenes kiesés"/>
    <s v="7-8"/>
    <s v="Csuha Benedek"/>
    <s v="BHMSE"/>
    <s v="HUN"/>
    <n v="0"/>
    <s v="nem volt nyertes mérkőzése"/>
    <s v="Várpalota"/>
    <d v="2026-02-28T00:00:00"/>
    <x v="106"/>
    <x v="0"/>
    <s v="BHMSE"/>
    <s v="utánpótlás"/>
    <s v="gyerek"/>
    <m/>
  </r>
  <r>
    <x v="1"/>
    <n v="2"/>
    <n v="49"/>
    <s v="Kumite"/>
    <s v="Kumite, -, 0-35 kg, Gyerek 2. (11-12"/>
    <x v="26"/>
    <s v="11"/>
    <s v="16 fős egyenes kiesés"/>
    <s v="9"/>
    <s v="Reinhoffer Erik"/>
    <s v="Kamikaze S"/>
    <s v="HUN"/>
    <n v="0"/>
    <m/>
    <s v="Várpalota"/>
    <d v="2026-02-28T00:00:00"/>
    <x v="107"/>
    <x v="0"/>
    <s v="Kamikaze S"/>
    <s v="utánpótlás"/>
    <s v="gyerek"/>
    <m/>
  </r>
  <r>
    <x v="1"/>
    <n v="2"/>
    <n v="50"/>
    <s v="Kumite"/>
    <s v="Kumite, -, 0-35 kg, Gyerek 2. (11-12"/>
    <x v="26"/>
    <s v="11"/>
    <s v="16 fős egyenes kiesés"/>
    <s v="11-16"/>
    <s v="Süller Zsombor"/>
    <s v="Katana SE"/>
    <s v="HUN"/>
    <n v="0"/>
    <m/>
    <s v="Várpalota"/>
    <d v="2026-02-28T00:00:00"/>
    <x v="108"/>
    <x v="0"/>
    <s v="Katana SE"/>
    <s v="utánpótlás"/>
    <s v="gyerek"/>
    <m/>
  </r>
  <r>
    <x v="1"/>
    <n v="2"/>
    <n v="51"/>
    <s v="Kumite"/>
    <s v="Kumite, -, 0-35 kg, Gyerek 2. (11-12"/>
    <x v="26"/>
    <s v="11"/>
    <s v="16 fős egyenes kiesés"/>
    <s v="11-16"/>
    <s v="Kalmár Ádám István"/>
    <s v="Castrum"/>
    <s v="HUN"/>
    <n v="0"/>
    <m/>
    <s v="Várpalota"/>
    <d v="2026-02-28T00:00:00"/>
    <x v="109"/>
    <x v="0"/>
    <s v="Castrum"/>
    <s v="utánpótlás"/>
    <s v="gyerek"/>
    <m/>
  </r>
  <r>
    <x v="1"/>
    <n v="2"/>
    <n v="52"/>
    <s v="Kumite"/>
    <s v="Kumite, -, 35-40 kg, Gyerek 2. (11-12"/>
    <x v="27"/>
    <s v="7"/>
    <s v="8 fős egyenes kiesés"/>
    <s v="1"/>
    <s v="Szenner Valentin"/>
    <s v="Katana SE"/>
    <s v="HUN"/>
    <n v="6"/>
    <m/>
    <s v="Várpalota"/>
    <d v="2026-02-28T00:00:00"/>
    <x v="110"/>
    <x v="0"/>
    <s v="Katana SE"/>
    <s v="utánpótlás"/>
    <s v="gyerek"/>
    <m/>
  </r>
  <r>
    <x v="1"/>
    <n v="2"/>
    <n v="53"/>
    <s v="Kumite"/>
    <s v="Kumite, -, 35-40 kg, Gyerek 2. (11-12"/>
    <x v="27"/>
    <s v="7"/>
    <s v="8 fős egyenes kiesés"/>
    <s v="2"/>
    <s v="Szabó Áron Levente"/>
    <s v="Katana SE"/>
    <s v="HUN"/>
    <n v="5"/>
    <m/>
    <s v="Várpalota"/>
    <d v="2026-02-28T00:00:00"/>
    <x v="111"/>
    <x v="0"/>
    <s v="Katana SE"/>
    <s v="utánpótlás"/>
    <s v="gyerek"/>
    <m/>
  </r>
  <r>
    <x v="1"/>
    <n v="2"/>
    <n v="54"/>
    <s v="Kumite"/>
    <s v="Kumite, -, 35-40 kg, Gyerek 2. (11-12"/>
    <x v="27"/>
    <s v="7"/>
    <s v="8 fős egyenes kiesés"/>
    <s v="3"/>
    <s v="Molnár I. Zétény"/>
    <s v="KKE - Spartacus"/>
    <s v="HUN"/>
    <n v="0"/>
    <s v="nem volt nyertes mérkőzése"/>
    <s v="Várpalota"/>
    <d v="2026-02-28T00:00:00"/>
    <x v="112"/>
    <x v="0"/>
    <s v="KKE - Spartacus"/>
    <s v="utánpótlás"/>
    <s v="gyerek"/>
    <m/>
  </r>
  <r>
    <x v="1"/>
    <n v="2"/>
    <n v="55"/>
    <s v="Kumite"/>
    <s v="Kumite, -, 35-40 kg, Gyerek 2. (11-12"/>
    <x v="27"/>
    <s v="7"/>
    <s v="8 fős egyenes kiesés"/>
    <s v="3"/>
    <s v="Hidegh Krisztián"/>
    <s v="Rakurai"/>
    <s v="HUN"/>
    <n v="3"/>
    <m/>
    <s v="Várpalota"/>
    <d v="2026-02-28T00:00:00"/>
    <x v="113"/>
    <x v="0"/>
    <s v="Rakurai"/>
    <s v="utánpótlás"/>
    <s v="gyerek"/>
    <m/>
  </r>
  <r>
    <x v="1"/>
    <n v="2"/>
    <n v="56"/>
    <s v="Kumite"/>
    <s v="Kumite, -, 35-40 kg, Gyerek 2. (11-12"/>
    <x v="27"/>
    <s v="7"/>
    <s v="8 fős egyenes kiesés"/>
    <s v="5"/>
    <s v="Benedek Barnabás"/>
    <s v="Nagykátai Bushido SE"/>
    <s v="HUN"/>
    <n v="0"/>
    <m/>
    <s v="Várpalota"/>
    <d v="2026-02-28T00:00:00"/>
    <x v="114"/>
    <x v="0"/>
    <s v="Nagykátai Bushido SE"/>
    <s v="utánpótlás"/>
    <s v="gyerek"/>
    <m/>
  </r>
  <r>
    <x v="1"/>
    <n v="2"/>
    <n v="57"/>
    <s v="Kumite"/>
    <s v="Kumite, -, 35-40 kg, Gyerek 2. (11-12"/>
    <x v="27"/>
    <s v="7"/>
    <s v="8 fős egyenes kiesés"/>
    <s v="6"/>
    <s v="Balázs Dénes"/>
    <s v="Griff SE"/>
    <s v="HUN"/>
    <n v="0"/>
    <m/>
    <s v="Várpalota"/>
    <d v="2026-02-28T00:00:00"/>
    <x v="115"/>
    <x v="0"/>
    <s v="Griff SE"/>
    <s v="utánpótlás"/>
    <s v="gyerek"/>
    <m/>
  </r>
  <r>
    <x v="1"/>
    <n v="2"/>
    <n v="58"/>
    <s v="Kumite"/>
    <s v="Kumite, -, 35-40 kg, Gyerek 2. (11-12"/>
    <x v="27"/>
    <s v="7"/>
    <s v="8 fős egyenes kiesés"/>
    <s v="7-8"/>
    <s v="Kárász Dániel"/>
    <s v="BHMSE"/>
    <s v="HUN"/>
    <n v="0"/>
    <m/>
    <s v="Várpalota"/>
    <d v="2026-02-28T00:00:00"/>
    <x v="116"/>
    <x v="0"/>
    <s v="BHMSE"/>
    <s v="utánpótlás"/>
    <s v="gyerek"/>
    <m/>
  </r>
  <r>
    <x v="1"/>
    <n v="2"/>
    <n v="59"/>
    <s v="Kumite"/>
    <s v="Kumite, -, 40-45 kg, Gyerek 2. (11-12"/>
    <x v="28"/>
    <s v="7"/>
    <s v="8 fős egyenes kiesés"/>
    <s v="1"/>
    <s v="Árendás Botond"/>
    <s v="KSE Tarján"/>
    <s v="HUN"/>
    <n v="6"/>
    <m/>
    <s v="Várpalota"/>
    <d v="2026-02-28T00:00:00"/>
    <x v="117"/>
    <x v="0"/>
    <s v="KSE Tarján"/>
    <s v="utánpótlás"/>
    <s v="gyerek"/>
    <m/>
  </r>
  <r>
    <x v="1"/>
    <n v="2"/>
    <n v="60"/>
    <s v="Kumite"/>
    <s v="Kumite, -, 40-45 kg, Gyerek 2. (11-12"/>
    <x v="28"/>
    <s v="7"/>
    <s v="8 fős egyenes kiesés"/>
    <s v="2"/>
    <s v="Horváth Kristóf"/>
    <s v="Griff SE"/>
    <s v="HUN"/>
    <n v="5"/>
    <m/>
    <s v="Várpalota"/>
    <d v="2026-02-28T00:00:00"/>
    <x v="118"/>
    <x v="0"/>
    <s v="Griff SE"/>
    <s v="utánpótlás"/>
    <s v="gyerek"/>
    <m/>
  </r>
  <r>
    <x v="1"/>
    <n v="2"/>
    <n v="61"/>
    <s v="Kumite"/>
    <s v="Kumite, -, 40-45 kg, Gyerek 2. (11-12"/>
    <x v="28"/>
    <s v="7"/>
    <s v="8 fős egyenes kiesés"/>
    <s v="3"/>
    <s v="Bodnár Zoltán"/>
    <s v="Katana SE"/>
    <s v="HUN"/>
    <n v="3"/>
    <m/>
    <s v="Várpalota"/>
    <d v="2026-02-28T00:00:00"/>
    <x v="119"/>
    <x v="0"/>
    <s v="Katana SE"/>
    <s v="utánpótlás"/>
    <s v="gyerek"/>
    <m/>
  </r>
  <r>
    <x v="1"/>
    <n v="2"/>
    <n v="62"/>
    <s v="Kumite"/>
    <s v="Kumite, -, 40-45 kg, Gyerek 2. (11-12"/>
    <x v="28"/>
    <s v="7"/>
    <s v="8 fős egyenes kiesés"/>
    <s v="3"/>
    <s v="Dani Andor"/>
    <s v="Kamikaze S"/>
    <s v="HUN"/>
    <n v="0"/>
    <s v="nem volt nyertes mérkőzése"/>
    <s v="Várpalota"/>
    <d v="2026-02-28T00:00:00"/>
    <x v="120"/>
    <x v="0"/>
    <s v="Kamikaze S"/>
    <s v="utánpótlás"/>
    <s v="gyerek"/>
    <m/>
  </r>
  <r>
    <x v="1"/>
    <n v="2"/>
    <n v="63"/>
    <s v="Kumite"/>
    <s v="Kumite, -, 40-45 kg, Gyerek 2. (11-12"/>
    <x v="28"/>
    <s v="7"/>
    <s v="8 fős egyenes kiesés"/>
    <s v="5"/>
    <s v="Mohai Szilárd"/>
    <s v="Katana SE"/>
    <s v="HUN"/>
    <n v="0"/>
    <m/>
    <s v="Várpalota"/>
    <d v="2026-02-28T00:00:00"/>
    <x v="121"/>
    <x v="0"/>
    <s v="Katana SE"/>
    <s v="utánpótlás"/>
    <s v="gyerek"/>
    <m/>
  </r>
  <r>
    <x v="1"/>
    <n v="2"/>
    <n v="64"/>
    <s v="Kumite"/>
    <s v="Kumite, -, 40-45 kg, Gyerek 2. (11-12"/>
    <x v="28"/>
    <s v="7"/>
    <s v="8 fős egyenes kiesés"/>
    <s v="6"/>
    <s v="Sipos-Cserjési Horka"/>
    <s v="BHMSE"/>
    <s v="HUN"/>
    <n v="0"/>
    <m/>
    <s v="Várpalota"/>
    <d v="2026-02-28T00:00:00"/>
    <x v="122"/>
    <x v="0"/>
    <s v="BHMSE"/>
    <s v="utánpótlás"/>
    <s v="gyerek"/>
    <m/>
  </r>
  <r>
    <x v="1"/>
    <n v="2"/>
    <n v="65"/>
    <s v="Kumite"/>
    <s v="Kumite, -, 40-45 kg, Gyerek 2. (11-12"/>
    <x v="28"/>
    <s v="7"/>
    <s v="8 fős egyenes kiesés"/>
    <s v="7-8"/>
    <s v="Fekete Kristóf"/>
    <s v="Rokku KKSE"/>
    <s v="HUN"/>
    <n v="0"/>
    <m/>
    <s v="Várpalota"/>
    <d v="2026-02-28T00:00:00"/>
    <x v="123"/>
    <x v="0"/>
    <s v="Rokku KKSE"/>
    <s v="utánpótlás"/>
    <s v="gyerek"/>
    <m/>
  </r>
  <r>
    <x v="1"/>
    <n v="2"/>
    <n v="66"/>
    <s v="Kumite"/>
    <s v="Kumite, -, 45-55 kg, Gyerek 2. (11-12"/>
    <x v="29"/>
    <s v="5"/>
    <s v="5 fős körmérkőzés"/>
    <s v="1"/>
    <s v="Gombos-Weidinger Zsombor"/>
    <s v="BHMSE"/>
    <s v="HUN"/>
    <n v="8"/>
    <m/>
    <s v="Várpalota"/>
    <d v="2026-02-28T00:00:00"/>
    <x v="124"/>
    <x v="0"/>
    <s v="BHMSE"/>
    <s v="utánpótlás"/>
    <s v="gyerek"/>
    <m/>
  </r>
  <r>
    <x v="1"/>
    <n v="2"/>
    <n v="67"/>
    <s v="Kumite"/>
    <s v="Kumite, -, 45-55 kg, Gyerek 2. (11-12"/>
    <x v="29"/>
    <s v="5"/>
    <s v="5 fős körmérkőzés"/>
    <s v="2"/>
    <s v="Vámosi Juhász Máté"/>
    <s v="Nagykátai Bushido SE"/>
    <s v="HUN"/>
    <n v="6"/>
    <m/>
    <s v="Várpalota"/>
    <d v="2026-02-28T00:00:00"/>
    <x v="125"/>
    <x v="0"/>
    <s v="Nagykátai Bushido SE"/>
    <s v="utánpótlás"/>
    <s v="gyerek"/>
    <m/>
  </r>
  <r>
    <x v="1"/>
    <n v="2"/>
    <n v="68"/>
    <s v="Kumite"/>
    <s v="Kumite, -, 45-55 kg, Gyerek 2. (11-12"/>
    <x v="29"/>
    <s v="5"/>
    <s v="5 fős körmérkőzés"/>
    <s v="3"/>
    <s v="Szabó Máté Péter"/>
    <s v="WARRIORS TEAM"/>
    <s v="HUN"/>
    <n v="4"/>
    <m/>
    <s v="Várpalota"/>
    <d v="2026-02-28T00:00:00"/>
    <x v="126"/>
    <x v="0"/>
    <s v="WARRIORS TEAM"/>
    <s v="utánpótlás"/>
    <s v="gyerek"/>
    <m/>
  </r>
  <r>
    <x v="1"/>
    <n v="2"/>
    <n v="68"/>
    <s v="Kumite"/>
    <s v="Kumite, -, 45-55 kg, Gyerek 2. (11-12"/>
    <x v="29"/>
    <s v="5"/>
    <s v="5 fős körmérkőzés"/>
    <n v="4"/>
    <s v="Milutinovic Olivér"/>
    <s v="Beledi KÉSZ SE"/>
    <s v="HUN"/>
    <n v="3"/>
    <m/>
    <s v="Várpalota"/>
    <d v="2026-02-28T00:00:00"/>
    <x v="127"/>
    <x v="1"/>
    <s v="Beledi KÉSZ SE"/>
    <s v="utánpótlás"/>
    <s v="gyerek"/>
    <m/>
  </r>
  <r>
    <x v="1"/>
    <n v="2"/>
    <n v="69"/>
    <s v="Kumite"/>
    <s v="Kumite, -, 55-999 kg, Gyerek 2. (11-12"/>
    <x v="30"/>
    <s v="4"/>
    <s v="4 fős körmérkőzés"/>
    <s v="1"/>
    <s v="Tálas Csongor"/>
    <s v="Ippon KKSE"/>
    <s v="HUN"/>
    <n v="6"/>
    <m/>
    <s v="Várpalota"/>
    <d v="2026-02-28T00:00:00"/>
    <x v="128"/>
    <x v="0"/>
    <s v="Ippon KKSE"/>
    <s v="utánpótlás"/>
    <s v="gyerek"/>
    <m/>
  </r>
  <r>
    <x v="1"/>
    <n v="2"/>
    <n v="70"/>
    <s v="Kumite"/>
    <s v="Kumite, -, 55-999 kg, Gyerek 2. (11-12"/>
    <x v="30"/>
    <s v="4"/>
    <s v="4 fős körmérkőzés"/>
    <s v="2"/>
    <s v="Baky Kornél"/>
    <s v="BHMSE"/>
    <s v="HUN"/>
    <n v="5"/>
    <m/>
    <s v="Várpalota"/>
    <d v="2026-02-28T00:00:00"/>
    <x v="129"/>
    <x v="0"/>
    <s v="BHMSE"/>
    <s v="utánpótlás"/>
    <s v="gyerek"/>
    <m/>
  </r>
  <r>
    <x v="1"/>
    <n v="2"/>
    <n v="71"/>
    <s v="Kumite"/>
    <s v="Kumite, -, 55-999 kg, Gyerek 2. (11-12"/>
    <x v="30"/>
    <s v="4"/>
    <s v="4 fős körmérkőzés"/>
    <s v="3"/>
    <s v="Koczor Máté"/>
    <s v="Rakurai"/>
    <s v="HUN"/>
    <n v="3"/>
    <m/>
    <s v="Várpalota"/>
    <d v="2026-02-28T00:00:00"/>
    <x v="130"/>
    <x v="0"/>
    <s v="Rakurai"/>
    <s v="utánpótlás"/>
    <s v="gyerek"/>
    <m/>
  </r>
  <r>
    <x v="1"/>
    <n v="2"/>
    <n v="72"/>
    <s v="Kata"/>
    <s v="Kata, -, 0-100 kg, Gyerek 2. (11-12"/>
    <x v="31"/>
    <s v="14"/>
    <s v="16 fős egyenes kiesés"/>
    <s v="1"/>
    <s v="Kőszegfalvi Csanád"/>
    <s v="Shinkyo SE"/>
    <s v="HUN"/>
    <n v="6"/>
    <m/>
    <s v="Várpalota"/>
    <d v="2026-02-28T00:00:00"/>
    <x v="131"/>
    <x v="0"/>
    <s v="Shinkyo SE"/>
    <s v="utánpótlás"/>
    <s v="gyerek"/>
    <m/>
  </r>
  <r>
    <x v="1"/>
    <n v="2"/>
    <n v="73"/>
    <s v="Kata"/>
    <s v="Kata, -, 0-100 kg, Gyerek 2. (11-12"/>
    <x v="31"/>
    <s v="14"/>
    <s v="16 fős egyenes kiesés"/>
    <s v="2"/>
    <s v="Nagy Zétény"/>
    <s v="BHMSE"/>
    <s v="HUN"/>
    <n v="5"/>
    <m/>
    <s v="Várpalota"/>
    <d v="2026-02-28T00:00:00"/>
    <x v="104"/>
    <x v="0"/>
    <s v="BHMSE"/>
    <s v="utánpótlás"/>
    <s v="gyerek"/>
    <m/>
  </r>
  <r>
    <x v="1"/>
    <n v="2"/>
    <n v="74"/>
    <s v="Kata"/>
    <s v="Kata, -, 0-100 kg, Gyerek 2. (11-12"/>
    <x v="31"/>
    <s v="14"/>
    <s v="16 fős egyenes kiesés"/>
    <s v="3"/>
    <s v="Árendás Botond"/>
    <s v="KSE Tarján"/>
    <s v="HUN"/>
    <n v="3"/>
    <m/>
    <s v="Várpalota"/>
    <d v="2026-02-28T00:00:00"/>
    <x v="117"/>
    <x v="0"/>
    <s v="KSE Tarján"/>
    <s v="utánpótlás"/>
    <s v="gyerek"/>
    <m/>
  </r>
  <r>
    <x v="1"/>
    <n v="2"/>
    <n v="75"/>
    <s v="Kata"/>
    <s v="Kata, -, 0-100 kg, Gyerek 2. (11-12"/>
    <x v="31"/>
    <s v="14"/>
    <s v="16 fős egyenes kiesés"/>
    <s v="3"/>
    <s v="Gombos-Weidinger Zsombor"/>
    <s v="BHMSE"/>
    <s v="HUN"/>
    <n v="3"/>
    <m/>
    <s v="Várpalota"/>
    <d v="2026-02-28T00:00:00"/>
    <x v="124"/>
    <x v="0"/>
    <s v="BHMSE"/>
    <s v="utánpótlás"/>
    <s v="gyerek"/>
    <m/>
  </r>
  <r>
    <x v="1"/>
    <n v="2"/>
    <n v="76"/>
    <s v="Kata"/>
    <s v="Kata, -, 0-100 kg, Gyerek 2. (11-12"/>
    <x v="31"/>
    <s v="14"/>
    <s v="16 fős egyenes kiesés"/>
    <s v="5"/>
    <s v="Eperjesi Dávid"/>
    <s v="BHMSE"/>
    <s v="HUN"/>
    <n v="1"/>
    <m/>
    <s v="Várpalota"/>
    <d v="2026-02-28T00:00:00"/>
    <x v="132"/>
    <x v="0"/>
    <s v="BHMSE"/>
    <s v="utánpótlás"/>
    <s v="gyerek"/>
    <m/>
  </r>
  <r>
    <x v="1"/>
    <n v="2"/>
    <n v="77"/>
    <s v="Kata"/>
    <s v="Kata, -, 0-100 kg, Gyerek 2. (11-12"/>
    <x v="31"/>
    <s v="14"/>
    <s v="16 fős egyenes kiesés"/>
    <s v="6"/>
    <s v="Virág Oszkár"/>
    <s v="Rokku KKSE"/>
    <s v="HUN"/>
    <n v="1"/>
    <m/>
    <s v="Várpalota"/>
    <d v="2026-02-28T00:00:00"/>
    <x v="133"/>
    <x v="0"/>
    <s v="Rokku KKSE"/>
    <s v="utánpótlás"/>
    <s v="gyerek"/>
    <m/>
  </r>
  <r>
    <x v="1"/>
    <n v="2"/>
    <n v="78"/>
    <s v="Kata"/>
    <s v="Kata, -, 0-100 kg, Gyerek 2. (11-12"/>
    <x v="31"/>
    <s v="14"/>
    <s v="16 fős egyenes kiesés"/>
    <s v="7-8"/>
    <s v="Kárász Dániel"/>
    <s v="BHMSE"/>
    <s v="HUN"/>
    <n v="0"/>
    <s v="nem volt nyertes mérkőzése"/>
    <s v="Várpalota"/>
    <d v="2026-02-28T00:00:00"/>
    <x v="116"/>
    <x v="0"/>
    <s v="BHMSE"/>
    <s v="utánpótlás"/>
    <s v="gyerek"/>
    <m/>
  </r>
  <r>
    <x v="1"/>
    <n v="2"/>
    <n v="79"/>
    <s v="Kata"/>
    <s v="Kata, -, 0-100 kg, Gyerek 2. (11-12"/>
    <x v="31"/>
    <s v="14"/>
    <s v="16 fős egyenes kiesés"/>
    <s v="7-8"/>
    <s v="Hernádi Bere"/>
    <s v="BHMSE"/>
    <s v="HUN"/>
    <n v="0"/>
    <s v="nem volt nyertes mérkőzése"/>
    <s v="Várpalota"/>
    <d v="2026-02-28T00:00:00"/>
    <x v="134"/>
    <x v="0"/>
    <s v="BHMSE"/>
    <s v="utánpótlás"/>
    <s v="gyerek"/>
    <m/>
  </r>
  <r>
    <x v="1"/>
    <n v="2"/>
    <n v="80"/>
    <s v="Kata"/>
    <s v="Kata, -, 0-100 kg, Gyerek 2. (11-12"/>
    <x v="31"/>
    <s v="14"/>
    <s v="16 fős egyenes kiesés"/>
    <s v="9"/>
    <s v="Hidegh Krisztián"/>
    <s v="Rakurai"/>
    <s v="HUN"/>
    <n v="0"/>
    <m/>
    <s v="Várpalota"/>
    <d v="2026-02-28T00:00:00"/>
    <x v="113"/>
    <x v="0"/>
    <s v="Rakurai"/>
    <s v="utánpótlás"/>
    <s v="gyerek"/>
    <m/>
  </r>
  <r>
    <x v="1"/>
    <n v="2"/>
    <n v="81"/>
    <s v="Kata"/>
    <s v="Kata, -, 0-100 kg, Gyerek 2. (11-12"/>
    <x v="31"/>
    <s v="14"/>
    <s v="16 fős egyenes kiesés"/>
    <s v="10"/>
    <s v="Mohai Szilárd"/>
    <s v="Katana SE"/>
    <s v="HUN"/>
    <n v="0"/>
    <m/>
    <s v="Várpalota"/>
    <d v="2026-02-28T00:00:00"/>
    <x v="121"/>
    <x v="0"/>
    <s v="Katana SE"/>
    <s v="utánpótlás"/>
    <s v="gyerek"/>
    <m/>
  </r>
  <r>
    <x v="1"/>
    <n v="2"/>
    <n v="82"/>
    <s v="Kata"/>
    <s v="Kata, -, 0-100 kg, Gyerek 2. (11-12"/>
    <x v="31"/>
    <s v="14"/>
    <s v="16 fős egyenes kiesés"/>
    <s v="11-16"/>
    <s v="Káplár János Mihály"/>
    <s v="Pagoda"/>
    <s v="HUN"/>
    <n v="0"/>
    <m/>
    <s v="Várpalota"/>
    <d v="2026-02-28T00:00:00"/>
    <x v="135"/>
    <x v="1"/>
    <s v="Pagoda"/>
    <s v="utánpótlás"/>
    <s v="gyerek"/>
    <m/>
  </r>
  <r>
    <x v="1"/>
    <n v="2"/>
    <n v="83"/>
    <s v="Kata"/>
    <s v="Kata, -, 0-100 kg, Gyerek 2. (11-12"/>
    <x v="31"/>
    <s v="14"/>
    <s v="16 fős egyenes kiesés"/>
    <s v="11-16"/>
    <s v="Sipos-Cserjési Horka"/>
    <s v="BHMSE"/>
    <s v="HUN"/>
    <n v="0"/>
    <m/>
    <s v="Várpalota"/>
    <d v="2026-02-28T00:00:00"/>
    <x v="122"/>
    <x v="0"/>
    <s v="BHMSE"/>
    <s v="utánpótlás"/>
    <s v="gyerek"/>
    <m/>
  </r>
  <r>
    <x v="1"/>
    <n v="2"/>
    <n v="84"/>
    <s v="Kata"/>
    <s v="Kata, -, 0-100 kg, Gyerek 2. (11-12"/>
    <x v="31"/>
    <s v="14"/>
    <s v="16 fős egyenes kiesés"/>
    <s v="11-16"/>
    <s v="Bocsányi Márton"/>
    <s v="BHMSE"/>
    <s v="HUN"/>
    <n v="0"/>
    <m/>
    <s v="Várpalota"/>
    <d v="2026-02-28T00:00:00"/>
    <x v="136"/>
    <x v="0"/>
    <s v="BHMSE"/>
    <s v="utánpótlás"/>
    <s v="gyerek"/>
    <m/>
  </r>
  <r>
    <x v="1"/>
    <n v="2"/>
    <n v="85"/>
    <s v="Kata"/>
    <s v="Kata, -, 0-100 kg, Gyerek 2. (11-12"/>
    <x v="31"/>
    <s v="14"/>
    <s v="16 fős egyenes kiesés"/>
    <s v="11-16"/>
    <s v="Vass Alexander"/>
    <s v="Siófok KSE"/>
    <s v="HUN"/>
    <n v="0"/>
    <m/>
    <s v="Várpalota"/>
    <d v="2026-02-28T00:00:00"/>
    <x v="137"/>
    <x v="0"/>
    <s v="Siófok KSE"/>
    <s v="utánpótlás"/>
    <s v="gyerek"/>
    <m/>
  </r>
  <r>
    <x v="1"/>
    <n v="2"/>
    <n v="86"/>
    <s v="Kumite"/>
    <s v="Kumite, -, 0-35 kg, Gyerek 2. (11-12"/>
    <x v="32"/>
    <s v="6"/>
    <s v="6 fős vegyes"/>
    <s v="1"/>
    <s v="Jakubovics Nikolett"/>
    <s v="BHMSE"/>
    <s v="HUN"/>
    <n v="6"/>
    <m/>
    <s v="Várpalota"/>
    <d v="2026-02-28T00:00:00"/>
    <x v="138"/>
    <x v="0"/>
    <s v="BHMSE"/>
    <s v="utánpótlás"/>
    <s v="gyerek"/>
    <m/>
  </r>
  <r>
    <x v="1"/>
    <n v="2"/>
    <n v="87"/>
    <s v="Kumite"/>
    <s v="Kumite, -, 0-35 kg, Gyerek 2. (11-12"/>
    <x v="32"/>
    <s v="6"/>
    <s v="6 fős vegyes"/>
    <s v="2"/>
    <s v="Pődör Panka"/>
    <s v="Griff SE"/>
    <s v="HUN"/>
    <n v="5"/>
    <m/>
    <s v="Várpalota"/>
    <d v="2026-02-28T00:00:00"/>
    <x v="139"/>
    <x v="0"/>
    <s v="Griff SE"/>
    <s v="utánpótlás"/>
    <s v="gyerek"/>
    <m/>
  </r>
  <r>
    <x v="1"/>
    <n v="2"/>
    <n v="88"/>
    <s v="Kumite"/>
    <s v="Kumite, -, 0-35 kg, Gyerek 2. (11-12"/>
    <x v="32"/>
    <s v="6"/>
    <s v="6 fős vegyes"/>
    <s v="3"/>
    <s v="Horváth Boróka"/>
    <s v="Rakurai"/>
    <s v="HUN"/>
    <n v="3"/>
    <m/>
    <s v="Várpalota"/>
    <d v="2026-02-28T00:00:00"/>
    <x v="140"/>
    <x v="0"/>
    <s v="Rakurai"/>
    <s v="utánpótlás"/>
    <s v="gyerek"/>
    <m/>
  </r>
  <r>
    <x v="1"/>
    <n v="2"/>
    <n v="89"/>
    <s v="Kumite"/>
    <s v="Kumite, -, 45-200 kg, Gyerek 2. (11-12"/>
    <x v="33"/>
    <s v="6"/>
    <s v="6 fős vegyes"/>
    <s v="1"/>
    <s v="Kocsis Nóra"/>
    <s v="Genbu dojo"/>
    <s v="HUN"/>
    <n v="6"/>
    <m/>
    <s v="Várpalota"/>
    <d v="2026-02-28T00:00:00"/>
    <x v="141"/>
    <x v="1"/>
    <s v="Genbu dojo"/>
    <s v="utánpótlás"/>
    <s v="gyerek"/>
    <m/>
  </r>
  <r>
    <x v="1"/>
    <n v="2"/>
    <n v="90"/>
    <s v="Kumite"/>
    <s v="Kumite, -, 45-200 kg, Gyerek 2. (11-12"/>
    <x v="33"/>
    <s v="6"/>
    <s v="6 fős vegyes"/>
    <s v="2"/>
    <s v="Kocsis Angéla"/>
    <s v="Genbu dojo"/>
    <s v="HUN"/>
    <n v="5"/>
    <m/>
    <s v="Várpalota"/>
    <d v="2026-02-28T00:00:00"/>
    <x v="142"/>
    <x v="1"/>
    <s v="Genbu dojo"/>
    <s v="utánpótlás"/>
    <s v="gyerek"/>
    <m/>
  </r>
  <r>
    <x v="1"/>
    <n v="2"/>
    <n v="91"/>
    <s v="Kumite"/>
    <s v="Kumite, -, 45-200 kg, Gyerek 2. (11-12"/>
    <x v="33"/>
    <s v="6"/>
    <s v="6 fős vegyes"/>
    <s v="3"/>
    <s v="Garamszegi Szófia"/>
    <s v="WARRIORS TEAM"/>
    <s v="HUN"/>
    <n v="3"/>
    <m/>
    <s v="Várpalota"/>
    <d v="2026-02-28T00:00:00"/>
    <x v="143"/>
    <x v="0"/>
    <s v="WARRIORS TEAM"/>
    <s v="utánpótlás"/>
    <s v="gyerek"/>
    <m/>
  </r>
  <r>
    <x v="1"/>
    <n v="2"/>
    <n v="92"/>
    <s v="Kumite"/>
    <s v="Kumite, -, 40-45 kg, Gyerek 2. (11-12"/>
    <x v="34"/>
    <s v="7"/>
    <s v="8 fős egyenes kiesés"/>
    <s v="1"/>
    <s v="Vig Boglárka"/>
    <s v="VTSE"/>
    <s v="HUN"/>
    <n v="6"/>
    <m/>
    <s v="Várpalota"/>
    <d v="2026-02-28T00:00:00"/>
    <x v="144"/>
    <x v="1"/>
    <s v="VTSE"/>
    <s v="utánpótlás"/>
    <s v="gyerek"/>
    <m/>
  </r>
  <r>
    <x v="1"/>
    <n v="2"/>
    <n v="93"/>
    <s v="Kumite"/>
    <s v="Kumite, -, 40-45 kg, Gyerek 2. (11-12"/>
    <x v="34"/>
    <s v="7"/>
    <s v="8 fős egyenes kiesés"/>
    <s v="2"/>
    <s v="Tóth Arina Bejke"/>
    <s v="Nagykátai Bushido SE"/>
    <s v="HUN"/>
    <n v="5"/>
    <m/>
    <s v="Várpalota"/>
    <d v="2026-02-28T00:00:00"/>
    <x v="145"/>
    <x v="0"/>
    <s v="Nagykátai Bushido SE"/>
    <s v="utánpótlás"/>
    <s v="gyerek"/>
    <m/>
  </r>
  <r>
    <x v="1"/>
    <n v="2"/>
    <n v="94"/>
    <s v="Kumite"/>
    <s v="Kumite, -, 40-45 kg, Gyerek 2. (11-12"/>
    <x v="34"/>
    <s v="7"/>
    <s v="8 fős egyenes kiesés"/>
    <s v="3"/>
    <s v="Spanjevic Frida"/>
    <s v="BHMSE"/>
    <s v="HUN"/>
    <n v="3"/>
    <m/>
    <s v="Várpalota"/>
    <d v="2026-02-28T00:00:00"/>
    <x v="146"/>
    <x v="0"/>
    <s v="BHMSE"/>
    <s v="utánpótlás"/>
    <s v="gyerek"/>
    <m/>
  </r>
  <r>
    <x v="1"/>
    <n v="2"/>
    <n v="95"/>
    <s v="Kumite"/>
    <s v="Kumite, -, 40-45 kg, Gyerek 2. (11-12"/>
    <x v="34"/>
    <s v="7"/>
    <s v="8 fős egyenes kiesés"/>
    <s v="3"/>
    <s v="Szombath Jázmin"/>
    <s v="Főnix Dojo"/>
    <s v="HUN"/>
    <n v="0"/>
    <s v="nem volt nyertes mérkőzése"/>
    <s v="Várpalota"/>
    <d v="2026-02-28T00:00:00"/>
    <x v="147"/>
    <x v="0"/>
    <s v="Főnix Dojo"/>
    <s v="utánpótlás"/>
    <s v="gyerek"/>
    <m/>
  </r>
  <r>
    <x v="1"/>
    <n v="2"/>
    <n v="96"/>
    <s v="Kumite"/>
    <s v="Kumite, -, 40-45 kg, Gyerek 2. (11-12"/>
    <x v="34"/>
    <s v="7"/>
    <s v="8 fős egyenes kiesés"/>
    <s v="5"/>
    <s v="Falus Zsuzsanna"/>
    <s v="Rokku KKSE"/>
    <s v="HUN"/>
    <n v="0"/>
    <m/>
    <s v="Várpalota"/>
    <d v="2026-02-28T00:00:00"/>
    <x v="148"/>
    <x v="0"/>
    <s v="Rokku KKSE"/>
    <s v="utánpótlás"/>
    <s v="gyerek"/>
    <m/>
  </r>
  <r>
    <x v="1"/>
    <n v="2"/>
    <n v="97"/>
    <s v="Kumite"/>
    <s v="Kumite, -, 40-45 kg, Gyerek 2. (11-12"/>
    <x v="34"/>
    <s v="7"/>
    <s v="8 fős egyenes kiesés"/>
    <s v="6"/>
    <s v="Rabi-Szita Emese"/>
    <s v="Meiyo dojo"/>
    <s v="HUN"/>
    <n v="0"/>
    <m/>
    <s v="Várpalota"/>
    <d v="2026-02-28T00:00:00"/>
    <x v="149"/>
    <x v="0"/>
    <s v="Meiyo dojo"/>
    <s v="utánpótlás"/>
    <s v="gyerek"/>
    <m/>
  </r>
  <r>
    <x v="1"/>
    <n v="2"/>
    <n v="98"/>
    <s v="Kumite"/>
    <s v="Kumite, -, 40-45 kg, Gyerek 2. (11-12"/>
    <x v="34"/>
    <s v="7"/>
    <s v="8 fős egyenes kiesés"/>
    <s v="7-8"/>
    <s v="Baranya Lilla"/>
    <s v="KSE Tarján"/>
    <s v="HUN"/>
    <n v="0"/>
    <m/>
    <s v="Várpalota"/>
    <d v="2026-02-28T00:00:00"/>
    <x v="150"/>
    <x v="0"/>
    <s v="KSE Tarján"/>
    <s v="utánpótlás"/>
    <s v="gyerek"/>
    <m/>
  </r>
  <r>
    <x v="1"/>
    <n v="2"/>
    <n v="99"/>
    <s v="Kata"/>
    <s v="Kata, -, 0-100 kg, Gyerek 2. (11-12"/>
    <x v="35"/>
    <s v="9"/>
    <s v="16 fős egyenes kiesés"/>
    <s v="1"/>
    <s v="Jakubovics Nikolett"/>
    <s v="BHMSE"/>
    <s v="HUN"/>
    <n v="6"/>
    <m/>
    <s v="Várpalota"/>
    <d v="2026-02-28T00:00:00"/>
    <x v="138"/>
    <x v="0"/>
    <s v="BHMSE"/>
    <s v="utánpótlás"/>
    <s v="gyerek"/>
    <m/>
  </r>
  <r>
    <x v="1"/>
    <n v="2"/>
    <n v="100"/>
    <s v="Kata"/>
    <s v="Kata, -, 0-100 kg, Gyerek 2. (11-12"/>
    <x v="35"/>
    <s v="9"/>
    <s v="16 fős egyenes kiesés"/>
    <s v="2"/>
    <s v="Domján-Herbat Réka"/>
    <s v="BHMSE"/>
    <s v="HUN"/>
    <n v="5"/>
    <m/>
    <s v="Várpalota"/>
    <d v="2026-02-28T00:00:00"/>
    <x v="151"/>
    <x v="0"/>
    <s v="BHMSE"/>
    <s v="utánpótlás"/>
    <s v="gyerek"/>
    <m/>
  </r>
  <r>
    <x v="1"/>
    <n v="2"/>
    <n v="101"/>
    <s v="Kata"/>
    <s v="Kata, -, 0-100 kg, Gyerek 2. (11-12"/>
    <x v="35"/>
    <s v="9"/>
    <s v="16 fős egyenes kiesés"/>
    <s v="3"/>
    <s v="Rudi Noémi"/>
    <s v="Rakurai"/>
    <s v="HUN"/>
    <n v="3"/>
    <m/>
    <s v="Várpalota"/>
    <d v="2026-02-28T00:00:00"/>
    <x v="152"/>
    <x v="0"/>
    <s v="Rakurai"/>
    <s v="utánpótlás"/>
    <s v="gyerek"/>
    <m/>
  </r>
  <r>
    <x v="1"/>
    <n v="2"/>
    <n v="102"/>
    <s v="Kata"/>
    <s v="Kata, -, 0-100 kg, Gyerek 2. (11-12"/>
    <x v="35"/>
    <s v="9"/>
    <s v="16 fős egyenes kiesés"/>
    <s v="3"/>
    <s v="Barta-Gaál Adóra"/>
    <s v="BHMSE"/>
    <s v="HUN"/>
    <n v="3"/>
    <m/>
    <s v="Várpalota"/>
    <d v="2026-02-28T00:00:00"/>
    <x v="153"/>
    <x v="0"/>
    <s v="BHMSE"/>
    <s v="utánpótlás"/>
    <s v="gyerek"/>
    <m/>
  </r>
  <r>
    <x v="1"/>
    <n v="2"/>
    <n v="103"/>
    <s v="Kata"/>
    <s v="Kata, -, 0-100 kg, Gyerek 2. (11-12"/>
    <x v="35"/>
    <s v="9"/>
    <s v="16 fős egyenes kiesés"/>
    <s v="5"/>
    <s v="Falus Zsuzsanna"/>
    <s v="Rokku KKSE"/>
    <s v="HUN"/>
    <n v="0"/>
    <s v="nem volt nyertes mérkőzése"/>
    <s v="Várpalota"/>
    <d v="2026-02-28T00:00:00"/>
    <x v="148"/>
    <x v="0"/>
    <s v="Rokku KKSE"/>
    <s v="utánpótlás"/>
    <s v="gyerek"/>
    <m/>
  </r>
  <r>
    <x v="1"/>
    <n v="2"/>
    <n v="104"/>
    <s v="Kata"/>
    <s v="Kata, -, 0-100 kg, Gyerek 2. (11-12"/>
    <x v="35"/>
    <s v="9"/>
    <s v="16 fős egyenes kiesés"/>
    <s v="6"/>
    <s v="Gergácz Izabella"/>
    <s v="Beledi KÉSZ SE"/>
    <s v="HUN"/>
    <n v="0"/>
    <s v="nem volt nyertes mérkőzése"/>
    <s v="Várpalota"/>
    <d v="2026-02-28T00:00:00"/>
    <x v="154"/>
    <x v="1"/>
    <s v="Beledi KÉSZ SE"/>
    <s v="utánpótlás"/>
    <s v="gyerek"/>
    <m/>
  </r>
  <r>
    <x v="1"/>
    <n v="2"/>
    <n v="105"/>
    <s v="Kata"/>
    <s v="Kata, -, 0-100 kg, Gyerek 2. (11-12"/>
    <x v="35"/>
    <s v="9"/>
    <s v="16 fős egyenes kiesés"/>
    <s v="7-8"/>
    <s v="Spanjevic Frida"/>
    <s v="BHMSE"/>
    <s v="HUN"/>
    <n v="0"/>
    <s v="nem volt nyertes mérkőzése"/>
    <s v="Várpalota"/>
    <d v="2026-02-28T00:00:00"/>
    <x v="146"/>
    <x v="0"/>
    <s v="BHMSE"/>
    <s v="utánpótlás"/>
    <s v="gyerek"/>
    <m/>
  </r>
  <r>
    <x v="1"/>
    <n v="2"/>
    <n v="106"/>
    <s v="Kata"/>
    <s v="Kata, -, 0-100 kg, Gyerek 2. (11-12"/>
    <x v="35"/>
    <s v="9"/>
    <s v="16 fős egyenes kiesés"/>
    <s v="7-8"/>
    <s v="Rabi-Szita Emese"/>
    <s v="Meiyo dojo"/>
    <s v="HUN"/>
    <n v="0"/>
    <s v="nem volt nyertes mérkőzése"/>
    <s v="Várpalota"/>
    <d v="2026-02-28T00:00:00"/>
    <x v="149"/>
    <x v="0"/>
    <s v="Meiyo dojo"/>
    <s v="utánpótlás"/>
    <s v="gyerek"/>
    <m/>
  </r>
  <r>
    <x v="1"/>
    <n v="2"/>
    <n v="107"/>
    <s v="Kata"/>
    <s v="Kata, -, 0-100 kg, Gyerek 2. (11-12"/>
    <x v="35"/>
    <s v="9"/>
    <s v="16 fős egyenes kiesés"/>
    <s v="11-16"/>
    <s v="Ükös Júlia"/>
    <s v="Katana SE"/>
    <s v="HUN"/>
    <n v="0"/>
    <m/>
    <s v="Várpalota"/>
    <d v="2026-02-28T00:00:00"/>
    <x v="155"/>
    <x v="0"/>
    <s v="Katana SE"/>
    <s v="utánpótlás"/>
    <s v="gyerek"/>
    <m/>
  </r>
  <r>
    <x v="1"/>
    <n v="2"/>
    <n v="108"/>
    <s v="Kumite"/>
    <s v="Kumite, -, 0-40 kg, Serdülő (13-14"/>
    <x v="36"/>
    <s v="2"/>
    <s v="2 fős egyenes kiesés"/>
    <s v="1"/>
    <s v="Sövér Levente"/>
    <s v="BHMSE"/>
    <s v="HUN"/>
    <n v="3"/>
    <m/>
    <s v="Várpalota"/>
    <d v="2026-02-28T00:00:00"/>
    <x v="156"/>
    <x v="0"/>
    <s v="BHMSE"/>
    <s v="utánpótlás"/>
    <s v="serdülő"/>
    <m/>
  </r>
  <r>
    <x v="1"/>
    <n v="2"/>
    <n v="109"/>
    <s v="Kumite"/>
    <s v="Kumite, -, 0-40 kg, Serdülő (13-14"/>
    <x v="36"/>
    <s v="2"/>
    <s v="2 fős egyenes kiesés"/>
    <s v="2"/>
    <s v="Nyíri György"/>
    <s v="Siófok KSE"/>
    <s v="HUN"/>
    <n v="0"/>
    <m/>
    <s v="Várpalota"/>
    <d v="2026-02-28T00:00:00"/>
    <x v="157"/>
    <x v="0"/>
    <s v="Siófok KSE"/>
    <s v="utánpótlás"/>
    <s v="serdülő"/>
    <m/>
  </r>
  <r>
    <x v="1"/>
    <n v="2"/>
    <n v="110"/>
    <s v="Kumite"/>
    <s v="Kumite, -, 40-45 kg, Serdülő (13-14"/>
    <x v="37"/>
    <s v="5"/>
    <s v="5 fős körmérkőzés"/>
    <s v="1"/>
    <s v="Bárkovics Áron"/>
    <s v="KKE - Spartacus"/>
    <s v="HUN"/>
    <n v="8"/>
    <m/>
    <s v="Várpalota"/>
    <d v="2026-02-28T00:00:00"/>
    <x v="158"/>
    <x v="0"/>
    <s v="KKE - Spartacus"/>
    <s v="utánpótlás"/>
    <s v="serdülő"/>
    <m/>
  </r>
  <r>
    <x v="1"/>
    <n v="2"/>
    <n v="111"/>
    <s v="Kumite"/>
    <s v="Kumite, -, 40-45 kg, Serdülő (13-14"/>
    <x v="37"/>
    <s v="5"/>
    <s v="5 fős körmérkőzés"/>
    <s v="2"/>
    <s v="Hidegh Flórián"/>
    <s v="Rakurai"/>
    <s v="HUN"/>
    <n v="6"/>
    <m/>
    <s v="Várpalota"/>
    <d v="2026-02-28T00:00:00"/>
    <x v="159"/>
    <x v="0"/>
    <s v="Rakurai"/>
    <s v="utánpótlás"/>
    <s v="serdülő"/>
    <m/>
  </r>
  <r>
    <x v="1"/>
    <n v="2"/>
    <n v="112"/>
    <s v="Kumite"/>
    <s v="Kumite, -, 40-45 kg, Serdülő (13-14"/>
    <x v="37"/>
    <s v="5"/>
    <s v="5 fős körmérkőzés"/>
    <s v="3"/>
    <s v="Béres Bence"/>
    <s v="VTSE"/>
    <s v="HUN"/>
    <n v="4"/>
    <m/>
    <s v="Várpalota"/>
    <d v="2026-02-28T00:00:00"/>
    <x v="160"/>
    <x v="1"/>
    <s v="VTSE"/>
    <s v="utánpótlás"/>
    <s v="serdülő"/>
    <m/>
  </r>
  <r>
    <x v="1"/>
    <n v="2"/>
    <n v="112"/>
    <s v="Kumite"/>
    <s v="Kumite, -, 40-45 kg, Serdülő (13-14"/>
    <x v="37"/>
    <s v="5"/>
    <s v="5 fős körmérkőzés"/>
    <n v="4"/>
    <s v="Jankovics Marcell"/>
    <s v="Siófok KSE"/>
    <s v="HUN"/>
    <n v="3"/>
    <m/>
    <s v="Várpalota"/>
    <d v="2026-02-28T00:00:00"/>
    <x v="161"/>
    <x v="0"/>
    <s v="Siófok KSE"/>
    <s v="utánpótlás"/>
    <s v="serdülő"/>
    <m/>
  </r>
  <r>
    <x v="1"/>
    <n v="2"/>
    <n v="113"/>
    <s v="Kumite"/>
    <s v="Kumite, -, 45-50 kg, Serdülő (13-14"/>
    <x v="38"/>
    <s v="7"/>
    <s v="8 fős egyenes kiesés"/>
    <s v="1"/>
    <s v="Antal Dániel Kristóf"/>
    <s v="KSE Tarján"/>
    <s v="HUN"/>
    <n v="6"/>
    <m/>
    <s v="Várpalota"/>
    <d v="2026-02-28T00:00:00"/>
    <x v="162"/>
    <x v="0"/>
    <s v="KSE Tarján"/>
    <s v="utánpótlás"/>
    <s v="serdülő"/>
    <m/>
  </r>
  <r>
    <x v="1"/>
    <n v="2"/>
    <n v="114"/>
    <s v="Kumite"/>
    <s v="Kumite, -, 45-50 kg, Serdülő (13-14"/>
    <x v="38"/>
    <s v="7"/>
    <s v="8 fős egyenes kiesés"/>
    <s v="2"/>
    <s v="Tóth Kornél"/>
    <s v="KKE - Spartacus"/>
    <s v="HUN"/>
    <n v="5"/>
    <m/>
    <s v="Várpalota"/>
    <d v="2026-02-28T00:00:00"/>
    <x v="163"/>
    <x v="0"/>
    <s v="KKE - Spartacus"/>
    <s v="utánpótlás"/>
    <s v="serdülő"/>
    <m/>
  </r>
  <r>
    <x v="1"/>
    <n v="2"/>
    <n v="115"/>
    <s v="Kumite"/>
    <s v="Kumite, -, 45-50 kg, Serdülő (13-14"/>
    <x v="38"/>
    <s v="7"/>
    <s v="8 fős egyenes kiesés"/>
    <s v="3"/>
    <s v="Gattyán Máté Barna"/>
    <s v="BHMSE"/>
    <s v="HUN"/>
    <n v="0"/>
    <s v="nem volt nyertes mérkőzése"/>
    <s v="Várpalota"/>
    <d v="2026-02-28T00:00:00"/>
    <x v="164"/>
    <x v="0"/>
    <s v="BHMSE"/>
    <s v="utánpótlás"/>
    <s v="serdülő"/>
    <m/>
  </r>
  <r>
    <x v="1"/>
    <n v="2"/>
    <n v="116"/>
    <s v="Kumite"/>
    <s v="Kumite, -, 45-50 kg, Serdülő (13-14"/>
    <x v="38"/>
    <s v="7"/>
    <s v="8 fős egyenes kiesés"/>
    <s v="3"/>
    <s v="Kámán Márton"/>
    <s v="Rakurai"/>
    <s v="HUN"/>
    <n v="3"/>
    <m/>
    <s v="Várpalota"/>
    <d v="2026-02-28T00:00:00"/>
    <x v="165"/>
    <x v="0"/>
    <s v="Rakurai"/>
    <s v="utánpótlás"/>
    <s v="serdülő"/>
    <m/>
  </r>
  <r>
    <x v="1"/>
    <n v="2"/>
    <n v="117"/>
    <s v="Kumite"/>
    <s v="Kumite, -, 45-50 kg, Serdülő (13-14"/>
    <x v="38"/>
    <s v="7"/>
    <s v="8 fős egyenes kiesés"/>
    <s v="5"/>
    <s v="Tarjányi Zétény Ferenc"/>
    <s v="ARSC"/>
    <s v="HUN"/>
    <n v="0"/>
    <m/>
    <s v="Várpalota"/>
    <d v="2026-02-28T00:00:00"/>
    <x v="166"/>
    <x v="0"/>
    <s v="ARSC"/>
    <s v="utánpótlás"/>
    <s v="serdülő"/>
    <m/>
  </r>
  <r>
    <x v="1"/>
    <n v="2"/>
    <n v="118"/>
    <s v="Kumite"/>
    <s v="Kumite, -, 45-50 kg, Serdülő (13-14"/>
    <x v="38"/>
    <s v="7"/>
    <s v="8 fős egyenes kiesés"/>
    <s v="6"/>
    <s v="Tóth Benedek"/>
    <s v="Ichiro Dojo"/>
    <s v="HUN"/>
    <n v="0"/>
    <m/>
    <s v="Várpalota"/>
    <d v="2026-02-28T00:00:00"/>
    <x v="167"/>
    <x v="1"/>
    <s v="Ichiro Dojo"/>
    <s v="utánpótlás"/>
    <s v="serdülő"/>
    <m/>
  </r>
  <r>
    <x v="1"/>
    <n v="2"/>
    <n v="119"/>
    <s v="Kumite"/>
    <s v="Kumite, -, 45-50 kg, Serdülő (13-14"/>
    <x v="38"/>
    <s v="7"/>
    <s v="8 fős egyenes kiesés"/>
    <s v="7-8"/>
    <s v="Halász Zente"/>
    <s v="Griff SE"/>
    <s v="HUN"/>
    <n v="0"/>
    <m/>
    <s v="Várpalota"/>
    <d v="2026-02-28T00:00:00"/>
    <x v="168"/>
    <x v="0"/>
    <s v="Griff SE"/>
    <s v="utánpótlás"/>
    <s v="serdülő"/>
    <m/>
  </r>
  <r>
    <x v="1"/>
    <n v="2"/>
    <n v="120"/>
    <s v="Kumite"/>
    <s v="Kumite, -, 50-60 kg, Serdülő (13-14"/>
    <x v="39"/>
    <s v="7"/>
    <s v="8 fős egyenes kiesés + 3. hely"/>
    <s v="1"/>
    <s v="Ferenczhalmy Félix"/>
    <s v="BHMSE"/>
    <s v="HUN"/>
    <n v="6"/>
    <m/>
    <s v="Várpalota"/>
    <d v="2026-02-28T00:00:00"/>
    <x v="169"/>
    <x v="0"/>
    <s v="BHMSE"/>
    <s v="utánpótlás"/>
    <s v="serdülő"/>
    <m/>
  </r>
  <r>
    <x v="1"/>
    <n v="2"/>
    <n v="121"/>
    <s v="Kumite"/>
    <s v="Kumite, -, 50-60 kg, Serdülő (13-14"/>
    <x v="39"/>
    <s v="7"/>
    <s v="8 fős egyenes kiesés + 3. hely"/>
    <s v="2"/>
    <s v="Viszugyel Bálint"/>
    <s v="VTSE"/>
    <s v="HUN"/>
    <n v="5"/>
    <m/>
    <s v="Várpalota"/>
    <d v="2026-02-28T00:00:00"/>
    <x v="170"/>
    <x v="1"/>
    <s v="VTSE"/>
    <s v="utánpótlás"/>
    <s v="serdülő"/>
    <m/>
  </r>
  <r>
    <x v="1"/>
    <n v="2"/>
    <n v="122"/>
    <s v="Kumite"/>
    <s v="Kumite, -, 50-60 kg, Serdülő (13-14"/>
    <x v="39"/>
    <s v="7"/>
    <s v="8 fős egyenes kiesés + 3. hely"/>
    <s v="3"/>
    <s v="Vig Bendegúz"/>
    <s v="VTSE"/>
    <s v="HUN"/>
    <n v="3"/>
    <m/>
    <s v="Várpalota"/>
    <d v="2026-02-28T00:00:00"/>
    <x v="171"/>
    <x v="1"/>
    <s v="VTSE"/>
    <s v="utánpótlás"/>
    <s v="serdülő"/>
    <m/>
  </r>
  <r>
    <x v="1"/>
    <n v="2"/>
    <n v="123"/>
    <s v="Kumite"/>
    <s v="Kumite, -, 50-60 kg, Serdülő (13-14"/>
    <x v="39"/>
    <s v="7"/>
    <s v="8 fős egyenes kiesés + 3. hely"/>
    <s v="4"/>
    <s v="Bánfi Botond"/>
    <s v="Rokku KKSE"/>
    <s v="HUN"/>
    <n v="3"/>
    <m/>
    <s v="Várpalota"/>
    <d v="2026-02-28T00:00:00"/>
    <x v="172"/>
    <x v="0"/>
    <s v="Rokku KKSE"/>
    <s v="utánpótlás"/>
    <s v="serdülő"/>
    <m/>
  </r>
  <r>
    <x v="1"/>
    <n v="2"/>
    <n v="124"/>
    <s v="Kumite"/>
    <s v="Kumite, -, 50-60 kg, Serdülő (13-14"/>
    <x v="39"/>
    <s v="7"/>
    <s v="8 fős egyenes kiesés + 3. hely"/>
    <s v="5"/>
    <s v="Munkácsi Ádám"/>
    <s v="Főnix Dojo"/>
    <s v="HUN"/>
    <n v="0"/>
    <m/>
    <s v="Várpalota"/>
    <d v="2026-02-28T00:00:00"/>
    <x v="173"/>
    <x v="0"/>
    <s v="Főnix Dojo"/>
    <s v="utánpótlás"/>
    <s v="serdülő"/>
    <m/>
  </r>
  <r>
    <x v="1"/>
    <n v="2"/>
    <n v="125"/>
    <s v="Kumite"/>
    <s v="Kumite, -, 50-60 kg, Serdülő (13-14"/>
    <x v="39"/>
    <s v="7"/>
    <s v="8 fős egyenes kiesés + 3. hely"/>
    <s v="7-8"/>
    <s v="Hadnagy Barnabás"/>
    <s v="Rokku KKSE"/>
    <s v="HUN"/>
    <n v="0"/>
    <m/>
    <s v="Várpalota"/>
    <d v="2026-02-28T00:00:00"/>
    <x v="174"/>
    <x v="0"/>
    <s v="Rokku KKSE"/>
    <s v="utánpótlás"/>
    <s v="serdülő"/>
    <m/>
  </r>
  <r>
    <x v="1"/>
    <n v="2"/>
    <n v="126"/>
    <s v="Kumite"/>
    <s v="Kumite, -, 50-60 kg, Serdülő (13-14"/>
    <x v="39"/>
    <s v="7"/>
    <s v="8 fős egyenes kiesés + 3. hely"/>
    <s v="7-8"/>
    <s v="Szabó Levente Botond"/>
    <s v="KSE Tarján"/>
    <s v="HUN"/>
    <n v="0"/>
    <m/>
    <s v="Várpalota"/>
    <d v="2026-02-28T00:00:00"/>
    <x v="175"/>
    <x v="0"/>
    <s v="KSE Tarján"/>
    <s v="utánpótlás"/>
    <s v="serdülő"/>
    <m/>
  </r>
  <r>
    <x v="1"/>
    <n v="2"/>
    <n v="127"/>
    <s v="Kumite"/>
    <s v="Kumite, -, 70-999 kg, Serdülő (13-14"/>
    <x v="40"/>
    <s v="5"/>
    <s v="5 fős körmérkőzés"/>
    <s v="1"/>
    <s v="Villasenor Babos Viktor Éliás"/>
    <s v="Rakurai"/>
    <s v="HUN"/>
    <n v="8"/>
    <m/>
    <s v="Várpalota"/>
    <d v="2026-02-28T00:00:00"/>
    <x v="176"/>
    <x v="0"/>
    <s v="Rakurai"/>
    <s v="utánpótlás"/>
    <s v="serdülő"/>
    <m/>
  </r>
  <r>
    <x v="1"/>
    <n v="2"/>
    <n v="128"/>
    <s v="Kumite"/>
    <s v="Kumite, -, 70-999 kg, Serdülő (13-14"/>
    <x v="40"/>
    <s v="5"/>
    <s v="5 fős körmérkőzés"/>
    <s v="2"/>
    <s v="Salga Márton"/>
    <s v="Rokku KKSE"/>
    <s v="HUN"/>
    <n v="6"/>
    <m/>
    <s v="Várpalota"/>
    <d v="2026-02-28T00:00:00"/>
    <x v="177"/>
    <x v="0"/>
    <s v="Rokku KKSE"/>
    <s v="utánpótlás"/>
    <s v="serdülő"/>
    <m/>
  </r>
  <r>
    <x v="1"/>
    <n v="2"/>
    <n v="129"/>
    <s v="Kumite"/>
    <s v="Kumite, -, 70-999 kg, Serdülő (13-14"/>
    <x v="40"/>
    <s v="5"/>
    <s v="5 fős körmérkőzés"/>
    <s v="3"/>
    <s v="Finta Csanád"/>
    <s v="Rakurai"/>
    <s v="HUN"/>
    <n v="4"/>
    <m/>
    <s v="Várpalota"/>
    <d v="2026-02-28T00:00:00"/>
    <x v="178"/>
    <x v="0"/>
    <s v="Rakurai"/>
    <s v="utánpótlás"/>
    <s v="serdülő"/>
    <m/>
  </r>
  <r>
    <x v="1"/>
    <n v="2"/>
    <n v="129"/>
    <s v="Kumite"/>
    <s v="Kumite, -, 70-999 kg, Serdülő (13-14"/>
    <x v="40"/>
    <s v="5"/>
    <s v="5 fős körmérkőzés"/>
    <n v="4"/>
    <s v="Gaál-Vajai Tamás"/>
    <s v="Főnix Dojo"/>
    <s v="HUN"/>
    <n v="3"/>
    <m/>
    <s v="Várpalota"/>
    <d v="2026-02-28T00:00:00"/>
    <x v="179"/>
    <x v="0"/>
    <s v="Főnix Dojo"/>
    <s v="utánpótlás"/>
    <s v="serdülő"/>
    <m/>
  </r>
  <r>
    <x v="1"/>
    <n v="2"/>
    <n v="130"/>
    <s v="Kumite"/>
    <s v="Kumite, -, 60-70 kg, Serdülő (13-14"/>
    <x v="41"/>
    <s v="8"/>
    <s v="8 fős egyenes kiesés"/>
    <s v="1"/>
    <s v="Adámi Áron"/>
    <s v="Ichiro Dojo"/>
    <s v="HUN"/>
    <n v="6"/>
    <m/>
    <s v="Várpalota"/>
    <d v="2026-02-28T00:00:00"/>
    <x v="180"/>
    <x v="1"/>
    <s v="Ichiro Dojo"/>
    <s v="utánpótlás"/>
    <s v="serdülő"/>
    <m/>
  </r>
  <r>
    <x v="1"/>
    <n v="2"/>
    <n v="131"/>
    <s v="Kumite"/>
    <s v="Kumite, -, 60-70 kg, Serdülő (13-14"/>
    <x v="41"/>
    <s v="8"/>
    <s v="8 fős egyenes kiesés"/>
    <s v="2"/>
    <s v="Urszuly Noel"/>
    <s v="Rokku KKSE"/>
    <s v="HUN"/>
    <n v="5"/>
    <m/>
    <s v="Várpalota"/>
    <d v="2026-02-28T00:00:00"/>
    <x v="181"/>
    <x v="0"/>
    <s v="Rokku KKSE"/>
    <s v="utánpótlás"/>
    <s v="serdülő"/>
    <m/>
  </r>
  <r>
    <x v="1"/>
    <n v="2"/>
    <n v="132"/>
    <s v="Kumite"/>
    <s v="Kumite, -, 60-70 kg, Serdülő (13-14"/>
    <x v="41"/>
    <s v="8"/>
    <s v="8 fős egyenes kiesés"/>
    <s v="3"/>
    <s v="Kárpáti Bence"/>
    <s v="Cs.S.E."/>
    <s v="HUN"/>
    <n v="3"/>
    <m/>
    <s v="Várpalota"/>
    <d v="2026-02-28T00:00:00"/>
    <x v="182"/>
    <x v="0"/>
    <s v="Cs.S.E."/>
    <s v="utánpótlás"/>
    <s v="serdülő"/>
    <m/>
  </r>
  <r>
    <x v="1"/>
    <n v="2"/>
    <n v="133"/>
    <s v="Kumite"/>
    <s v="Kumite, -, 60-70 kg, Serdülő (13-14"/>
    <x v="41"/>
    <s v="8"/>
    <s v="8 fős egyenes kiesés"/>
    <s v="3"/>
    <s v="Varga Bence"/>
    <s v="KSE Tarján"/>
    <s v="HUN"/>
    <n v="3"/>
    <m/>
    <s v="Várpalota"/>
    <d v="2026-02-28T00:00:00"/>
    <x v="183"/>
    <x v="0"/>
    <s v="KSE Tarján"/>
    <s v="utánpótlás"/>
    <s v="serdülő"/>
    <m/>
  </r>
  <r>
    <x v="1"/>
    <n v="2"/>
    <n v="134"/>
    <s v="Kumite"/>
    <s v="Kumite, -, 60-70 kg, Serdülő (13-14"/>
    <x v="41"/>
    <s v="8"/>
    <s v="8 fős egyenes kiesés"/>
    <s v="5"/>
    <s v="Reinhofer Patrik"/>
    <s v="Rokku KKSE"/>
    <s v="HUN"/>
    <n v="0"/>
    <m/>
    <s v="Várpalota"/>
    <d v="2026-02-28T00:00:00"/>
    <x v="184"/>
    <x v="0"/>
    <s v="Rokku KKSE"/>
    <s v="utánpótlás"/>
    <s v="serdülő"/>
    <m/>
  </r>
  <r>
    <x v="1"/>
    <n v="2"/>
    <n v="135"/>
    <s v="Kumite"/>
    <s v="Kumite, -, 60-70 kg, Serdülő (13-14"/>
    <x v="41"/>
    <s v="8"/>
    <s v="8 fős egyenes kiesés"/>
    <s v="6"/>
    <s v="Horváth Bence László"/>
    <s v="Rakurai"/>
    <s v="HUN"/>
    <n v="0"/>
    <m/>
    <s v="Várpalota"/>
    <d v="2026-02-28T00:00:00"/>
    <x v="185"/>
    <x v="0"/>
    <s v="Rakurai"/>
    <s v="utánpótlás"/>
    <s v="serdülő"/>
    <m/>
  </r>
  <r>
    <x v="1"/>
    <n v="2"/>
    <n v="136"/>
    <s v="Kumite"/>
    <s v="Kumite, -, 60-70 kg, Serdülő (13-14"/>
    <x v="41"/>
    <s v="8"/>
    <s v="8 fős egyenes kiesés"/>
    <s v="7-8"/>
    <s v="Gyarmathy Zsolt"/>
    <s v="Fitt KKSE"/>
    <s v="HUN"/>
    <n v="0"/>
    <m/>
    <s v="Várpalota"/>
    <d v="2026-02-28T00:00:00"/>
    <x v="186"/>
    <x v="0"/>
    <s v="Fitt KKSE"/>
    <s v="utánpótlás"/>
    <s v="serdülő"/>
    <m/>
  </r>
  <r>
    <x v="1"/>
    <n v="2"/>
    <n v="137"/>
    <s v="Kumite"/>
    <s v="Kumite, -, 60-70 kg, Serdülő (13-14"/>
    <x v="41"/>
    <s v="8"/>
    <s v="8 fős egyenes kiesés"/>
    <s v="7-8"/>
    <s v="Nagy Kevin "/>
    <s v="KKE - Spartacus"/>
    <s v="HUN"/>
    <n v="0"/>
    <m/>
    <s v="Várpalota"/>
    <d v="2026-02-28T00:00:00"/>
    <x v="187"/>
    <x v="0"/>
    <s v="KKE - Spartacus"/>
    <s v="utánpótlás"/>
    <s v="serdülő"/>
    <m/>
  </r>
  <r>
    <x v="1"/>
    <n v="2"/>
    <n v="138"/>
    <s v="Kata"/>
    <s v="Kata, -, 0-150 kg, Serdülő (13-14"/>
    <x v="42"/>
    <s v="11"/>
    <s v="16 fős egyenes kiesés"/>
    <s v="1"/>
    <s v="Moosbauer Kevin"/>
    <s v="KSE Tarján"/>
    <s v="HUN"/>
    <n v="6"/>
    <m/>
    <s v="Várpalota"/>
    <d v="2026-02-28T00:00:00"/>
    <x v="188"/>
    <x v="0"/>
    <s v="KSE Tarján"/>
    <s v="utánpótlás"/>
    <s v="serdülő"/>
    <m/>
  </r>
  <r>
    <x v="1"/>
    <n v="2"/>
    <n v="139"/>
    <s v="Kata"/>
    <s v="Kata, -, 0-150 kg, Serdülő (13-14"/>
    <x v="42"/>
    <s v="11"/>
    <s v="16 fős egyenes kiesés"/>
    <s v="2"/>
    <s v="Kárpáti Bence"/>
    <s v="Cs.S.E."/>
    <s v="HUN"/>
    <n v="5"/>
    <m/>
    <s v="Várpalota"/>
    <d v="2026-02-28T00:00:00"/>
    <x v="182"/>
    <x v="0"/>
    <s v="Cs.S.E."/>
    <s v="utánpótlás"/>
    <s v="serdülő"/>
    <m/>
  </r>
  <r>
    <x v="1"/>
    <n v="2"/>
    <n v="140"/>
    <s v="Kata"/>
    <s v="Kata, -, 0-150 kg, Serdülő (13-14"/>
    <x v="42"/>
    <s v="11"/>
    <s v="16 fős egyenes kiesés"/>
    <s v="3"/>
    <s v="Kleé Krisztián"/>
    <s v="Rakurai"/>
    <s v="HUN"/>
    <n v="3"/>
    <m/>
    <s v="Várpalota"/>
    <d v="2026-02-28T00:00:00"/>
    <x v="189"/>
    <x v="0"/>
    <s v="Rakurai"/>
    <s v="utánpótlás"/>
    <s v="serdülő"/>
    <m/>
  </r>
  <r>
    <x v="1"/>
    <n v="2"/>
    <n v="141"/>
    <s v="Kata"/>
    <s v="Kata, -, 0-150 kg, Serdülő (13-14"/>
    <x v="42"/>
    <s v="11"/>
    <s v="16 fős egyenes kiesés"/>
    <s v="3"/>
    <s v="Tarjányi Zétény Ferenc"/>
    <s v="ARSC"/>
    <s v="HUN"/>
    <n v="3"/>
    <m/>
    <s v="Várpalota"/>
    <d v="2026-02-28T00:00:00"/>
    <x v="166"/>
    <x v="0"/>
    <s v="ARSC"/>
    <s v="utánpótlás"/>
    <s v="serdülő"/>
    <m/>
  </r>
  <r>
    <x v="1"/>
    <n v="2"/>
    <n v="142"/>
    <s v="Kata"/>
    <s v="Kata, -, 0-150 kg, Serdülő (13-14"/>
    <x v="42"/>
    <s v="11"/>
    <s v="16 fős egyenes kiesés"/>
    <s v="5"/>
    <s v="Szigeti Boldizsár"/>
    <s v="Siófok KSE"/>
    <s v="HUN"/>
    <n v="0"/>
    <s v="nem volt nyertes mérkőzése"/>
    <s v="Várpalota"/>
    <d v="2026-02-28T00:00:00"/>
    <x v="190"/>
    <x v="0"/>
    <s v="Siófok KSE"/>
    <s v="utánpótlás"/>
    <s v="serdülő"/>
    <m/>
  </r>
  <r>
    <x v="1"/>
    <n v="2"/>
    <n v="143"/>
    <s v="Kata"/>
    <s v="Kata, -, 0-150 kg, Serdülő (13-14"/>
    <x v="42"/>
    <s v="11"/>
    <s v="16 fős egyenes kiesés"/>
    <s v="6"/>
    <s v="Sövér Levente"/>
    <s v="BHMSE"/>
    <s v="HUN"/>
    <n v="1"/>
    <m/>
    <s v="Várpalota"/>
    <d v="2026-02-28T00:00:00"/>
    <x v="156"/>
    <x v="0"/>
    <s v="BHMSE"/>
    <s v="utánpótlás"/>
    <s v="serdülő"/>
    <m/>
  </r>
  <r>
    <x v="1"/>
    <n v="2"/>
    <n v="144"/>
    <s v="Kata"/>
    <s v="Kata, -, 0-150 kg, Serdülő (13-14"/>
    <x v="42"/>
    <s v="11"/>
    <s v="16 fős egyenes kiesés"/>
    <s v="7-8"/>
    <s v="Nyíri György"/>
    <s v="Siófok KSE"/>
    <s v="HUN"/>
    <n v="0"/>
    <s v="nem volt nyertes mérkőzése"/>
    <s v="Várpalota"/>
    <d v="2026-02-28T00:00:00"/>
    <x v="157"/>
    <x v="0"/>
    <s v="Siófok KSE"/>
    <s v="utánpótlás"/>
    <s v="serdülő"/>
    <m/>
  </r>
  <r>
    <x v="1"/>
    <n v="2"/>
    <n v="145"/>
    <s v="Kata"/>
    <s v="Kata, -, 0-150 kg, Serdülő (13-14"/>
    <x v="42"/>
    <s v="11"/>
    <s v="16 fős egyenes kiesés"/>
    <s v="7-8"/>
    <s v="Jankovics Marcell"/>
    <s v="Siófok KSE"/>
    <s v="HUN"/>
    <n v="0"/>
    <m/>
    <s v="Várpalota"/>
    <d v="2026-02-28T00:00:00"/>
    <x v="161"/>
    <x v="0"/>
    <s v="Siófok KSE"/>
    <s v="utánpótlás"/>
    <s v="serdülő"/>
    <m/>
  </r>
  <r>
    <x v="1"/>
    <n v="2"/>
    <n v="146"/>
    <s v="Kata"/>
    <s v="Kata, -, 0-150 kg, Serdülő (13-14"/>
    <x v="42"/>
    <s v="11"/>
    <s v="16 fős egyenes kiesés"/>
    <s v="9"/>
    <s v="Ferenczhalmy Félix"/>
    <s v="BHMSE"/>
    <s v="HUN"/>
    <n v="0"/>
    <m/>
    <s v="Várpalota"/>
    <d v="2026-02-28T00:00:00"/>
    <x v="169"/>
    <x v="0"/>
    <s v="BHMSE"/>
    <s v="utánpótlás"/>
    <s v="serdülő"/>
    <m/>
  </r>
  <r>
    <x v="1"/>
    <n v="2"/>
    <n v="147"/>
    <s v="Kata"/>
    <s v="Kata, -, 0-150 kg, Serdülő (13-14"/>
    <x v="42"/>
    <s v="11"/>
    <s v="16 fős egyenes kiesés"/>
    <s v="11-16"/>
    <s v="Fulló István Dragoljub"/>
    <s v="Ippon KKSE"/>
    <s v="HUN"/>
    <n v="0"/>
    <m/>
    <s v="Várpalota"/>
    <d v="2026-02-28T00:00:00"/>
    <x v="191"/>
    <x v="0"/>
    <s v="Ippon KKSE"/>
    <s v="utánpótlás"/>
    <s v="serdülő"/>
    <m/>
  </r>
  <r>
    <x v="1"/>
    <n v="2"/>
    <n v="148"/>
    <s v="Kata"/>
    <s v="Kata, -, 0-150 kg, Serdülő (13-14"/>
    <x v="42"/>
    <s v="11"/>
    <s v="16 fős egyenes kiesés"/>
    <s v="11-16"/>
    <s v="KÁDAS DOMINIK"/>
    <s v="KyoDabas SE."/>
    <s v="HUN"/>
    <n v="0"/>
    <m/>
    <s v="Várpalota"/>
    <d v="2026-02-28T00:00:00"/>
    <x v="192"/>
    <x v="1"/>
    <s v="KyoDabas SE."/>
    <s v="utánpótlás"/>
    <s v="serdülő"/>
    <m/>
  </r>
  <r>
    <x v="1"/>
    <n v="2"/>
    <n v="149"/>
    <s v="Kumite"/>
    <s v="Kumite, -, 0-40 kg, Serdülő (13-14"/>
    <x v="43"/>
    <s v="2"/>
    <s v="2 fős egyenes kiesés"/>
    <s v="1"/>
    <s v="Bogdán Szonja Boróka"/>
    <s v="Rakurai"/>
    <s v="HUN"/>
    <n v="3"/>
    <m/>
    <s v="Várpalota"/>
    <d v="2026-02-28T00:00:00"/>
    <x v="193"/>
    <x v="0"/>
    <s v="Rakurai"/>
    <s v="utánpótlás"/>
    <s v="serdülő"/>
    <m/>
  </r>
  <r>
    <x v="1"/>
    <n v="2"/>
    <n v="150"/>
    <s v="Kumite"/>
    <s v="Kumite, -, 0-40 kg, Serdülő (13-14"/>
    <x v="43"/>
    <s v="2"/>
    <s v="2 fős egyenes kiesés"/>
    <s v="2"/>
    <s v="Rékai Bianka"/>
    <s v="Siófok KSE"/>
    <s v="HUN"/>
    <n v="0"/>
    <m/>
    <s v="Várpalota"/>
    <d v="2026-02-28T00:00:00"/>
    <x v="194"/>
    <x v="0"/>
    <s v="Siófok KSE"/>
    <s v="utánpótlás"/>
    <s v="serdülő"/>
    <m/>
  </r>
  <r>
    <x v="1"/>
    <n v="2"/>
    <n v="151"/>
    <s v="Kumite"/>
    <s v="Kumite, -, 45-55 kg, Serdülő (13-14"/>
    <x v="44"/>
    <s v="11"/>
    <s v="16 fős egyenes kiesés"/>
    <s v="1"/>
    <s v="Reichert Hanna "/>
    <s v="VTSE"/>
    <s v="HUN"/>
    <n v="8"/>
    <m/>
    <s v="Várpalota"/>
    <d v="2026-02-28T00:00:00"/>
    <x v="195"/>
    <x v="1"/>
    <s v="VTSE"/>
    <s v="utánpótlás"/>
    <s v="serdülő"/>
    <m/>
  </r>
  <r>
    <x v="1"/>
    <n v="2"/>
    <n v="152"/>
    <s v="Kumite"/>
    <s v="Kumite, -, 45-55 kg, Serdülő (13-14"/>
    <x v="44"/>
    <s v="11"/>
    <s v="16 fős egyenes kiesés"/>
    <s v="2"/>
    <s v="Gaál-Vajai Tamara"/>
    <s v="Főnix Dojo"/>
    <s v="HUN"/>
    <n v="6"/>
    <m/>
    <s v="Várpalota"/>
    <d v="2026-02-28T00:00:00"/>
    <x v="196"/>
    <x v="0"/>
    <s v="Főnix Dojo"/>
    <s v="utánpótlás"/>
    <s v="serdülő"/>
    <m/>
  </r>
  <r>
    <x v="1"/>
    <n v="2"/>
    <n v="153"/>
    <s v="Kumite"/>
    <s v="Kumite, -, 45-55 kg, Serdülő (13-14"/>
    <x v="44"/>
    <s v="11"/>
    <s v="16 fős egyenes kiesés"/>
    <s v="3"/>
    <s v="Papp Gréta"/>
    <s v="Castrum"/>
    <s v="HUN"/>
    <n v="4"/>
    <m/>
    <s v="Várpalota"/>
    <d v="2026-02-28T00:00:00"/>
    <x v="197"/>
    <x v="0"/>
    <s v="Castrum"/>
    <s v="utánpótlás"/>
    <s v="serdülő"/>
    <m/>
  </r>
  <r>
    <x v="1"/>
    <n v="2"/>
    <n v="154"/>
    <s v="Kumite"/>
    <s v="Kumite, -, 45-55 kg, Serdülő (13-14"/>
    <x v="44"/>
    <s v="11"/>
    <s v="16 fős egyenes kiesés"/>
    <s v="3"/>
    <s v="Radnóti Lilla"/>
    <s v="POWER SE."/>
    <s v="HUN"/>
    <n v="4"/>
    <m/>
    <s v="Várpalota"/>
    <d v="2026-02-28T00:00:00"/>
    <x v="198"/>
    <x v="0"/>
    <s v="POWER SE."/>
    <s v="utánpótlás"/>
    <s v="serdülő"/>
    <m/>
  </r>
  <r>
    <x v="1"/>
    <n v="2"/>
    <n v="155"/>
    <s v="Kumite"/>
    <s v="Kumite, -, 45-55 kg, Serdülő (13-14"/>
    <x v="44"/>
    <s v="11"/>
    <s v="16 fős egyenes kiesés"/>
    <s v="5"/>
    <s v="Villasenor Babos Natália "/>
    <s v="Rakurai"/>
    <s v="HUN"/>
    <n v="0"/>
    <s v="nem volt nyertes mérkőzése"/>
    <s v="Várpalota"/>
    <d v="2026-02-28T00:00:00"/>
    <x v="199"/>
    <x v="0"/>
    <s v="Rakurai"/>
    <s v="utánpótlás"/>
    <s v="serdülő"/>
    <m/>
  </r>
  <r>
    <x v="1"/>
    <n v="2"/>
    <n v="156"/>
    <s v="Kumite"/>
    <s v="Kumite, -, 45-55 kg, Serdülő (13-14"/>
    <x v="44"/>
    <s v="11"/>
    <s v="16 fős egyenes kiesés"/>
    <s v="6"/>
    <s v="Ványi Amira"/>
    <s v="POWER SE."/>
    <s v="HUN"/>
    <n v="2"/>
    <m/>
    <s v="Várpalota"/>
    <d v="2026-02-28T00:00:00"/>
    <x v="200"/>
    <x v="0"/>
    <s v="POWER SE."/>
    <s v="utánpótlás"/>
    <s v="serdülő"/>
    <m/>
  </r>
  <r>
    <x v="1"/>
    <n v="2"/>
    <n v="157"/>
    <s v="Kumite"/>
    <s v="Kumite, -, 45-55 kg, Serdülő (13-14"/>
    <x v="44"/>
    <s v="11"/>
    <s v="16 fős egyenes kiesés"/>
    <s v="7-8"/>
    <s v="Gazdag Csinszka"/>
    <s v="ASE Bulldog KKSZCS"/>
    <s v="HUN"/>
    <n v="0"/>
    <s v="nem volt nyertes mérkőzése"/>
    <s v="Várpalota"/>
    <d v="2026-02-28T00:00:00"/>
    <x v="201"/>
    <x v="0"/>
    <s v="ASE Bulldog KKSZCS"/>
    <s v="utánpótlás"/>
    <s v="serdülő"/>
    <m/>
  </r>
  <r>
    <x v="1"/>
    <n v="2"/>
    <n v="158"/>
    <s v="Kumite"/>
    <s v="Kumite, -, 45-55 kg, Serdülő (13-14"/>
    <x v="44"/>
    <s v="11"/>
    <s v="16 fős egyenes kiesés"/>
    <s v="7-8"/>
    <s v="Nagy Anna"/>
    <s v="Főnix Dojo"/>
    <s v="HUN"/>
    <n v="0"/>
    <s v="nem volt nyertes mérkőzése"/>
    <s v="Várpalota"/>
    <d v="2026-02-28T00:00:00"/>
    <x v="202"/>
    <x v="0"/>
    <s v="Főnix Dojo"/>
    <s v="utánpótlás"/>
    <s v="serdülő"/>
    <m/>
  </r>
  <r>
    <x v="1"/>
    <n v="2"/>
    <n v="159"/>
    <s v="Kumite"/>
    <s v="Kumite, -, 45-55 kg, Serdülő (13-14"/>
    <x v="44"/>
    <s v="11"/>
    <s v="16 fős egyenes kiesés"/>
    <s v="11-16"/>
    <s v="Volenszki Mira"/>
    <s v="WARRIORS TEAM"/>
    <s v="HUN"/>
    <n v="0"/>
    <m/>
    <s v="Várpalota"/>
    <d v="2026-02-28T00:00:00"/>
    <x v="203"/>
    <x v="0"/>
    <s v="WARRIORS TEAM"/>
    <s v="utánpótlás"/>
    <s v="serdülő"/>
    <m/>
  </r>
  <r>
    <x v="1"/>
    <n v="2"/>
    <n v="160"/>
    <s v="Kumite"/>
    <s v="Kumite, -, 45-55 kg, Serdülő (13-14"/>
    <x v="44"/>
    <s v="11"/>
    <s v="16 fős egyenes kiesés"/>
    <s v="11-16"/>
    <s v="Solymári Orsolya Dalma"/>
    <s v="WARRIORS TEAM"/>
    <s v="HUN"/>
    <n v="0"/>
    <m/>
    <s v="Várpalota"/>
    <d v="2026-02-28T00:00:00"/>
    <x v="204"/>
    <x v="0"/>
    <s v="WARRIORS TEAM"/>
    <s v="utánpótlás"/>
    <s v="serdülő"/>
    <m/>
  </r>
  <r>
    <x v="1"/>
    <n v="2"/>
    <n v="161"/>
    <s v="Kumite"/>
    <s v="Kumite, -, 45-55 kg, Serdülő (13-14"/>
    <x v="44"/>
    <s v="11"/>
    <s v="16 fős egyenes kiesés"/>
    <s v="11-16"/>
    <s v="Volenszki Adél"/>
    <s v="WARRIORS TEAM"/>
    <s v="HUN"/>
    <n v="0"/>
    <m/>
    <s v="Várpalota"/>
    <d v="2026-02-28T00:00:00"/>
    <x v="205"/>
    <x v="0"/>
    <s v="WARRIORS TEAM"/>
    <s v="utánpótlás"/>
    <s v="serdülő"/>
    <m/>
  </r>
  <r>
    <x v="1"/>
    <n v="2"/>
    <n v="162"/>
    <s v="Kumite"/>
    <s v="Kumite, -, 55-65 kg, Serdülő (13-14"/>
    <x v="45"/>
    <s v="6"/>
    <s v="6 fős vegyes"/>
    <s v="1"/>
    <s v="Bennárik Bella"/>
    <s v="WARRIORS TEAM"/>
    <s v="HUN"/>
    <n v="6"/>
    <m/>
    <s v="Várpalota"/>
    <d v="2026-02-28T00:00:00"/>
    <x v="206"/>
    <x v="0"/>
    <s v="WARRIORS TEAM"/>
    <s v="utánpótlás"/>
    <s v="serdülő"/>
    <m/>
  </r>
  <r>
    <x v="1"/>
    <n v="2"/>
    <n v="163"/>
    <s v="Kumite"/>
    <s v="Kumite, -, 55-65 kg, Serdülő (13-14"/>
    <x v="45"/>
    <s v="6"/>
    <s v="6 fős vegyes"/>
    <s v="2"/>
    <s v="Szabó Anna Tímea"/>
    <s v="Katana SE"/>
    <s v="HUN"/>
    <n v="5"/>
    <m/>
    <s v="Várpalota"/>
    <d v="2026-02-28T00:00:00"/>
    <x v="207"/>
    <x v="0"/>
    <s v="Katana SE"/>
    <s v="utánpótlás"/>
    <s v="serdülő"/>
    <m/>
  </r>
  <r>
    <x v="1"/>
    <n v="2"/>
    <n v="164"/>
    <s v="Kumite"/>
    <s v="Kumite, -, 55-65 kg, Serdülő (13-14"/>
    <x v="45"/>
    <s v="6"/>
    <s v="6 fős vegyes"/>
    <s v="3"/>
    <s v="Abou Hussein Maya"/>
    <s v="Ippon KKSE"/>
    <s v="HUN"/>
    <n v="3"/>
    <m/>
    <s v="Várpalota"/>
    <d v="2026-02-28T00:00:00"/>
    <x v="208"/>
    <x v="0"/>
    <s v="Ippon KKSE"/>
    <s v="utánpótlás"/>
    <s v="serdülő"/>
    <m/>
  </r>
  <r>
    <x v="1"/>
    <n v="2"/>
    <n v="165"/>
    <s v="Kumite"/>
    <s v="Kumite, -, 65-150 kg, Serdülő (13-14"/>
    <x v="46"/>
    <s v="3"/>
    <s v="3 fős körmérkőzés"/>
    <s v="1"/>
    <s v="Szente Beatrix"/>
    <s v="VTSE"/>
    <s v="HUN"/>
    <n v="4"/>
    <m/>
    <s v="Várpalota"/>
    <d v="2026-02-28T00:00:00"/>
    <x v="209"/>
    <x v="1"/>
    <s v="VTSE"/>
    <s v="utánpótlás"/>
    <s v="serdülő"/>
    <m/>
  </r>
  <r>
    <x v="1"/>
    <n v="2"/>
    <n v="166"/>
    <s v="Kumite"/>
    <s v="Kumite, -, 65-150 kg, Serdülő (13-14"/>
    <x v="46"/>
    <s v="3"/>
    <s v="3 fős körmérkőzés"/>
    <s v="2"/>
    <s v="Lukácsi Réka"/>
    <s v="Ippon KKSE"/>
    <s v="HUN"/>
    <n v="3"/>
    <m/>
    <s v="Várpalota"/>
    <d v="2026-02-28T00:00:00"/>
    <x v="210"/>
    <x v="0"/>
    <s v="Ippon KKSE"/>
    <s v="utánpótlás"/>
    <s v="serdülő"/>
    <m/>
  </r>
  <r>
    <x v="1"/>
    <n v="2"/>
    <n v="167"/>
    <s v="Kumite"/>
    <s v="Kumite, -, 65-150 kg, Serdülő (13-14"/>
    <x v="46"/>
    <s v="3"/>
    <s v="3 fős körmérkőzés"/>
    <s v="3"/>
    <s v="Bota Sára"/>
    <s v="Rakurai"/>
    <s v="HUN"/>
    <n v="2"/>
    <m/>
    <s v="Várpalota"/>
    <d v="2026-02-28T00:00:00"/>
    <x v="211"/>
    <x v="0"/>
    <s v="Rakurai"/>
    <s v="utánpótlás"/>
    <s v="serdülő"/>
    <m/>
  </r>
  <r>
    <x v="1"/>
    <n v="2"/>
    <n v="168"/>
    <s v="Kumite"/>
    <s v="Kumite, -, 40-45 kg, Serdülő (13-14"/>
    <x v="47"/>
    <s v="2"/>
    <s v="2 fős egyenes kiesés"/>
    <s v="1"/>
    <s v="Horváth Liliána"/>
    <s v="Kamikaze S"/>
    <s v="HUN"/>
    <n v="3"/>
    <m/>
    <s v="Várpalota"/>
    <d v="2026-02-28T00:00:00"/>
    <x v="212"/>
    <x v="0"/>
    <s v="Kamikaze S"/>
    <s v="utánpótlás"/>
    <s v="serdülő"/>
    <m/>
  </r>
  <r>
    <x v="1"/>
    <n v="2"/>
    <n v="169"/>
    <s v="Kumite"/>
    <s v="Kumite, -, 40-45 kg, Serdülő (13-14"/>
    <x v="47"/>
    <s v="2"/>
    <s v="2 fős egyenes kiesés"/>
    <s v="2"/>
    <s v="Mihályi Tünde"/>
    <s v="BHMSE"/>
    <s v="HUN"/>
    <n v="0"/>
    <m/>
    <s v="Várpalota"/>
    <d v="2026-02-28T00:00:00"/>
    <x v="213"/>
    <x v="0"/>
    <s v="BHMSE"/>
    <s v="utánpótlás"/>
    <s v="serdülő"/>
    <m/>
  </r>
  <r>
    <x v="1"/>
    <n v="2"/>
    <n v="170"/>
    <s v="Kata"/>
    <s v="Kata, -, 0-150 kg, Serdülő (13-14"/>
    <x v="48"/>
    <s v="20"/>
    <s v="32 fős egyenes kiesés"/>
    <s v="1"/>
    <s v="Szabó Anna Tímea"/>
    <s v="Katana SE"/>
    <s v="HUN"/>
    <n v="8"/>
    <m/>
    <s v="Várpalota"/>
    <d v="2026-02-28T00:00:00"/>
    <x v="207"/>
    <x v="0"/>
    <s v="Katana SE"/>
    <s v="utánpótlás"/>
    <s v="serdülő"/>
    <m/>
  </r>
  <r>
    <x v="1"/>
    <n v="2"/>
    <n v="171"/>
    <s v="Kata"/>
    <s v="Kata, -, 0-150 kg, Serdülő (13-14"/>
    <x v="48"/>
    <s v="20"/>
    <s v="32 fős egyenes kiesés"/>
    <s v="2"/>
    <s v="Tóth-Krisó Míra"/>
    <s v="Katana SE"/>
    <s v="HUN"/>
    <n v="6"/>
    <m/>
    <s v="Várpalota"/>
    <d v="2026-02-28T00:00:00"/>
    <x v="214"/>
    <x v="0"/>
    <s v="Katana SE"/>
    <s v="utánpótlás"/>
    <s v="serdülő"/>
    <m/>
  </r>
  <r>
    <x v="1"/>
    <n v="2"/>
    <n v="172"/>
    <s v="Kata"/>
    <s v="Kata, -, 0-150 kg, Serdülő (13-14"/>
    <x v="48"/>
    <s v="20"/>
    <s v="32 fős egyenes kiesés"/>
    <s v="3"/>
    <s v="Horváth Dóra Lili"/>
    <s v="BHMSE"/>
    <s v="HUN"/>
    <n v="4"/>
    <m/>
    <s v="Várpalota"/>
    <d v="2026-02-28T00:00:00"/>
    <x v="215"/>
    <x v="0"/>
    <s v="BHMSE"/>
    <s v="utánpótlás"/>
    <s v="serdülő"/>
    <m/>
  </r>
  <r>
    <x v="1"/>
    <n v="2"/>
    <n v="173"/>
    <s v="Kata"/>
    <s v="Kata, -, 0-150 kg, Serdülő (13-14"/>
    <x v="48"/>
    <s v="20"/>
    <s v="32 fős egyenes kiesés"/>
    <s v="3"/>
    <s v="Mészáros Lili Dóra"/>
    <s v="KSE Tarján"/>
    <s v="HUN"/>
    <n v="4"/>
    <m/>
    <s v="Várpalota"/>
    <d v="2026-02-28T00:00:00"/>
    <x v="216"/>
    <x v="0"/>
    <s v="KSE Tarján"/>
    <s v="utánpótlás"/>
    <s v="serdülő"/>
    <m/>
  </r>
  <r>
    <x v="1"/>
    <n v="2"/>
    <n v="174"/>
    <s v="Kata"/>
    <s v="Kata, -, 0-150 kg, Serdülő (13-14"/>
    <x v="48"/>
    <s v="20"/>
    <s v="32 fős egyenes kiesés"/>
    <s v="5"/>
    <s v="Szűcs Anna"/>
    <s v="Ichiro Dojo"/>
    <s v="HUN"/>
    <n v="2"/>
    <m/>
    <s v="Várpalota"/>
    <d v="2026-02-28T00:00:00"/>
    <x v="217"/>
    <x v="1"/>
    <s v="Ichiro Dojo"/>
    <s v="utánpótlás"/>
    <s v="serdülő"/>
    <m/>
  </r>
  <r>
    <x v="1"/>
    <n v="2"/>
    <n v="175"/>
    <s v="Kata"/>
    <s v="Kata, -, 0-150 kg, Serdülő (13-14"/>
    <x v="48"/>
    <s v="20"/>
    <s v="32 fős egyenes kiesés"/>
    <s v="6"/>
    <s v="Mihályi Tünde"/>
    <s v="BHMSE"/>
    <s v="HUN"/>
    <n v="2"/>
    <m/>
    <s v="Várpalota"/>
    <d v="2026-02-28T00:00:00"/>
    <x v="213"/>
    <x v="0"/>
    <s v="BHMSE"/>
    <s v="utánpótlás"/>
    <s v="serdülő"/>
    <m/>
  </r>
  <r>
    <x v="1"/>
    <n v="2"/>
    <n v="176"/>
    <s v="Kata"/>
    <s v="Kata, -, 0-150 kg, Serdülő (13-14"/>
    <x v="48"/>
    <s v="20"/>
    <s v="32 fős egyenes kiesés"/>
    <s v="7-8"/>
    <s v="Gazdag Csinszka"/>
    <s v="ASE Bulldog KKSZCS"/>
    <s v="HUN"/>
    <n v="2"/>
    <m/>
    <s v="Várpalota"/>
    <d v="2026-02-28T00:00:00"/>
    <x v="201"/>
    <x v="0"/>
    <s v="ASE Bulldog KKSZCS"/>
    <s v="utánpótlás"/>
    <s v="serdülő"/>
    <m/>
  </r>
  <r>
    <x v="1"/>
    <n v="2"/>
    <n v="177"/>
    <s v="Kata"/>
    <s v="Kata, -, 0-150 kg, Serdülő (13-14"/>
    <x v="48"/>
    <s v="20"/>
    <s v="32 fős egyenes kiesés"/>
    <s v="7-8"/>
    <s v="Radnóti Lilla"/>
    <s v="POWER SE."/>
    <s v="HUN"/>
    <n v="2"/>
    <m/>
    <s v="Várpalota"/>
    <d v="2026-02-28T00:00:00"/>
    <x v="198"/>
    <x v="0"/>
    <s v="POWER SE."/>
    <s v="utánpótlás"/>
    <s v="serdülő"/>
    <m/>
  </r>
  <r>
    <x v="1"/>
    <n v="2"/>
    <n v="178"/>
    <s v="Kata"/>
    <s v="Kata, -, 0-150 kg, Serdülő (13-14"/>
    <x v="48"/>
    <s v="20"/>
    <s v="32 fős egyenes kiesés"/>
    <s v="9"/>
    <s v="Kovács Linett"/>
    <s v="RDKKSE"/>
    <s v="HUN"/>
    <n v="0"/>
    <m/>
    <s v="Várpalota"/>
    <d v="2026-02-28T00:00:00"/>
    <x v="218"/>
    <x v="0"/>
    <s v="RDKKSE"/>
    <s v="utánpótlás"/>
    <s v="serdülő"/>
    <m/>
  </r>
  <r>
    <x v="1"/>
    <n v="2"/>
    <n v="179"/>
    <s v="Kata"/>
    <s v="Kata, -, 0-150 kg, Serdülő (13-14"/>
    <x v="48"/>
    <s v="20"/>
    <s v="32 fős egyenes kiesés"/>
    <s v="10"/>
    <s v="Gál Petra Andrea"/>
    <s v="Fitt KKSE"/>
    <s v="HUN"/>
    <n v="0"/>
    <m/>
    <s v="Várpalota"/>
    <d v="2026-02-28T00:00:00"/>
    <x v="219"/>
    <x v="0"/>
    <s v="Fitt KKSE"/>
    <s v="utánpótlás"/>
    <s v="serdülő"/>
    <m/>
  </r>
  <r>
    <x v="1"/>
    <n v="2"/>
    <n v="180"/>
    <s v="Kata"/>
    <s v="Kata, -, 0-150 kg, Serdülő (13-14"/>
    <x v="48"/>
    <s v="20"/>
    <s v="32 fős egyenes kiesés"/>
    <s v="11-16"/>
    <s v="Orosz Elizabett"/>
    <s v="KSE Tarján"/>
    <s v="HUN"/>
    <n v="0"/>
    <m/>
    <s v="Várpalota"/>
    <d v="2026-02-28T00:00:00"/>
    <x v="220"/>
    <x v="0"/>
    <s v="KSE Tarján"/>
    <s v="utánpótlás"/>
    <s v="serdülő"/>
    <m/>
  </r>
  <r>
    <x v="1"/>
    <n v="2"/>
    <n v="181"/>
    <s v="Kata"/>
    <s v="Kata, -, 0-150 kg, Serdülő (13-14"/>
    <x v="48"/>
    <s v="20"/>
    <s v="32 fős egyenes kiesés"/>
    <s v="11-16"/>
    <s v="Gaál-Vajai Tamara"/>
    <s v="Főnix Dojo"/>
    <s v="HUN"/>
    <n v="0"/>
    <m/>
    <s v="Várpalota"/>
    <d v="2026-02-28T00:00:00"/>
    <x v="196"/>
    <x v="0"/>
    <s v="Főnix Dojo"/>
    <s v="utánpótlás"/>
    <s v="serdülő"/>
    <m/>
  </r>
  <r>
    <x v="1"/>
    <n v="2"/>
    <n v="182"/>
    <s v="Kata"/>
    <s v="Kata, -, 0-150 kg, Serdülő (13-14"/>
    <x v="48"/>
    <s v="20"/>
    <s v="32 fős egyenes kiesés"/>
    <s v="11-16"/>
    <s v="Nagy Anna"/>
    <s v="Főnix Dojo"/>
    <s v="HUN"/>
    <n v="0"/>
    <m/>
    <s v="Várpalota"/>
    <d v="2026-02-28T00:00:00"/>
    <x v="202"/>
    <x v="0"/>
    <s v="Főnix Dojo"/>
    <s v="utánpótlás"/>
    <s v="serdülő"/>
    <m/>
  </r>
  <r>
    <x v="1"/>
    <n v="2"/>
    <n v="183"/>
    <s v="Kata"/>
    <s v="Kata, -, 0-150 kg, Serdülő (13-14"/>
    <x v="48"/>
    <s v="20"/>
    <s v="32 fős egyenes kiesés"/>
    <s v="11-16"/>
    <s v="Kovács Maja"/>
    <s v="Katana SE"/>
    <s v="HUN"/>
    <n v="0"/>
    <m/>
    <s v="Várpalota"/>
    <d v="2026-02-28T00:00:00"/>
    <x v="221"/>
    <x v="0"/>
    <s v="Katana SE"/>
    <s v="utánpótlás"/>
    <s v="serdülő"/>
    <m/>
  </r>
  <r>
    <x v="1"/>
    <n v="2"/>
    <n v="184"/>
    <s v="Kata"/>
    <s v="Kata, -, 0-150 kg, Serdülő (13-14"/>
    <x v="48"/>
    <s v="20"/>
    <s v="32 fős egyenes kiesés"/>
    <s v="11-16"/>
    <s v="Lukácsi Réka"/>
    <s v="Ippon KKSE"/>
    <s v="HUN"/>
    <n v="0"/>
    <m/>
    <s v="Várpalota"/>
    <d v="2026-02-28T00:00:00"/>
    <x v="210"/>
    <x v="0"/>
    <s v="Ippon KKSE"/>
    <s v="utánpótlás"/>
    <s v="serdülő"/>
    <m/>
  </r>
  <r>
    <x v="1"/>
    <n v="2"/>
    <n v="185"/>
    <s v="Kata"/>
    <s v="Kata, -, 0-150 kg, Serdülő (13-14"/>
    <x v="48"/>
    <s v="20"/>
    <s v="32 fős egyenes kiesés"/>
    <s v="11-16"/>
    <s v="Szatmári Nóra Hanna"/>
    <s v="WARRIORS TEAM"/>
    <s v="HUN"/>
    <n v="0"/>
    <m/>
    <s v="Várpalota"/>
    <d v="2026-02-28T00:00:00"/>
    <x v="222"/>
    <x v="0"/>
    <s v="WARRIORS TEAM"/>
    <s v="utánpótlás"/>
    <s v="serdülő"/>
    <m/>
  </r>
  <r>
    <x v="1"/>
    <n v="2"/>
    <n v="186"/>
    <s v="Kumite"/>
    <s v="Kumite, -, 0-50 kg, Ifjúsági (15-16"/>
    <x v="49"/>
    <s v="4"/>
    <s v="4 fős körmérkőzés"/>
    <s v="1"/>
    <s v="Gombos-Weidinger Barnabás"/>
    <s v="BHMSE"/>
    <s v="HUN"/>
    <n v="6"/>
    <m/>
    <s v="Várpalota"/>
    <d v="2026-02-28T00:00:00"/>
    <x v="223"/>
    <x v="0"/>
    <s v="BHMSE"/>
    <s v="utánpótlás"/>
    <s v="ifjúsági"/>
    <m/>
  </r>
  <r>
    <x v="1"/>
    <n v="2"/>
    <n v="187"/>
    <s v="Kumite"/>
    <s v="Kumite, -, 0-50 kg, Ifjúsági (15-16"/>
    <x v="49"/>
    <s v="4"/>
    <s v="4 fős körmérkőzés"/>
    <s v="2"/>
    <s v="Bollók Zalán"/>
    <s v="VTSE"/>
    <s v="HUN"/>
    <n v="5"/>
    <m/>
    <s v="Várpalota"/>
    <d v="2026-02-28T00:00:00"/>
    <x v="224"/>
    <x v="1"/>
    <s v="VTSE"/>
    <s v="utánpótlás"/>
    <s v="ifjúsági"/>
    <m/>
  </r>
  <r>
    <x v="1"/>
    <n v="2"/>
    <n v="188"/>
    <s v="Kumite"/>
    <s v="Kumite, -, 0-50 kg, Ifjúsági (15-16"/>
    <x v="49"/>
    <s v="4"/>
    <s v="4 fős körmérkőzés"/>
    <s v="3"/>
    <s v="Lukács Filip"/>
    <s v="BHMSE"/>
    <s v="HUN"/>
    <n v="3"/>
    <m/>
    <s v="Várpalota"/>
    <d v="2026-02-28T00:00:00"/>
    <x v="225"/>
    <x v="0"/>
    <s v="BHMSE"/>
    <s v="utánpótlás"/>
    <s v="ifjúsági"/>
    <m/>
  </r>
  <r>
    <x v="1"/>
    <n v="2"/>
    <n v="189"/>
    <s v="Kumite"/>
    <s v="Kumite, -, 50-55 kg, Ifjúsági (15-16"/>
    <x v="50"/>
    <s v="2"/>
    <s v="2 fős egyenes kiesés"/>
    <s v="1"/>
    <s v="Szőke Zalán"/>
    <s v="VTSE"/>
    <s v="HUN"/>
    <n v="3"/>
    <m/>
    <s v="Várpalota"/>
    <d v="2026-02-28T00:00:00"/>
    <x v="226"/>
    <x v="1"/>
    <s v="VTSE"/>
    <s v="utánpótlás"/>
    <s v="ifjúsági"/>
    <m/>
  </r>
  <r>
    <x v="1"/>
    <n v="2"/>
    <n v="190"/>
    <s v="Kumite"/>
    <s v="Kumite, -, 50-55 kg, Ifjúsági (15-16"/>
    <x v="50"/>
    <s v="2"/>
    <s v="2 fős egyenes kiesés"/>
    <s v="2"/>
    <s v="Sztojka Norbert Kevin"/>
    <s v="Ippon KKSE"/>
    <s v="HUN"/>
    <n v="0"/>
    <m/>
    <s v="Várpalota"/>
    <d v="2026-02-28T00:00:00"/>
    <x v="227"/>
    <x v="0"/>
    <s v="Ippon KKSE"/>
    <s v="utánpótlás"/>
    <s v="ifjúsági"/>
    <m/>
  </r>
  <r>
    <x v="1"/>
    <n v="2"/>
    <n v="191"/>
    <s v="Kumite"/>
    <s v="Kumite, -, 55-60 kg, Ifjúsági (15-16"/>
    <x v="51"/>
    <s v="2"/>
    <s v="2 fős egyenes kiesés"/>
    <s v="1"/>
    <s v="Tóth Gergely"/>
    <s v="Ichiro Dojo"/>
    <s v="HUN"/>
    <n v="3"/>
    <m/>
    <s v="Várpalota"/>
    <d v="2026-02-28T00:00:00"/>
    <x v="228"/>
    <x v="1"/>
    <s v="Ichiro Dojo"/>
    <s v="utánpótlás"/>
    <s v="ifjúsági"/>
    <m/>
  </r>
  <r>
    <x v="1"/>
    <n v="2"/>
    <n v="192"/>
    <s v="Kumite"/>
    <s v="Kumite, -, 55-60 kg, Ifjúsági (15-16"/>
    <x v="51"/>
    <s v="2"/>
    <s v="2 fős egyenes kiesés"/>
    <s v="2"/>
    <s v="Kovács Vajk Zoltán"/>
    <s v="Katana SE"/>
    <s v="HUN"/>
    <n v="0"/>
    <m/>
    <s v="Várpalota"/>
    <d v="2026-02-28T00:00:00"/>
    <x v="229"/>
    <x v="0"/>
    <s v="Katana SE"/>
    <s v="utánpótlás"/>
    <s v="ifjúsági"/>
    <m/>
  </r>
  <r>
    <x v="1"/>
    <n v="2"/>
    <n v="193"/>
    <s v="Kumite"/>
    <s v="Kumite, -, 60-65 kg, Ifjúsági (15-16"/>
    <x v="52"/>
    <s v="7"/>
    <s v="8 fős egyenes kiesés"/>
    <s v="1"/>
    <s v="Magasi Attila"/>
    <s v="Főnix Dojo"/>
    <s v="HUN"/>
    <n v="6"/>
    <m/>
    <s v="Várpalota"/>
    <d v="2026-02-28T00:00:00"/>
    <x v="230"/>
    <x v="0"/>
    <s v="Főnix Dojo"/>
    <s v="utánpótlás"/>
    <s v="ifjúsági"/>
    <m/>
  </r>
  <r>
    <x v="1"/>
    <n v="2"/>
    <n v="194"/>
    <s v="Kumite"/>
    <s v="Kumite, -, 60-65 kg, Ifjúsági (15-16"/>
    <x v="52"/>
    <s v="7"/>
    <s v="8 fős egyenes kiesés"/>
    <s v="2"/>
    <s v="Farkas Áron Péter"/>
    <s v="Ichiro Dojo"/>
    <s v="HUN"/>
    <n v="5"/>
    <m/>
    <s v="Várpalota"/>
    <d v="2026-02-28T00:00:00"/>
    <x v="231"/>
    <x v="1"/>
    <s v="Ichiro Dojo"/>
    <s v="utánpótlás"/>
    <s v="ifjúsági"/>
    <m/>
  </r>
  <r>
    <x v="1"/>
    <n v="2"/>
    <n v="195"/>
    <s v="Kumite"/>
    <s v="Kumite, -, 60-65 kg, Ifjúsági (15-16"/>
    <x v="52"/>
    <s v="7"/>
    <s v="8 fős egyenes kiesés"/>
    <s v="3"/>
    <s v="Molnár Bence Noel"/>
    <s v="WARRIORS TEAM"/>
    <s v="HUN"/>
    <n v="3"/>
    <m/>
    <s v="Várpalota"/>
    <d v="2026-02-28T00:00:00"/>
    <x v="232"/>
    <x v="0"/>
    <s v="WARRIORS TEAM"/>
    <s v="utánpótlás"/>
    <s v="ifjúsági"/>
    <m/>
  </r>
  <r>
    <x v="1"/>
    <n v="2"/>
    <n v="196"/>
    <s v="Kumite"/>
    <s v="Kumite, -, 60-65 kg, Ifjúsági (15-16"/>
    <x v="52"/>
    <s v="7"/>
    <s v="8 fős egyenes kiesés"/>
    <s v="3"/>
    <s v="Bagó Balázs"/>
    <s v="VTSE"/>
    <s v="HUN"/>
    <n v="3"/>
    <m/>
    <s v="Várpalota"/>
    <d v="2026-02-28T00:00:00"/>
    <x v="233"/>
    <x v="1"/>
    <s v="VTSE"/>
    <s v="utánpótlás"/>
    <s v="ifjúsági"/>
    <m/>
  </r>
  <r>
    <x v="1"/>
    <n v="2"/>
    <n v="197"/>
    <s v="Kumite"/>
    <s v="Kumite, -, 60-65 kg, Ifjúsági (15-16"/>
    <x v="52"/>
    <s v="7"/>
    <s v="8 fős egyenes kiesés"/>
    <s v="6"/>
    <s v="Alkaddour Ali Áron"/>
    <s v="BHMSE"/>
    <s v="HUN"/>
    <n v="0"/>
    <m/>
    <s v="Várpalota"/>
    <d v="2026-02-28T00:00:00"/>
    <x v="234"/>
    <x v="0"/>
    <s v="BHMSE"/>
    <s v="utánpótlás"/>
    <s v="ifjúsági"/>
    <m/>
  </r>
  <r>
    <x v="1"/>
    <n v="2"/>
    <n v="198"/>
    <s v="Kumite"/>
    <s v="Kumite, -, 60-65 kg, Ifjúsági (15-16"/>
    <x v="52"/>
    <s v="7"/>
    <s v="8 fős egyenes kiesés"/>
    <s v="7-8"/>
    <s v="Fekete Szilárd"/>
    <s v="POWER SE."/>
    <s v="HUN"/>
    <n v="0"/>
    <m/>
    <s v="Várpalota"/>
    <d v="2026-02-28T00:00:00"/>
    <x v="235"/>
    <x v="0"/>
    <s v="POWER SE."/>
    <s v="utánpótlás"/>
    <s v="ifjúsági"/>
    <m/>
  </r>
  <r>
    <x v="1"/>
    <n v="2"/>
    <n v="199"/>
    <s v="Kumite"/>
    <s v="Kumite, -, 60-65 kg, Ifjúsági (15-16"/>
    <x v="52"/>
    <s v="7"/>
    <s v="8 fős egyenes kiesés"/>
    <s v="7-8"/>
    <s v="Baranyi Tibor"/>
    <s v="POWER SE."/>
    <s v="HUN"/>
    <n v="0"/>
    <m/>
    <s v="Várpalota"/>
    <d v="2026-02-28T00:00:00"/>
    <x v="236"/>
    <x v="0"/>
    <s v="POWER SE."/>
    <s v="utánpótlás"/>
    <s v="ifjúsági"/>
    <m/>
  </r>
  <r>
    <x v="1"/>
    <n v="2"/>
    <n v="200"/>
    <s v="Kumite"/>
    <s v="Kumite, -, 70-75 kg, Ifjúsági (15-16"/>
    <x v="53"/>
    <s v="3"/>
    <s v="3 fős körmérkőzés"/>
    <s v="1"/>
    <s v="Csonka Máté"/>
    <s v="Kamikaze S"/>
    <s v="HUN"/>
    <n v="4"/>
    <m/>
    <s v="Várpalota"/>
    <d v="2026-02-28T00:00:00"/>
    <x v="237"/>
    <x v="0"/>
    <s v="Kamikaze S"/>
    <s v="utánpótlás"/>
    <s v="ifjúsági"/>
    <m/>
  </r>
  <r>
    <x v="1"/>
    <n v="2"/>
    <n v="201"/>
    <s v="Kumite"/>
    <s v="Kumite, -, 70-75 kg, Ifjúsági (15-16"/>
    <x v="53"/>
    <s v="3"/>
    <s v="3 fős körmérkőzés"/>
    <s v="2"/>
    <s v="Szabó Levente"/>
    <s v="WARRIORS TEAM"/>
    <s v="HUN"/>
    <n v="3"/>
    <m/>
    <s v="Várpalota"/>
    <d v="2026-02-28T00:00:00"/>
    <x v="238"/>
    <x v="0"/>
    <s v="WARRIORS TEAM"/>
    <s v="utánpótlás"/>
    <s v="ifjúsági"/>
    <m/>
  </r>
  <r>
    <x v="1"/>
    <n v="2"/>
    <n v="202"/>
    <s v="Kumite"/>
    <s v="Kumite, -, 70-75 kg, Ifjúsági (15-16"/>
    <x v="53"/>
    <s v="3"/>
    <s v="3 fős körmérkőzés"/>
    <s v="3"/>
    <s v="Németh Adrián"/>
    <s v="Cs.S.E."/>
    <s v="HUN"/>
    <n v="0"/>
    <s v="nem volt nyertes mérkőzése"/>
    <s v="Várpalota"/>
    <d v="2026-02-28T00:00:00"/>
    <x v="239"/>
    <x v="0"/>
    <s v="Cs.S.E."/>
    <s v="utánpótlás"/>
    <s v="ifjúsági"/>
    <m/>
  </r>
  <r>
    <x v="1"/>
    <n v="2"/>
    <n v="203"/>
    <s v="Kumite"/>
    <s v="Kumite, -, 75-999 kg, Ifjúsági (15-16"/>
    <x v="54"/>
    <s v="5"/>
    <s v="5 fős körmérkőzés"/>
    <s v="1"/>
    <s v="Garamszegi Zente"/>
    <s v="WARRIORS TEAM"/>
    <s v="HUN"/>
    <n v="8"/>
    <m/>
    <s v="Várpalota"/>
    <d v="2026-02-28T00:00:00"/>
    <x v="240"/>
    <x v="0"/>
    <s v="WARRIORS TEAM"/>
    <s v="utánpótlás"/>
    <s v="ifjúsági"/>
    <m/>
  </r>
  <r>
    <x v="1"/>
    <n v="2"/>
    <n v="204"/>
    <s v="Kumite"/>
    <s v="Kumite, -, 75-999 kg, Ifjúsági (15-16"/>
    <x v="54"/>
    <s v="5"/>
    <s v="5 fős körmérkőzés"/>
    <s v="2"/>
    <s v="Szabó Lóránt"/>
    <s v="Kamikaze S"/>
    <s v="HUN"/>
    <n v="6"/>
    <m/>
    <s v="Várpalota"/>
    <d v="2026-02-28T00:00:00"/>
    <x v="241"/>
    <x v="0"/>
    <s v="Kamikaze S"/>
    <s v="utánpótlás"/>
    <s v="ifjúsági"/>
    <m/>
  </r>
  <r>
    <x v="1"/>
    <n v="2"/>
    <n v="205"/>
    <s v="Kumite"/>
    <s v="Kumite, -, 75-999 kg, Ifjúsági (15-16"/>
    <x v="54"/>
    <s v="5"/>
    <s v="5 fős körmérkőzés"/>
    <s v="3"/>
    <s v="Vörös Tibor"/>
    <s v="RDKKSE"/>
    <s v="HUN"/>
    <n v="4"/>
    <m/>
    <s v="Várpalota"/>
    <d v="2026-02-28T00:00:00"/>
    <x v="242"/>
    <x v="0"/>
    <s v="RDKKSE"/>
    <s v="utánpótlás"/>
    <s v="ifjúsági"/>
    <m/>
  </r>
  <r>
    <x v="1"/>
    <n v="2"/>
    <n v="205"/>
    <s v="Kumite"/>
    <s v="Kumite, -, 75-999 kg, Ifjúsági (15-16"/>
    <x v="54"/>
    <s v="5"/>
    <s v="5 fős körmérkőzés"/>
    <n v="4"/>
    <s v="Kalamár László Thien"/>
    <s v="BHMSE"/>
    <s v="HUN"/>
    <n v="3"/>
    <m/>
    <s v="Várpalota"/>
    <d v="2026-02-28T00:00:00"/>
    <x v="243"/>
    <x v="0"/>
    <s v="BHMSE"/>
    <s v="utánpótlás"/>
    <s v="ifjúsági"/>
    <m/>
  </r>
  <r>
    <x v="1"/>
    <n v="2"/>
    <n v="206"/>
    <s v="Kata"/>
    <s v="Kata, -, 0-160 kg, Ifjúsági (15-16"/>
    <x v="55"/>
    <s v="6"/>
    <s v="8 fős egyenes kiesés + 3. hely"/>
    <s v="1"/>
    <s v="Németh Adrián"/>
    <s v="Cs.S.E."/>
    <s v="HUN"/>
    <n v="5"/>
    <s v="6 fő esetén első 3 kap pontot"/>
    <s v="Várpalota"/>
    <d v="2026-02-28T00:00:00"/>
    <x v="239"/>
    <x v="0"/>
    <s v="Cs.S.E."/>
    <s v="utánpótlás"/>
    <s v="ifjúsági"/>
    <m/>
  </r>
  <r>
    <x v="1"/>
    <n v="2"/>
    <n v="207"/>
    <s v="Kata"/>
    <s v="Kata, -, 0-160 kg, Ifjúsági (15-16"/>
    <x v="55"/>
    <s v="6"/>
    <s v="8 fős egyenes kiesés + 3. hely"/>
    <s v="2"/>
    <s v="Szalontai Levente"/>
    <s v="KSE Tarján"/>
    <s v="HUN"/>
    <n v="4"/>
    <s v="6 fő esetén első 3 kap pontot"/>
    <s v="Várpalota"/>
    <d v="2026-02-28T00:00:00"/>
    <x v="244"/>
    <x v="0"/>
    <s v="KSE Tarján"/>
    <s v="utánpótlás"/>
    <s v="ifjúsági"/>
    <m/>
  </r>
  <r>
    <x v="1"/>
    <n v="2"/>
    <n v="208"/>
    <s v="Kata"/>
    <s v="Kata, -, 0-160 kg, Ifjúsági (15-16"/>
    <x v="55"/>
    <s v="6"/>
    <s v="8 fős egyenes kiesés + 3. hely"/>
    <s v="3"/>
    <s v="Gyarmati Viktor"/>
    <s v="BHMSE"/>
    <s v="HUN"/>
    <n v="2"/>
    <s v="6 fő esetén első 3 kap pontot"/>
    <s v="Várpalota"/>
    <d v="2026-02-28T00:00:00"/>
    <x v="245"/>
    <x v="0"/>
    <s v="BHMSE"/>
    <s v="utánpótlás"/>
    <s v="ifjúsági"/>
    <m/>
  </r>
  <r>
    <x v="1"/>
    <n v="2"/>
    <n v="209"/>
    <s v="Kata"/>
    <s v="Kata, -, 0-160 kg, Ifjúsági (15-16"/>
    <x v="55"/>
    <s v="6"/>
    <s v="8 fős egyenes kiesés + 3. hely"/>
    <s v="4"/>
    <s v="Baranyai Áron"/>
    <s v="BHMSE"/>
    <s v="HUN"/>
    <n v="0"/>
    <s v="6 fő esetén első 3 kap pontot"/>
    <s v="Várpalota"/>
    <d v="2026-02-28T00:00:00"/>
    <x v="246"/>
    <x v="0"/>
    <s v="BHMSE"/>
    <s v="utánpótlás"/>
    <s v="ifjúsági"/>
    <m/>
  </r>
  <r>
    <x v="1"/>
    <n v="2"/>
    <n v="210"/>
    <s v="Kata"/>
    <s v="Kata, -, 0-160 kg, Ifjúsági (15-16"/>
    <x v="55"/>
    <s v="6"/>
    <s v="8 fős egyenes kiesés + 3. hely"/>
    <s v="5"/>
    <s v="Lukács Filip"/>
    <s v="BHMSE"/>
    <s v="HUN"/>
    <n v="0"/>
    <s v="6 fő esetén első 3 kap pontot"/>
    <s v="Várpalota"/>
    <d v="2026-02-28T00:00:00"/>
    <x v="225"/>
    <x v="0"/>
    <s v="BHMSE"/>
    <s v="utánpótlás"/>
    <s v="ifjúsági"/>
    <m/>
  </r>
  <r>
    <x v="1"/>
    <n v="2"/>
    <n v="211"/>
    <s v="Kata"/>
    <s v="Kata, -, 0-160 kg, Ifjúsági (15-16"/>
    <x v="55"/>
    <s v="6"/>
    <s v="8 fős egyenes kiesés + 3. hely"/>
    <s v="7-8"/>
    <s v="Varga Bálint Norbert"/>
    <s v="ARSC"/>
    <s v="HUN"/>
    <n v="0"/>
    <s v="6 fő esetén első 3 kap pontot"/>
    <s v="Várpalota"/>
    <d v="2026-02-28T00:00:00"/>
    <x v="247"/>
    <x v="0"/>
    <s v="ARSC"/>
    <s v="utánpótlás"/>
    <s v="ifjúsági"/>
    <m/>
  </r>
  <r>
    <x v="1"/>
    <n v="2"/>
    <n v="212"/>
    <s v="Kumite"/>
    <s v="Kumite, -, 0-50 kg, Ifjúsági (15-16"/>
    <x v="56"/>
    <s v="3"/>
    <s v="3 fős körmérkőzés"/>
    <s v="1"/>
    <s v="Böcskey Emese "/>
    <s v="Nagy Sándor Dojo"/>
    <s v="HUN"/>
    <n v="4"/>
    <m/>
    <s v="Várpalota"/>
    <d v="2026-02-28T00:00:00"/>
    <x v="248"/>
    <x v="1"/>
    <s v="Nagy Sándor Dojo"/>
    <s v="utánpótlás"/>
    <s v="ifjúsági"/>
    <m/>
  </r>
  <r>
    <x v="1"/>
    <n v="2"/>
    <n v="213"/>
    <s v="Kumite"/>
    <s v="Kumite, -, 0-50 kg, Ifjúsági (15-16"/>
    <x v="56"/>
    <s v="3"/>
    <s v="3 fős körmérkőzés"/>
    <s v="2"/>
    <s v="Sülyi Luca"/>
    <s v="Főnix Dojo"/>
    <s v="HUN"/>
    <n v="3"/>
    <m/>
    <s v="Várpalota"/>
    <d v="2026-02-28T00:00:00"/>
    <x v="249"/>
    <x v="0"/>
    <s v="Főnix Dojo"/>
    <s v="utánpótlás"/>
    <s v="ifjúsági"/>
    <m/>
  </r>
  <r>
    <x v="1"/>
    <n v="2"/>
    <n v="214"/>
    <s v="Kumite"/>
    <s v="Kumite, -, 0-50 kg, Ifjúsági (15-16"/>
    <x v="56"/>
    <s v="3"/>
    <s v="3 fős körmérkőzés"/>
    <s v="3"/>
    <s v="Aranyosi Nikolett"/>
    <s v="KSE Tarján"/>
    <s v="HUN"/>
    <n v="0"/>
    <s v="nem volt nyertes mérkőzése"/>
    <s v="Várpalota"/>
    <d v="2026-02-28T00:00:00"/>
    <x v="250"/>
    <x v="0"/>
    <s v="KSE Tarján"/>
    <s v="utánpótlás"/>
    <s v="ifjúsági"/>
    <m/>
  </r>
  <r>
    <x v="1"/>
    <n v="2"/>
    <n v="215"/>
    <s v="Kumite"/>
    <s v="Kumite, -, 50-55 kg, Ifjúsági (15-16"/>
    <x v="57"/>
    <s v="3"/>
    <s v="3 fős körmérkőzés"/>
    <s v="1"/>
    <s v="Serfőző Lia Zoé"/>
    <s v="Castrum"/>
    <s v="HUN"/>
    <n v="4"/>
    <m/>
    <s v="Várpalota"/>
    <d v="2026-02-28T00:00:00"/>
    <x v="251"/>
    <x v="0"/>
    <s v="Castrum"/>
    <s v="utánpótlás"/>
    <s v="ifjúsági"/>
    <m/>
  </r>
  <r>
    <x v="1"/>
    <n v="2"/>
    <n v="216"/>
    <s v="Kumite"/>
    <s v="Kumite, -, 50-55 kg, Ifjúsági (15-16"/>
    <x v="57"/>
    <s v="3"/>
    <s v="3 fős körmérkőzés"/>
    <s v="2"/>
    <s v="Bognár Judit"/>
    <s v="Castrum"/>
    <s v="HUN"/>
    <n v="3"/>
    <m/>
    <s v="Várpalota"/>
    <d v="2026-02-28T00:00:00"/>
    <x v="252"/>
    <x v="0"/>
    <s v="Castrum"/>
    <s v="utánpótlás"/>
    <s v="ifjúsági"/>
    <m/>
  </r>
  <r>
    <x v="1"/>
    <n v="2"/>
    <n v="217"/>
    <s v="Kumite"/>
    <s v="Kumite, -, 50-55 kg, Ifjúsági (15-16"/>
    <x v="57"/>
    <s v="3"/>
    <s v="3 fős körmérkőzés"/>
    <s v="3"/>
    <s v="Ható Amanda"/>
    <s v="Rakurai"/>
    <s v="HUN"/>
    <n v="0"/>
    <s v="nem volt nyertes mérkőzése"/>
    <s v="Várpalota"/>
    <d v="2026-02-28T00:00:00"/>
    <x v="253"/>
    <x v="0"/>
    <s v="Rakurai"/>
    <s v="utánpótlás"/>
    <s v="ifjúsági"/>
    <m/>
  </r>
  <r>
    <x v="1"/>
    <n v="2"/>
    <n v="218"/>
    <s v="Kumite"/>
    <s v="Kumite, -, 55-60 kg, Ifjúsági (15-16"/>
    <x v="58"/>
    <s v="6"/>
    <s v="6 fős vegyes"/>
    <s v="1"/>
    <s v="Lukács Éva"/>
    <s v="VTSE"/>
    <s v="HUN"/>
    <n v="6"/>
    <m/>
    <s v="Várpalota"/>
    <d v="2026-02-28T00:00:00"/>
    <x v="254"/>
    <x v="1"/>
    <s v="VTSE"/>
    <s v="utánpótlás"/>
    <s v="ifjúsági"/>
    <m/>
  </r>
  <r>
    <x v="1"/>
    <n v="2"/>
    <n v="219"/>
    <s v="Kumite"/>
    <s v="Kumite, -, 55-60 kg, Ifjúsági (15-16"/>
    <x v="58"/>
    <s v="6"/>
    <s v="6 fős vegyes"/>
    <s v="2"/>
    <s v="Bognár Boglárka"/>
    <s v="Rakurai"/>
    <s v="HUN"/>
    <n v="5"/>
    <m/>
    <s v="Várpalota"/>
    <d v="2026-02-28T00:00:00"/>
    <x v="255"/>
    <x v="0"/>
    <s v="Rakurai"/>
    <s v="utánpótlás"/>
    <s v="ifjúsági"/>
    <m/>
  </r>
  <r>
    <x v="1"/>
    <n v="2"/>
    <n v="220"/>
    <s v="Kumite"/>
    <s v="Kumite, -, 55-60 kg, Ifjúsági (15-16"/>
    <x v="58"/>
    <s v="6"/>
    <s v="6 fős vegyes"/>
    <s v="3"/>
    <s v="Demeter Zsófia"/>
    <s v="WARRIORS TEAM"/>
    <s v="HUN"/>
    <n v="3"/>
    <m/>
    <s v="Várpalota"/>
    <d v="2026-02-28T00:00:00"/>
    <x v="256"/>
    <x v="0"/>
    <s v="WARRIORS TEAM"/>
    <s v="utánpótlás"/>
    <s v="ifjúsági"/>
    <m/>
  </r>
  <r>
    <x v="1"/>
    <n v="2"/>
    <n v="221"/>
    <s v="Kumite"/>
    <s v="Kumite, -, 65-200 kg, Ifjúsági (15-16"/>
    <x v="59"/>
    <s v="5"/>
    <s v="5 fős körmérkőzés"/>
    <s v="1"/>
    <s v="Csonka Kata"/>
    <s v="Kamikaze S"/>
    <s v="HUN"/>
    <n v="8"/>
    <m/>
    <s v="Várpalota"/>
    <d v="2026-02-28T00:00:00"/>
    <x v="257"/>
    <x v="0"/>
    <s v="Kamikaze S"/>
    <s v="utánpótlás"/>
    <s v="ifjúsági"/>
    <m/>
  </r>
  <r>
    <x v="1"/>
    <n v="2"/>
    <n v="222"/>
    <s v="Kumite"/>
    <s v="Kumite, -, 65-200 kg, Ifjúsági (15-16"/>
    <x v="59"/>
    <s v="5"/>
    <s v="5 fős körmérkőzés"/>
    <s v="2"/>
    <s v="Szalai Kitti"/>
    <s v="Griff SE"/>
    <s v="HUN"/>
    <n v="6"/>
    <m/>
    <s v="Várpalota"/>
    <d v="2026-02-28T00:00:00"/>
    <x v="258"/>
    <x v="0"/>
    <s v="Griff SE"/>
    <s v="utánpótlás"/>
    <s v="ifjúsági"/>
    <m/>
  </r>
  <r>
    <x v="1"/>
    <n v="2"/>
    <n v="223"/>
    <s v="Kumite"/>
    <s v="Kumite, -, 65-200 kg, Ifjúsági (15-16"/>
    <x v="59"/>
    <s v="5"/>
    <s v="5 fős körmérkőzés"/>
    <s v="3"/>
    <s v="Komondi Veronika Nilla"/>
    <s v="Keszth.KKK"/>
    <s v="HUN"/>
    <n v="4"/>
    <m/>
    <s v="Várpalota"/>
    <d v="2026-02-28T00:00:00"/>
    <x v="259"/>
    <x v="0"/>
    <s v="Keszth.KKK"/>
    <s v="utánpótlás"/>
    <s v="ifjúsági"/>
    <m/>
  </r>
  <r>
    <x v="1"/>
    <n v="2"/>
    <n v="223"/>
    <s v="Kumite"/>
    <s v="Kumite, -, 65-200 kg, Ifjúsági (15-16"/>
    <x v="59"/>
    <s v="5"/>
    <s v="5 fős körmérkőzés"/>
    <n v="4"/>
    <s v="Bartha Zsuzsanna"/>
    <s v="BHMSE"/>
    <s v="HUN"/>
    <n v="3"/>
    <m/>
    <s v="Várpalota"/>
    <d v="2026-02-28T00:00:00"/>
    <x v="260"/>
    <x v="0"/>
    <s v="BHMSE"/>
    <s v="utánpótlás"/>
    <s v="ifjúsági"/>
    <m/>
  </r>
  <r>
    <x v="1"/>
    <n v="2"/>
    <n v="224"/>
    <s v="Kata"/>
    <s v="Kata, -, 0-160 kg, Ifjúsági (15-16"/>
    <x v="60"/>
    <s v="9"/>
    <s v="16 fős egyenes kiesés + 3. hely"/>
    <s v="1"/>
    <s v="Aranyosi Nikolett"/>
    <s v="KSE Tarján"/>
    <s v="HUN"/>
    <n v="6"/>
    <s v="9 fő estén 1-5 helyezett kap pontot"/>
    <s v="Várpalota"/>
    <d v="2026-02-28T00:00:00"/>
    <x v="250"/>
    <x v="0"/>
    <s v="KSE Tarján"/>
    <s v="utánpótlás"/>
    <s v="ifjúsági"/>
    <m/>
  </r>
  <r>
    <x v="1"/>
    <n v="2"/>
    <n v="225"/>
    <s v="Kata"/>
    <s v="Kata, -, 0-160 kg, Ifjúsági (15-16"/>
    <x v="60"/>
    <s v="9"/>
    <s v="16 fős egyenes kiesés + 3. hely"/>
    <s v="2"/>
    <s v="Nagy Hanna Míra"/>
    <s v="Genbu dojo"/>
    <s v="HUN"/>
    <n v="5"/>
    <s v="9 fő estén 1-5 helyezett kap pontot"/>
    <s v="Várpalota"/>
    <d v="2026-02-28T00:00:00"/>
    <x v="261"/>
    <x v="1"/>
    <s v="Genbu dojo"/>
    <s v="utánpótlás"/>
    <s v="ifjúsági"/>
    <m/>
  </r>
  <r>
    <x v="1"/>
    <n v="2"/>
    <n v="226"/>
    <s v="Kata"/>
    <s v="Kata, -, 0-160 kg, Ifjúsági (15-16"/>
    <x v="60"/>
    <s v="9"/>
    <s v="16 fős egyenes kiesés + 3. hely"/>
    <s v="3"/>
    <s v="Czakó Natália"/>
    <s v="Nagykátai Bushido SE"/>
    <s v="HUN"/>
    <n v="3"/>
    <s v="9 fő estén 1-5 helyezett kap pontot"/>
    <s v="Várpalota"/>
    <d v="2026-02-28T00:00:00"/>
    <x v="262"/>
    <x v="0"/>
    <s v="Nagykátai Bushido SE"/>
    <s v="utánpótlás"/>
    <s v="ifjúsági"/>
    <m/>
  </r>
  <r>
    <x v="1"/>
    <n v="2"/>
    <n v="227"/>
    <s v="Kata"/>
    <s v="Kata, -, 0-160 kg, Ifjúsági (15-16"/>
    <x v="60"/>
    <s v="9"/>
    <s v="16 fős egyenes kiesés + 3. hely"/>
    <s v="4"/>
    <s v="Timár Alíz"/>
    <s v="BHMSE"/>
    <s v="HUN"/>
    <n v="2"/>
    <s v="9 fő estén 1-5 helyezett kap pontot"/>
    <s v="Várpalota"/>
    <d v="2026-02-28T00:00:00"/>
    <x v="263"/>
    <x v="0"/>
    <s v="BHMSE"/>
    <s v="utánpótlás"/>
    <s v="ifjúsági"/>
    <m/>
  </r>
  <r>
    <x v="1"/>
    <n v="2"/>
    <n v="228"/>
    <s v="Kata"/>
    <s v="Kata, -, 0-160 kg, Ifjúsági (15-16"/>
    <x v="60"/>
    <s v="9"/>
    <s v="16 fős egyenes kiesés + 3. hely"/>
    <s v="5"/>
    <s v="Böcskey Emese "/>
    <s v="Nagy Sándor Dojo"/>
    <s v="HUN"/>
    <n v="1"/>
    <s v="9 fő estén 1-5 helyezett kap pontot"/>
    <s v="Várpalota"/>
    <d v="2026-02-28T00:00:00"/>
    <x v="248"/>
    <x v="1"/>
    <s v="Nagy Sándor Dojo"/>
    <s v="utánpótlás"/>
    <s v="ifjúsági"/>
    <m/>
  </r>
  <r>
    <x v="1"/>
    <n v="2"/>
    <n v="229"/>
    <s v="Kata"/>
    <s v="Kata, -, 0-160 kg, Ifjúsági (15-16"/>
    <x v="60"/>
    <s v="9"/>
    <s v="16 fős egyenes kiesés + 3. hely"/>
    <s v="6"/>
    <s v="Varga Réka Orsolya"/>
    <s v="ARSC"/>
    <s v="HUN"/>
    <n v="0"/>
    <s v="9 fő estén 1-5 helyezett kap pontot"/>
    <s v="Várpalota"/>
    <d v="2026-02-28T00:00:00"/>
    <x v="264"/>
    <x v="0"/>
    <s v="ARSC"/>
    <s v="utánpótlás"/>
    <s v="ifjúsági"/>
    <m/>
  </r>
  <r>
    <x v="1"/>
    <n v="2"/>
    <n v="230"/>
    <s v="Kata"/>
    <s v="Kata, -, 0-160 kg, Ifjúsági (15-16"/>
    <x v="60"/>
    <s v="9"/>
    <s v="16 fős egyenes kiesés + 3. hely"/>
    <s v="7-8"/>
    <s v="Princz Anna"/>
    <s v="ARSC"/>
    <s v="HUN"/>
    <n v="0"/>
    <s v="9 fő estén 1-5 helyezett kap pontot"/>
    <s v="Várpalota"/>
    <d v="2026-02-28T00:00:00"/>
    <x v="265"/>
    <x v="0"/>
    <s v="ARSC"/>
    <s v="utánpótlás"/>
    <s v="ifjúsági"/>
    <m/>
  </r>
  <r>
    <x v="1"/>
    <n v="2"/>
    <n v="231"/>
    <s v="Kata"/>
    <s v="Kata, -, 0-160 kg, Ifjúsági (15-16"/>
    <x v="60"/>
    <s v="9"/>
    <s v="16 fős egyenes kiesés + 3. hely"/>
    <s v="7-8"/>
    <s v="Sülyi Luca"/>
    <s v="Főnix Dojo"/>
    <s v="HUN"/>
    <n v="0"/>
    <s v="9 fő estén 1-5 helyezett kap pontot"/>
    <s v="Várpalota"/>
    <d v="2026-02-28T00:00:00"/>
    <x v="249"/>
    <x v="0"/>
    <s v="Főnix Dojo"/>
    <s v="utánpótlás"/>
    <s v="ifjúsági"/>
    <m/>
  </r>
  <r>
    <x v="1"/>
    <n v="2"/>
    <n v="232"/>
    <s v="Kata"/>
    <s v="Kata, -, 0-160 kg, Ifjúsági (15-16"/>
    <x v="60"/>
    <s v="9"/>
    <s v="16 fős egyenes kiesés + 3. hely"/>
    <s v="11-16"/>
    <s v="Horváth Hanna Barbara"/>
    <s v="BHMSE"/>
    <s v="HUN"/>
    <n v="0"/>
    <s v="9 fő estén 1-5 helyezett kap pontot"/>
    <s v="Várpalota"/>
    <d v="2026-02-28T00:00:00"/>
    <x v="266"/>
    <x v="0"/>
    <s v="BHMSE"/>
    <s v="utánpótlás"/>
    <s v="ifjúsági"/>
    <m/>
  </r>
  <r>
    <x v="1"/>
    <n v="2"/>
    <n v="233"/>
    <s v="Kumite"/>
    <s v="Kumite, -, 60-65 kg, Junior DOL (17-19"/>
    <x v="61"/>
    <s v="5"/>
    <s v="5 fős körmérkőzés"/>
    <s v="1"/>
    <s v="Danka Hunor"/>
    <s v="Nagykátai Bushido SE"/>
    <s v="HUN"/>
    <n v="8"/>
    <m/>
    <s v="Várpalota"/>
    <d v="2026-02-28T00:00:00"/>
    <x v="267"/>
    <x v="0"/>
    <s v="Nagykátai Bushido SE"/>
    <s v="utánpótlás"/>
    <s v="junior"/>
    <m/>
  </r>
  <r>
    <x v="1"/>
    <n v="2"/>
    <n v="234"/>
    <s v="Kumite"/>
    <s v="Kumite, -, 60-65 kg, Junior DOL (17-19"/>
    <x v="61"/>
    <s v="5"/>
    <s v="5 fős körmérkőzés"/>
    <s v="2"/>
    <s v="Balogh András Barnabás"/>
    <s v="Ippon KKSE"/>
    <s v="HUN"/>
    <n v="6"/>
    <m/>
    <s v="Várpalota"/>
    <d v="2026-02-28T00:00:00"/>
    <x v="268"/>
    <x v="0"/>
    <s v="Ippon KKSE"/>
    <s v="utánpótlás"/>
    <s v="junior"/>
    <m/>
  </r>
  <r>
    <x v="1"/>
    <n v="2"/>
    <n v="235"/>
    <s v="Kumite"/>
    <s v="Kumite, -, 60-65 kg, Junior DOL (17-19"/>
    <x v="61"/>
    <s v="5"/>
    <s v="5 fős körmérkőzés"/>
    <s v="3"/>
    <s v="Kovácsay Gergely"/>
    <s v="Ippon KKSE"/>
    <s v="HUN"/>
    <n v="4"/>
    <m/>
    <s v="Várpalota"/>
    <d v="2026-02-28T00:00:00"/>
    <x v="269"/>
    <x v="0"/>
    <s v="Ippon KKSE"/>
    <s v="utánpótlás"/>
    <s v="junior"/>
    <m/>
  </r>
  <r>
    <x v="1"/>
    <n v="2"/>
    <n v="235"/>
    <s v="Kumite"/>
    <s v="Kumite, -, 60-65 kg, Junior DOL (17-19"/>
    <x v="61"/>
    <s v="5"/>
    <s v="5 fős körmérkőzés"/>
    <n v="4"/>
    <s v="Varga Tamás"/>
    <s v="Goukai KSE"/>
    <s v="HUN"/>
    <n v="3"/>
    <m/>
    <s v="Várpalota"/>
    <d v="2026-02-28T00:00:00"/>
    <x v="270"/>
    <x v="0"/>
    <s v="Goukai KSE"/>
    <s v="utánpótlás"/>
    <s v="junior"/>
    <m/>
  </r>
  <r>
    <x v="1"/>
    <n v="2"/>
    <n v="236"/>
    <s v="Kumite"/>
    <s v="Kumite, -, 65-70 kg, Junior DOL (17-19"/>
    <x v="62"/>
    <s v="2"/>
    <s v="2 fős egyenes kiesés"/>
    <s v="1"/>
    <s v="Szente Szabolcs"/>
    <s v="VTSE"/>
    <s v="HUN"/>
    <n v="3"/>
    <m/>
    <s v="Várpalota"/>
    <d v="2026-02-28T00:00:00"/>
    <x v="271"/>
    <x v="1"/>
    <s v="VTSE"/>
    <s v="utánpótlás"/>
    <s v="junior"/>
    <m/>
  </r>
  <r>
    <x v="1"/>
    <n v="2"/>
    <n v="237"/>
    <s v="Kumite"/>
    <s v="Kumite, -, 65-70 kg, Junior DOL (17-19"/>
    <x v="62"/>
    <s v="2"/>
    <s v="2 fős egyenes kiesés"/>
    <s v="2"/>
    <s v="Nagy Benedek"/>
    <s v="Tora HSE"/>
    <s v="HUN"/>
    <n v="0"/>
    <m/>
    <s v="Várpalota"/>
    <d v="2026-02-28T00:00:00"/>
    <x v="272"/>
    <x v="1"/>
    <s v="Tora HSE"/>
    <s v="utánpótlás"/>
    <s v="junior"/>
    <m/>
  </r>
  <r>
    <x v="1"/>
    <n v="2"/>
    <n v="240"/>
    <s v="Kumite"/>
    <s v="Kumite, -, 80-200 kg, Junior DOL (17-19"/>
    <x v="63"/>
    <s v="4"/>
    <s v="4 fős körmérkőzés"/>
    <s v="1"/>
    <s v="Tengelics Márk"/>
    <s v="IKIGAI DOJO BÖRCS"/>
    <s v="HUN"/>
    <n v="6"/>
    <m/>
    <s v="Várpalota"/>
    <d v="2026-02-28T00:00:00"/>
    <x v="273"/>
    <x v="1"/>
    <s v="IKIGAI DOJO BÖRCS"/>
    <s v="utánpótlás"/>
    <s v="junior"/>
    <m/>
  </r>
  <r>
    <x v="1"/>
    <n v="2"/>
    <n v="241"/>
    <s v="Kumite"/>
    <s v="Kumite, -, 80-200 kg, Junior DOL (17-19"/>
    <x v="63"/>
    <s v="4"/>
    <s v="4 fős körmérkőzés"/>
    <s v="2"/>
    <s v="Kozó Flórián"/>
    <s v="Shinkyo SE"/>
    <s v="HUN"/>
    <n v="5"/>
    <m/>
    <s v="Várpalota"/>
    <d v="2026-02-28T00:00:00"/>
    <x v="274"/>
    <x v="0"/>
    <s v="Shinkyo SE"/>
    <s v="utánpótlás"/>
    <s v="junior"/>
    <m/>
  </r>
  <r>
    <x v="1"/>
    <n v="2"/>
    <n v="242"/>
    <s v="Kata"/>
    <s v="Kata, -, 0-170 kg, Junior DOL (17-19"/>
    <x v="64"/>
    <s v="3"/>
    <s v="3 fős körmérkőzés"/>
    <s v="1"/>
    <s v="Bűdy Sándor"/>
    <s v="BHMSE"/>
    <s v="HUN"/>
    <n v="3"/>
    <s v="3 fő estén 1-2 helyezett kap pontot"/>
    <s v="Várpalota"/>
    <d v="2026-02-28T00:00:00"/>
    <x v="275"/>
    <x v="0"/>
    <s v="BHMSE"/>
    <s v="utánpótlás"/>
    <s v="junior"/>
    <m/>
  </r>
  <r>
    <x v="1"/>
    <n v="2"/>
    <n v="243"/>
    <s v="Kata"/>
    <s v="Kata, -, 0-170 kg, Junior DOL (17-19"/>
    <x v="64"/>
    <s v="3"/>
    <s v="3 fős körmérkőzés"/>
    <s v="2"/>
    <s v="Tengelics Márk"/>
    <s v="IKIGAI DOJO BÖRCS"/>
    <s v="HUN"/>
    <n v="2"/>
    <s v="3 fő estén 1-2 helyezett kap pontot"/>
    <s v="Várpalota"/>
    <d v="2026-02-28T00:00:00"/>
    <x v="273"/>
    <x v="1"/>
    <s v="IKIGAI DOJO BÖRCS"/>
    <s v="utánpótlás"/>
    <s v="junior"/>
    <m/>
  </r>
  <r>
    <x v="1"/>
    <n v="2"/>
    <n v="262"/>
    <s v="Kata"/>
    <s v="Kata, -, 0-170 kg, Junior DOL (17-19"/>
    <x v="64"/>
    <s v="3"/>
    <s v="3 fős körmérkőzés"/>
    <s v="3"/>
    <s v="Magyar Botond"/>
    <s v="Nagy Sándor Dojo"/>
    <s v="HUN"/>
    <n v="0"/>
    <s v="3 fő estén 1-2 helyezett kap pontot"/>
    <s v="Várpalota"/>
    <d v="2026-02-28T00:00:00"/>
    <x v="276"/>
    <x v="1"/>
    <s v="Nagy Sándor Dojo"/>
    <s v="utánpótlás"/>
    <s v="junior"/>
    <m/>
  </r>
  <r>
    <x v="1"/>
    <n v="2"/>
    <n v="244"/>
    <s v="Kumite"/>
    <s v="Kumite, -, 0-50 kg, Junior DOL (17-19"/>
    <x v="65"/>
    <s v="3"/>
    <s v="3 fős körmérkőzés"/>
    <s v="1"/>
    <s v="Németh Panka"/>
    <s v="Cs.S.E."/>
    <s v="HUN"/>
    <n v="4"/>
    <m/>
    <s v="Várpalota"/>
    <d v="2026-02-28T00:00:00"/>
    <x v="277"/>
    <x v="0"/>
    <s v="Cs.S.E."/>
    <s v="utánpótlás"/>
    <s v="junior"/>
    <m/>
  </r>
  <r>
    <x v="1"/>
    <n v="2"/>
    <n v="245"/>
    <s v="Kumite"/>
    <s v="Kumite, -, 0-50 kg, Junior DOL (17-19"/>
    <x v="65"/>
    <s v="3"/>
    <s v="3 fős körmérkőzés"/>
    <s v="2"/>
    <s v="Bőzsöny Dorka"/>
    <s v="BHMSE"/>
    <s v="HUN"/>
    <n v="3"/>
    <m/>
    <s v="Várpalota"/>
    <d v="2026-02-28T00:00:00"/>
    <x v="278"/>
    <x v="0"/>
    <s v="BHMSE"/>
    <s v="utánpótlás"/>
    <s v="junior"/>
    <m/>
  </r>
  <r>
    <x v="1"/>
    <n v="2"/>
    <n v="246"/>
    <s v="Kumite"/>
    <s v="Kumite, -, 0-50 kg, Junior DOL (17-19"/>
    <x v="65"/>
    <s v="3"/>
    <s v="3 fős körmérkőzés"/>
    <s v="3"/>
    <s v="Egerszegi Rebeka"/>
    <s v="Főnix Dojo"/>
    <s v="HUN"/>
    <n v="0"/>
    <s v="nem volt nyertes mérkőzése"/>
    <s v="Várpalota"/>
    <d v="2026-02-28T00:00:00"/>
    <x v="279"/>
    <x v="0"/>
    <s v="Főnix Dojo"/>
    <s v="utánpótlás"/>
    <s v="junior"/>
    <m/>
  </r>
  <r>
    <x v="1"/>
    <n v="2"/>
    <n v="247"/>
    <s v="Kumite"/>
    <s v="Kumite, -, 50-55 kg, Junior DOL (17-19"/>
    <x v="66"/>
    <s v="2"/>
    <s v="2 fős egyenes kiesés"/>
    <s v="1"/>
    <s v="Németh Virág"/>
    <s v="Castrum"/>
    <s v="HUN"/>
    <n v="3"/>
    <m/>
    <s v="Várpalota"/>
    <d v="2026-02-28T00:00:00"/>
    <x v="280"/>
    <x v="0"/>
    <s v="Castrum"/>
    <s v="utánpótlás"/>
    <s v="junior"/>
    <m/>
  </r>
  <r>
    <x v="1"/>
    <n v="2"/>
    <n v="248"/>
    <s v="Kumite"/>
    <s v="Kumite, -, 50-55 kg, Junior DOL (17-19"/>
    <x v="66"/>
    <s v="2"/>
    <s v="2 fős egyenes kiesés"/>
    <s v="2"/>
    <s v="Finta Zelma"/>
    <s v="Rakurai"/>
    <s v="HUN"/>
    <n v="0"/>
    <m/>
    <s v="Várpalota"/>
    <d v="2026-02-28T00:00:00"/>
    <x v="281"/>
    <x v="0"/>
    <s v="Rakurai"/>
    <s v="utánpótlás"/>
    <s v="junior"/>
    <m/>
  </r>
  <r>
    <x v="1"/>
    <n v="2"/>
    <n v="261"/>
    <s v="Kumite"/>
    <s v="Kumite, -, 80-200 kg, Junior DOL (17-19"/>
    <x v="63"/>
    <s v="4"/>
    <s v="4 fős körmérkőzés"/>
    <s v="3"/>
    <s v="Spanjevic Dániel"/>
    <s v="BHMSE"/>
    <s v="HUN"/>
    <n v="3"/>
    <m/>
    <s v="Várpalota"/>
    <d v="2026-02-28T00:00:00"/>
    <x v="282"/>
    <x v="0"/>
    <s v="BHMSE"/>
    <s v="utánpótlás"/>
    <s v="junior"/>
    <m/>
  </r>
  <r>
    <x v="1"/>
    <n v="2"/>
    <n v="263"/>
    <s v="Kumite"/>
    <s v="Kumite, -, 55-60 kg, Junior DOL (17-19"/>
    <x v="67"/>
    <s v="4"/>
    <s v="4 fős körmérkőzés"/>
    <s v="1"/>
    <s v="Kis Mónika"/>
    <s v="Főnix Dojo"/>
    <s v="HUN"/>
    <n v="6"/>
    <m/>
    <s v="Várpalota"/>
    <d v="2026-02-28T00:00:00"/>
    <x v="52"/>
    <x v="0"/>
    <s v="Főnix Dojo"/>
    <s v="utánpótlás"/>
    <s v="junior"/>
    <m/>
  </r>
  <r>
    <x v="1"/>
    <n v="2"/>
    <n v="249"/>
    <s v="Kumite"/>
    <s v="Kumite, -, 55-60 kg, Junior DOL (17-19"/>
    <x v="67"/>
    <s v="4"/>
    <s v="4 fős körmérkőzés"/>
    <s v="2"/>
    <s v="Reichert Jázmin "/>
    <s v="VTSE"/>
    <s v="HUN"/>
    <n v="5"/>
    <m/>
    <s v="Várpalota"/>
    <d v="2026-02-28T00:00:00"/>
    <x v="283"/>
    <x v="1"/>
    <s v="VTSE"/>
    <s v="utánpótlás"/>
    <s v="junior"/>
    <m/>
  </r>
  <r>
    <x v="1"/>
    <n v="2"/>
    <n v="250"/>
    <s v="Kumite"/>
    <s v="Kumite, -, 55-60 kg, Junior DOL (17-19"/>
    <x v="67"/>
    <s v="4"/>
    <s v="4 fős körmérkőzés"/>
    <s v="3"/>
    <s v="Bognár Luca"/>
    <s v="Rakurai"/>
    <s v="HUN"/>
    <n v="3"/>
    <m/>
    <s v="Várpalota"/>
    <d v="2026-02-28T00:00:00"/>
    <x v="284"/>
    <x v="0"/>
    <s v="Rakurai"/>
    <s v="utánpótlás"/>
    <s v="junior"/>
    <m/>
  </r>
  <r>
    <x v="1"/>
    <n v="2"/>
    <n v="251"/>
    <s v="Kumite"/>
    <s v="Kumite, -, 60-65 kg, Junior DOL (17-19"/>
    <x v="68"/>
    <s v="3"/>
    <s v="3 fős körmérkőzés"/>
    <s v="1"/>
    <s v="Lukács Eszter"/>
    <s v="VTSE"/>
    <s v="HUN"/>
    <n v="4"/>
    <m/>
    <s v="Várpalota"/>
    <d v="2026-02-28T00:00:00"/>
    <x v="285"/>
    <x v="1"/>
    <s v="VTSE"/>
    <s v="utánpótlás"/>
    <s v="junior"/>
    <m/>
  </r>
  <r>
    <x v="1"/>
    <n v="2"/>
    <n v="252"/>
    <s v="Kumite"/>
    <s v="Kumite, -, 60-65 kg, Junior DOL (17-19"/>
    <x v="68"/>
    <s v="3"/>
    <s v="3 fős körmérkőzés"/>
    <s v="2"/>
    <s v="Spanjevic Emma"/>
    <s v="BHMSE"/>
    <s v="HUN"/>
    <n v="3"/>
    <m/>
    <s v="Várpalota"/>
    <d v="2026-02-28T00:00:00"/>
    <x v="286"/>
    <x v="0"/>
    <s v="BHMSE"/>
    <s v="utánpótlás"/>
    <s v="junior"/>
    <m/>
  </r>
  <r>
    <x v="1"/>
    <n v="2"/>
    <n v="253"/>
    <s v="Kumite"/>
    <s v="Kumite, -, 60-65 kg, Junior DOL (17-19"/>
    <x v="68"/>
    <s v="3"/>
    <s v="3 fős körmérkőzés"/>
    <s v="3"/>
    <s v="Fadgyas Eszter"/>
    <s v="Goukai KSE"/>
    <s v="HUN"/>
    <n v="0"/>
    <s v="nem volt nyertes mérkőzése"/>
    <s v="Várpalota"/>
    <d v="2026-02-28T00:00:00"/>
    <x v="287"/>
    <x v="0"/>
    <s v="Goukai KSE"/>
    <s v="utánpótlás"/>
    <s v="junior"/>
    <m/>
  </r>
  <r>
    <x v="1"/>
    <n v="2"/>
    <n v="264"/>
    <s v="Kata"/>
    <s v="Kata, -, 0-170 kg, Junior DOL (17-19"/>
    <x v="69"/>
    <s v="10"/>
    <s v="16 fős egyenes kiesés + 3. hely"/>
    <s v="1"/>
    <s v="Imre Zoé Julianna"/>
    <s v="KSE Tarján"/>
    <s v="HUN"/>
    <n v="6"/>
    <s v="10 fő estén 1-6 helyezett kap pontot"/>
    <s v="Várpalota"/>
    <d v="2026-02-28T00:00:00"/>
    <x v="288"/>
    <x v="0"/>
    <s v="KSE Tarján"/>
    <s v="utánpótlás"/>
    <s v="junior"/>
    <m/>
  </r>
  <r>
    <x v="1"/>
    <n v="2"/>
    <n v="254"/>
    <s v="Kata"/>
    <s v="Kata, -, 0-170 kg, Junior DOL (17-19"/>
    <x v="69"/>
    <s v="10"/>
    <s v="16 fős egyenes kiesés + 3. hely"/>
    <s v="2"/>
    <s v="Bognár Luca"/>
    <s v="Rakurai"/>
    <s v="HUN"/>
    <n v="5"/>
    <s v="10 fő estén 1-6 helyezett kap pontot"/>
    <s v="Várpalota"/>
    <d v="2026-02-28T00:00:00"/>
    <x v="284"/>
    <x v="0"/>
    <s v="Rakurai"/>
    <s v="utánpótlás"/>
    <s v="junior"/>
    <m/>
  </r>
  <r>
    <x v="1"/>
    <n v="2"/>
    <n v="265"/>
    <s v="Kata"/>
    <s v="Kata, -, 0-170 kg, Junior DOL (17-19"/>
    <x v="69"/>
    <s v="10"/>
    <s v="16 fős egyenes kiesés + 3. hely"/>
    <s v="3"/>
    <s v="Kis Mónika"/>
    <s v="Főnix Dojo"/>
    <s v="HUN"/>
    <n v="3"/>
    <s v="10 fő estén 1-6 helyezett kap pontot"/>
    <s v="Várpalota"/>
    <d v="2026-02-28T00:00:00"/>
    <x v="52"/>
    <x v="0"/>
    <s v="Főnix Dojo"/>
    <s v="utánpótlás"/>
    <s v="junior"/>
    <m/>
  </r>
  <r>
    <x v="1"/>
    <n v="2"/>
    <n v="255"/>
    <s v="Kata"/>
    <s v="Kata, -, 0-170 kg, Junior DOL (17-19"/>
    <x v="69"/>
    <s v="10"/>
    <s v="16 fős egyenes kiesés + 3. hely"/>
    <s v="4"/>
    <s v="Németh Panka"/>
    <s v="Cs.S.E."/>
    <s v="HUN"/>
    <n v="2"/>
    <s v="10 fő estén 1-6 helyezett kap pontot"/>
    <s v="Várpalota"/>
    <d v="2026-02-28T00:00:00"/>
    <x v="277"/>
    <x v="0"/>
    <s v="Cs.S.E."/>
    <s v="utánpótlás"/>
    <s v="junior"/>
    <m/>
  </r>
  <r>
    <x v="1"/>
    <n v="2"/>
    <n v="256"/>
    <s v="Kata"/>
    <s v="Kata, -, 0-170 kg, Junior DOL (17-19"/>
    <x v="69"/>
    <s v="10"/>
    <s v="16 fős egyenes kiesés + 3. hely"/>
    <s v="5"/>
    <s v="Viza Dorottya Anna"/>
    <s v="ARSC"/>
    <s v="HUN"/>
    <n v="1"/>
    <s v="10 fő estén 1-6 helyezett kap pontot"/>
    <s v="Várpalota"/>
    <d v="2026-02-28T00:00:00"/>
    <x v="289"/>
    <x v="0"/>
    <s v="ARSC"/>
    <s v="utánpótlás"/>
    <s v="junior"/>
    <m/>
  </r>
  <r>
    <x v="1"/>
    <n v="2"/>
    <n v="266"/>
    <s v="Kata"/>
    <s v="Kata, -, 0-170 kg, Junior DOL (17-19"/>
    <x v="69"/>
    <s v="10"/>
    <s v="16 fős egyenes kiesés + 3. hely"/>
    <s v="6"/>
    <s v="Farkas Regina"/>
    <s v="Shinkyo SE"/>
    <s v="HUN"/>
    <n v="1"/>
    <s v="10 fő estén 1-6 helyezett kap pontot"/>
    <s v="Várpalota"/>
    <d v="2026-02-28T00:00:00"/>
    <x v="290"/>
    <x v="0"/>
    <s v="Shinkyo SE"/>
    <s v="utánpótlás"/>
    <s v="junior"/>
    <m/>
  </r>
  <r>
    <x v="1"/>
    <n v="2"/>
    <n v="257"/>
    <s v="Kata"/>
    <s v="Kata, -, 0-170 kg, Junior DOL (17-19"/>
    <x v="69"/>
    <s v="10"/>
    <s v="16 fős egyenes kiesés + 3. hely"/>
    <s v="7-8"/>
    <s v="Kisdeák Emma"/>
    <s v="Siófok KSE"/>
    <s v="HUN"/>
    <n v="0"/>
    <s v="10 fő estén 1-6 helyezett kap pontot"/>
    <s v="Várpalota"/>
    <d v="2026-02-28T00:00:00"/>
    <x v="291"/>
    <x v="0"/>
    <s v="Siófok KSE"/>
    <s v="utánpótlás"/>
    <s v="junior"/>
    <m/>
  </r>
  <r>
    <x v="1"/>
    <n v="2"/>
    <n v="267"/>
    <s v="Kata"/>
    <s v="Kata, -, 0-170 kg, Junior DOL (17-19"/>
    <x v="69"/>
    <s v="10"/>
    <s v="16 fős egyenes kiesés + 3. hely"/>
    <s v="7-8"/>
    <s v="Nádi Viktória"/>
    <s v="ARSC"/>
    <s v="HUN"/>
    <n v="0"/>
    <s v="10 fő estén 1-6 helyezett kap pontot"/>
    <s v="Várpalota"/>
    <d v="2026-02-28T00:00:00"/>
    <x v="292"/>
    <x v="0"/>
    <s v="ARSC"/>
    <s v="utánpótlás"/>
    <s v="junior"/>
    <m/>
  </r>
  <r>
    <x v="1"/>
    <n v="2"/>
    <n v="258"/>
    <s v="Kata"/>
    <s v="Kata, -, 0-170 kg, Junior DOL (17-19"/>
    <x v="69"/>
    <s v="10"/>
    <s v="16 fős egyenes kiesés + 3. hely"/>
    <s v="11-16"/>
    <s v="Soós Panka"/>
    <s v="Tora HSE"/>
    <s v="HUN"/>
    <n v="0"/>
    <s v="10 fő estén 1-6 helyezett kap pontot"/>
    <s v="Várpalota"/>
    <d v="2026-02-28T00:00:00"/>
    <x v="293"/>
    <x v="1"/>
    <s v="Tora HSE"/>
    <s v="utánpótlás"/>
    <s v="junior"/>
    <m/>
  </r>
  <r>
    <x v="1"/>
    <n v="2"/>
    <n v="259"/>
    <s v="Kata"/>
    <s v="Kata, -, 0-170 kg, Junior DOL (17-19"/>
    <x v="69"/>
    <s v="10"/>
    <s v="16 fős egyenes kiesés + 3. hely"/>
    <s v="11-16"/>
    <s v="Molnár Emese"/>
    <s v="Kihaku SE"/>
    <s v="HUN"/>
    <n v="0"/>
    <s v="10 fő estén 1-6 helyezett kap pontot"/>
    <s v="Várpalota"/>
    <d v="2026-02-28T00:00:00"/>
    <x v="294"/>
    <x v="0"/>
    <s v="Kihaku SE"/>
    <s v="utánpótlás"/>
    <s v="junior"/>
    <m/>
  </r>
  <r>
    <x v="2"/>
    <n v="2"/>
    <n v="269"/>
    <s v="Kumite"/>
    <s v="Kumite, -, 0-30 kg, Gyerek 1. (9-10"/>
    <x v="18"/>
    <s v="6"/>
    <s v="6 fős vegyes"/>
    <s v="1"/>
    <s v="Szlivka Botond Csaba"/>
    <s v="Shogun"/>
    <s v="HUN"/>
    <n v="6"/>
    <m/>
    <s v="Gyöngyös"/>
    <d v="2026-03-07T00:00:00"/>
    <x v="295"/>
    <x v="0"/>
    <s v="Shogun"/>
    <s v="utánpótlás"/>
    <s v="gyerek"/>
    <m/>
  </r>
  <r>
    <x v="2"/>
    <n v="2"/>
    <n v="270"/>
    <s v="Kumite"/>
    <s v="Kumite, -, 0-30 kg, Gyerek 1. (9-10"/>
    <x v="18"/>
    <s v="6"/>
    <s v="6 fős vegyes"/>
    <s v="2"/>
    <s v="Aldubai Mohamed Hamzah"/>
    <s v="Victory"/>
    <s v="HUN"/>
    <n v="5"/>
    <m/>
    <s v="Gyöngyös"/>
    <d v="2026-03-07T00:00:00"/>
    <x v="296"/>
    <x v="0"/>
    <s v="Victory"/>
    <s v="utánpótlás"/>
    <s v="gyerek"/>
    <m/>
  </r>
  <r>
    <x v="2"/>
    <n v="2"/>
    <n v="271"/>
    <s v="Kumite"/>
    <s v="Kumite, -, 0-30 kg, Gyerek 1. (9-10"/>
    <x v="18"/>
    <s v="6"/>
    <s v="6 fős vegyes"/>
    <s v="3"/>
    <s v="Huszti Dániel"/>
    <s v="Shogun"/>
    <s v="HUN"/>
    <n v="3"/>
    <m/>
    <s v="Gyöngyös"/>
    <d v="2026-03-07T00:00:00"/>
    <x v="297"/>
    <x v="0"/>
    <s v="Shogun"/>
    <s v="utánpótlás"/>
    <s v="gyerek"/>
    <m/>
  </r>
  <r>
    <x v="2"/>
    <n v="2"/>
    <n v="272"/>
    <s v="Kumite"/>
    <s v="Kumite, -, 30-35 kg, Gyerek 1. (9-10"/>
    <x v="19"/>
    <s v="7"/>
    <s v="8 fős egyenes kiesés"/>
    <s v="1"/>
    <s v="Marjai Sándor"/>
    <s v="Kelemen-Team"/>
    <s v="HUN"/>
    <n v="6"/>
    <m/>
    <s v="Gyöngyös"/>
    <d v="2026-03-07T00:00:00"/>
    <x v="298"/>
    <x v="0"/>
    <s v="Kelemen-Team"/>
    <s v="utánpótlás"/>
    <s v="gyerek"/>
    <m/>
  </r>
  <r>
    <x v="2"/>
    <n v="2"/>
    <n v="273"/>
    <s v="Kumite"/>
    <s v="Kumite, -, 30-35 kg, Gyerek 1. (9-10"/>
    <x v="19"/>
    <s v="7"/>
    <s v="8 fős egyenes kiesés"/>
    <s v="2"/>
    <s v="Mohácsi DOminik"/>
    <s v="Victory"/>
    <s v="HUN"/>
    <n v="5"/>
    <m/>
    <s v="Gyöngyös"/>
    <d v="2026-03-07T00:00:00"/>
    <x v="299"/>
    <x v="0"/>
    <s v="Victory"/>
    <s v="utánpótlás"/>
    <s v="gyerek"/>
    <m/>
  </r>
  <r>
    <x v="2"/>
    <n v="2"/>
    <n v="274"/>
    <s v="Kumite"/>
    <s v="Kumite, -, 30-35 kg, Gyerek 1. (9-10"/>
    <x v="19"/>
    <s v="7"/>
    <s v="8 fős egyenes kiesés"/>
    <s v="3"/>
    <s v="Rózsa Benett"/>
    <s v="Kemecse SE"/>
    <s v="HUN"/>
    <n v="3"/>
    <m/>
    <s v="Gyöngyös"/>
    <d v="2026-03-07T00:00:00"/>
    <x v="300"/>
    <x v="0"/>
    <s v="Kemecse SE"/>
    <s v="utánpótlás"/>
    <s v="gyerek"/>
    <m/>
  </r>
  <r>
    <x v="2"/>
    <n v="2"/>
    <n v="275"/>
    <s v="Kumite"/>
    <s v="Kumite, -, 30-35 kg, Gyerek 1. (9-10"/>
    <x v="19"/>
    <s v="7"/>
    <s v="8 fős egyenes kiesés"/>
    <s v="3"/>
    <s v="Blokhin Alexei"/>
    <s v="Victory"/>
    <s v="HUN"/>
    <n v="3"/>
    <m/>
    <s v="Gyöngyös"/>
    <d v="2026-03-07T00:00:00"/>
    <x v="301"/>
    <x v="0"/>
    <s v="Victory"/>
    <s v="utánpótlás"/>
    <s v="gyerek"/>
    <m/>
  </r>
  <r>
    <x v="2"/>
    <n v="2"/>
    <n v="276"/>
    <s v="Kumite"/>
    <s v="Kumite, -, 30-35 kg, Gyerek 1. (9-10"/>
    <x v="19"/>
    <s v="7"/>
    <s v="8 fős egyenes kiesés"/>
    <s v="6"/>
    <s v="Papp László"/>
    <s v="Kelemen-Team"/>
    <s v="HUN"/>
    <n v="0"/>
    <m/>
    <s v="Gyöngyös"/>
    <d v="2026-03-07T00:00:00"/>
    <x v="302"/>
    <x v="0"/>
    <s v="Kelemen-Team"/>
    <s v="utánpótlás"/>
    <s v="gyerek"/>
    <m/>
  </r>
  <r>
    <x v="2"/>
    <n v="2"/>
    <n v="277"/>
    <s v="Kumite"/>
    <s v="Kumite, -, 30-35 kg, Gyerek 1. (9-10"/>
    <x v="19"/>
    <s v="7"/>
    <s v="8 fős egyenes kiesés"/>
    <s v="7-8"/>
    <s v="Oszlánczi Zente"/>
    <s v="KYO Fighter SE"/>
    <s v="HUN"/>
    <n v="0"/>
    <m/>
    <s v="Gyöngyös"/>
    <d v="2026-03-07T00:00:00"/>
    <x v="303"/>
    <x v="0"/>
    <s v="KYO Fighter SE"/>
    <s v="utánpótlás"/>
    <s v="gyerek"/>
    <m/>
  </r>
  <r>
    <x v="2"/>
    <n v="2"/>
    <n v="278"/>
    <s v="Kumite"/>
    <s v="Kumite, -, 30-35 kg, Gyerek 1. (9-10"/>
    <x v="19"/>
    <s v="7"/>
    <s v="8 fős egyenes kiesés"/>
    <s v="7-8"/>
    <s v="Dániel Bence"/>
    <s v="Shogun"/>
    <s v="HUN"/>
    <n v="0"/>
    <m/>
    <s v="Gyöngyös"/>
    <d v="2026-03-07T00:00:00"/>
    <x v="304"/>
    <x v="0"/>
    <s v="Shogun"/>
    <s v="utánpótlás"/>
    <s v="gyerek"/>
    <m/>
  </r>
  <r>
    <x v="2"/>
    <n v="2"/>
    <n v="279"/>
    <s v="Kumite"/>
    <s v="Kumite, -, 35-99 kg, Gyerek 1. (9-10"/>
    <x v="20"/>
    <s v="5"/>
    <s v="5 fős körmérkőzés"/>
    <s v="1"/>
    <s v="Petrohai Dávid"/>
    <s v="Shogun"/>
    <s v="HUN"/>
    <n v="8"/>
    <m/>
    <s v="Gyöngyös"/>
    <d v="2026-03-07T00:00:00"/>
    <x v="305"/>
    <x v="0"/>
    <s v="Shogun"/>
    <s v="utánpótlás"/>
    <s v="gyerek"/>
    <m/>
  </r>
  <r>
    <x v="2"/>
    <n v="2"/>
    <n v="280"/>
    <s v="Kumite"/>
    <s v="Kumite, -, 35-99 kg, Gyerek 1. (9-10"/>
    <x v="20"/>
    <s v="5"/>
    <s v="5 fős körmérkőzés"/>
    <s v="2"/>
    <s v="Dudás Benedek"/>
    <s v="Bendiák Dojo"/>
    <s v="HUN"/>
    <n v="6"/>
    <m/>
    <s v="Gyöngyös"/>
    <d v="2026-03-07T00:00:00"/>
    <x v="306"/>
    <x v="0"/>
    <s v="Bendiák Dojo"/>
    <s v="utánpótlás"/>
    <s v="gyerek"/>
    <m/>
  </r>
  <r>
    <x v="2"/>
    <n v="2"/>
    <n v="281"/>
    <s v="Kumite"/>
    <s v="Kumite, -, 35-99 kg, Gyerek 1. (9-10"/>
    <x v="20"/>
    <s v="5"/>
    <s v="5 fős körmérkőzés"/>
    <s v="3"/>
    <s v="Dócs Nándor"/>
    <s v="Nozomu Dojo"/>
    <s v="HUN"/>
    <n v="4"/>
    <m/>
    <s v="Gyöngyös"/>
    <d v="2026-03-07T00:00:00"/>
    <x v="307"/>
    <x v="0"/>
    <s v="Nozomu Dojo"/>
    <s v="utánpótlás"/>
    <s v="gyerek"/>
    <m/>
  </r>
  <r>
    <x v="2"/>
    <n v="2"/>
    <n v="281"/>
    <s v="Kumite"/>
    <s v="Kumite, -, 35-99 kg, Gyerek 1. (9-10"/>
    <x v="20"/>
    <s v="5"/>
    <s v="5 fős körmérkőzés"/>
    <n v="4"/>
    <s v="Máté Lénárd"/>
    <s v="Kelemen-Team"/>
    <s v="HUN"/>
    <n v="3"/>
    <m/>
    <s v="Gyöngyös"/>
    <d v="2026-03-07T00:00:00"/>
    <x v="308"/>
    <x v="0"/>
    <s v="Kelemen-Team"/>
    <s v="utánpótlás"/>
    <s v="gyerek"/>
    <m/>
  </r>
  <r>
    <x v="2"/>
    <n v="2"/>
    <n v="282"/>
    <s v="Kata"/>
    <s v="Kata, -, 0-100 kg, Gyerek 1. (9-10"/>
    <x v="21"/>
    <s v="10"/>
    <s v="16 fős egyenes kiesés"/>
    <s v="1"/>
    <s v="Mohácsi DOminik"/>
    <s v="Victory"/>
    <s v="HUN"/>
    <n v="6"/>
    <m/>
    <s v="Gyöngyös"/>
    <d v="2026-03-07T00:00:00"/>
    <x v="299"/>
    <x v="0"/>
    <s v="Victory"/>
    <s v="utánpótlás"/>
    <s v="gyerek"/>
    <m/>
  </r>
  <r>
    <x v="2"/>
    <n v="2"/>
    <n v="283"/>
    <s v="Kata"/>
    <s v="Kata, -, 0-100 kg, Gyerek 1. (9-10"/>
    <x v="21"/>
    <s v="10"/>
    <s v="16 fős egyenes kiesés"/>
    <s v="2"/>
    <s v="Petrohai Dávid"/>
    <s v="Shogun"/>
    <s v="HUN"/>
    <n v="5"/>
    <m/>
    <s v="Gyöngyös"/>
    <d v="2026-03-07T00:00:00"/>
    <x v="305"/>
    <x v="0"/>
    <s v="Shogun"/>
    <s v="utánpótlás"/>
    <s v="gyerek"/>
    <m/>
  </r>
  <r>
    <x v="2"/>
    <n v="2"/>
    <n v="284"/>
    <s v="Kata"/>
    <s v="Kata, -, 0-100 kg, Gyerek 1. (9-10"/>
    <x v="21"/>
    <s v="10"/>
    <s v="16 fős egyenes kiesés"/>
    <s v="3"/>
    <s v="Sárközi Bence"/>
    <s v="Shogun"/>
    <s v="HUN"/>
    <n v="3"/>
    <m/>
    <s v="Gyöngyös"/>
    <d v="2026-03-07T00:00:00"/>
    <x v="309"/>
    <x v="0"/>
    <s v="Shogun"/>
    <s v="utánpótlás"/>
    <s v="gyerek"/>
    <m/>
  </r>
  <r>
    <x v="2"/>
    <n v="2"/>
    <n v="285"/>
    <s v="Kata"/>
    <s v="Kata, -, 0-100 kg, Gyerek 1. (9-10"/>
    <x v="21"/>
    <s v="10"/>
    <s v="16 fős egyenes kiesés"/>
    <s v="3"/>
    <s v="Dániel Bence"/>
    <s v="Shogun"/>
    <s v="HUN"/>
    <n v="3"/>
    <m/>
    <s v="Gyöngyös"/>
    <d v="2026-03-07T00:00:00"/>
    <x v="304"/>
    <x v="0"/>
    <s v="Shogun"/>
    <s v="utánpótlás"/>
    <s v="gyerek"/>
    <m/>
  </r>
  <r>
    <x v="2"/>
    <n v="2"/>
    <n v="286"/>
    <s v="Kata"/>
    <s v="Kata, -, 0-100 kg, Gyerek 1. (9-10"/>
    <x v="21"/>
    <s v="10"/>
    <s v="16 fős egyenes kiesés"/>
    <s v="5"/>
    <s v="Huszti Dániel"/>
    <s v="Shogun"/>
    <s v="HUN"/>
    <n v="0"/>
    <s v="nem volt nyertes mérkőzése"/>
    <s v="Gyöngyös"/>
    <d v="2026-03-07T00:00:00"/>
    <x v="297"/>
    <x v="0"/>
    <s v="Shogun"/>
    <s v="utánpótlás"/>
    <s v="gyerek"/>
    <m/>
  </r>
  <r>
    <x v="2"/>
    <n v="2"/>
    <n v="287"/>
    <s v="Kata"/>
    <s v="Kata, -, 0-100 kg, Gyerek 1. (9-10"/>
    <x v="21"/>
    <s v="10"/>
    <s v="16 fős egyenes kiesés"/>
    <s v="6"/>
    <s v="Tóth Máté"/>
    <s v="Bendiák Dojo"/>
    <s v="HUN"/>
    <n v="0"/>
    <s v="nem volt nyertes mérkőzése"/>
    <s v="Gyöngyös"/>
    <d v="2026-03-07T00:00:00"/>
    <x v="310"/>
    <x v="0"/>
    <s v="Bendiák Dojo"/>
    <s v="utánpótlás"/>
    <s v="gyerek"/>
    <m/>
  </r>
  <r>
    <x v="2"/>
    <n v="2"/>
    <n v="288"/>
    <s v="Kata"/>
    <s v="Kata, -, 0-100 kg, Gyerek 1. (9-10"/>
    <x v="21"/>
    <s v="10"/>
    <s v="16 fős egyenes kiesés"/>
    <s v="7-8"/>
    <s v="Szlivka Botond Csaba"/>
    <s v="Shogun"/>
    <s v="HUN"/>
    <n v="0"/>
    <s v="nem volt nyertes mérkőzése"/>
    <s v="Gyöngyös"/>
    <d v="2026-03-07T00:00:00"/>
    <x v="295"/>
    <x v="0"/>
    <s v="Shogun"/>
    <s v="utánpótlás"/>
    <s v="gyerek"/>
    <m/>
  </r>
  <r>
    <x v="2"/>
    <n v="2"/>
    <n v="289"/>
    <s v="Kata"/>
    <s v="Kata, -, 0-100 kg, Gyerek 1. (9-10"/>
    <x v="21"/>
    <s v="10"/>
    <s v="16 fős egyenes kiesés"/>
    <s v="7-8"/>
    <s v="Blokhin Alexei"/>
    <s v="Victory"/>
    <s v="HUN"/>
    <n v="1"/>
    <m/>
    <s v="Gyöngyös"/>
    <d v="2026-03-07T00:00:00"/>
    <x v="301"/>
    <x v="0"/>
    <s v="Victory"/>
    <s v="utánpótlás"/>
    <s v="gyerek"/>
    <m/>
  </r>
  <r>
    <x v="2"/>
    <n v="2"/>
    <n v="290"/>
    <s v="Kata"/>
    <s v="Kata, -, 0-100 kg, Gyerek 1. (9-10"/>
    <x v="21"/>
    <s v="10"/>
    <s v="16 fős egyenes kiesés"/>
    <s v="9"/>
    <s v="Rózsa Benett"/>
    <s v="Kemecse SE"/>
    <s v="HUN"/>
    <n v="0"/>
    <m/>
    <s v="Gyöngyös"/>
    <d v="2026-03-07T00:00:00"/>
    <x v="300"/>
    <x v="0"/>
    <s v="Kemecse SE"/>
    <s v="utánpótlás"/>
    <s v="gyerek"/>
    <m/>
  </r>
  <r>
    <x v="2"/>
    <n v="2"/>
    <n v="291"/>
    <s v="Kata"/>
    <s v="Kata, -, 0-100 kg, Gyerek 1. (9-10"/>
    <x v="21"/>
    <s v="10"/>
    <s v="16 fős egyenes kiesés"/>
    <s v="11-16"/>
    <s v="Kiss Attila"/>
    <s v="Kelemen-Team"/>
    <s v="HUN"/>
    <n v="0"/>
    <m/>
    <s v="Gyöngyös"/>
    <d v="2026-03-07T00:00:00"/>
    <x v="311"/>
    <x v="0"/>
    <s v="Kelemen-Team"/>
    <s v="utánpótlás"/>
    <s v="gyerek"/>
    <m/>
  </r>
  <r>
    <x v="2"/>
    <n v="2"/>
    <n v="292"/>
    <s v="Kumite"/>
    <s v="Kumite, -, 30-35 kg, Gyerek 1. (9-10"/>
    <x v="23"/>
    <s v="4"/>
    <s v="4 fős körmérkőzés"/>
    <s v="1"/>
    <s v="Zeke Kata"/>
    <s v="Kelemen-Team"/>
    <s v="HUN"/>
    <n v="6"/>
    <m/>
    <s v="Gyöngyös"/>
    <d v="2026-03-07T00:00:00"/>
    <x v="312"/>
    <x v="0"/>
    <s v="Kelemen-Team"/>
    <s v="utánpótlás"/>
    <s v="gyerek"/>
    <m/>
  </r>
  <r>
    <x v="2"/>
    <n v="2"/>
    <n v="293"/>
    <s v="Kumite"/>
    <s v="Kumite, -, 30-35 kg, Gyerek 1. (9-10"/>
    <x v="23"/>
    <s v="4"/>
    <s v="4 fős körmérkőzés"/>
    <s v="2"/>
    <s v="Bácsmegi Luca"/>
    <s v="Kelemen-Team"/>
    <s v="HUN"/>
    <n v="5"/>
    <m/>
    <s v="Gyöngyös"/>
    <d v="2026-03-07T00:00:00"/>
    <x v="313"/>
    <x v="0"/>
    <s v="Kelemen-Team"/>
    <s v="utánpótlás"/>
    <s v="gyerek"/>
    <m/>
  </r>
  <r>
    <x v="2"/>
    <n v="2"/>
    <n v="294"/>
    <s v="Kumite"/>
    <s v="Kumite, -, 30-35 kg, Gyerek 1. (9-10"/>
    <x v="23"/>
    <s v="4"/>
    <s v="4 fős körmérkőzés"/>
    <s v="3"/>
    <s v="Fekete Alíz"/>
    <s v="Shogun"/>
    <s v="HUN"/>
    <n v="3"/>
    <m/>
    <s v="Gyöngyös"/>
    <d v="2026-03-07T00:00:00"/>
    <x v="314"/>
    <x v="0"/>
    <s v="Shogun"/>
    <s v="utánpótlás"/>
    <s v="gyerek"/>
    <m/>
  </r>
  <r>
    <x v="2"/>
    <n v="2"/>
    <n v="295"/>
    <s v="Kata"/>
    <s v="Kata, -, 0-100 kg, Gyerek 1. (9-10"/>
    <x v="25"/>
    <s v="4"/>
    <s v="4 fős egyenes kiesés + 3. hely"/>
    <s v="1"/>
    <s v="Banyák Léna"/>
    <s v="KYO Fighter SE"/>
    <s v="HUN"/>
    <n v="5"/>
    <m/>
    <s v="Gyöngyös"/>
    <d v="2026-03-07T00:00:00"/>
    <x v="315"/>
    <x v="0"/>
    <s v="KYO Fighter SE"/>
    <s v="utánpótlás"/>
    <s v="gyerek"/>
    <m/>
  </r>
  <r>
    <x v="2"/>
    <n v="2"/>
    <n v="296"/>
    <s v="Kata"/>
    <s v="Kata, -, 0-100 kg, Gyerek 1. (9-10"/>
    <x v="25"/>
    <s v="4"/>
    <s v="4 fős egyenes kiesés + 3. hely"/>
    <s v="2"/>
    <s v="Nándori Leona"/>
    <s v="Kemecse SE"/>
    <s v="HUN"/>
    <n v="4"/>
    <m/>
    <s v="Gyöngyös"/>
    <d v="2026-03-07T00:00:00"/>
    <x v="316"/>
    <x v="0"/>
    <s v="Kemecse SE"/>
    <s v="utánpótlás"/>
    <s v="gyerek"/>
    <m/>
  </r>
  <r>
    <x v="2"/>
    <n v="2"/>
    <n v="297"/>
    <s v="Kata"/>
    <s v="Kata, -, 0-100 kg, Gyerek 1. (9-10"/>
    <x v="25"/>
    <s v="4"/>
    <s v="4 fős egyenes kiesés + 3. hely"/>
    <s v="3"/>
    <s v="Geiger Uzonyi Lilla"/>
    <s v="Kelemen-Team"/>
    <s v="HUN"/>
    <n v="2"/>
    <m/>
    <s v="Gyöngyös"/>
    <d v="2026-03-07T00:00:00"/>
    <x v="317"/>
    <x v="0"/>
    <s v="Kelemen-Team"/>
    <s v="utánpótlás"/>
    <s v="gyerek"/>
    <m/>
  </r>
  <r>
    <x v="2"/>
    <n v="2"/>
    <n v="298"/>
    <s v="Kata"/>
    <s v="Kata, -, 0-100 kg, Gyerek 1. (9-10"/>
    <x v="25"/>
    <s v="4"/>
    <s v="4 fős egyenes kiesés + 3. hely"/>
    <s v="4"/>
    <s v="Fekete Alíz"/>
    <s v="Shogun"/>
    <s v="HUN"/>
    <n v="0"/>
    <m/>
    <s v="Gyöngyös"/>
    <d v="2026-03-07T00:00:00"/>
    <x v="314"/>
    <x v="0"/>
    <s v="Shogun"/>
    <s v="utánpótlás"/>
    <s v="gyerek"/>
    <m/>
  </r>
  <r>
    <x v="2"/>
    <n v="2"/>
    <n v="300"/>
    <s v="Kumite"/>
    <s v="Kumite, -, 0-35 kg, Gyerek 2. (11-12"/>
    <x v="26"/>
    <s v="11"/>
    <s v="16 fős egyenes kiesés"/>
    <s v="1"/>
    <s v="Szabó Alex Dominik"/>
    <s v="Shogun"/>
    <s v="HUN"/>
    <n v="8"/>
    <m/>
    <s v="Gyöngyös"/>
    <d v="2026-03-07T00:00:00"/>
    <x v="318"/>
    <x v="0"/>
    <s v="Shogun"/>
    <s v="utánpótlás"/>
    <s v="gyerek"/>
    <m/>
  </r>
  <r>
    <x v="2"/>
    <n v="2"/>
    <n v="301"/>
    <s v="Kumite"/>
    <s v="Kumite, -, 0-35 kg, Gyerek 2. (11-12"/>
    <x v="26"/>
    <s v="11"/>
    <s v="16 fős egyenes kiesés"/>
    <s v="2"/>
    <s v="Tarr Bence"/>
    <s v="Shogun"/>
    <s v="HUN"/>
    <n v="6"/>
    <m/>
    <s v="Gyöngyös"/>
    <d v="2026-03-07T00:00:00"/>
    <x v="319"/>
    <x v="0"/>
    <s v="Shogun"/>
    <s v="utánpótlás"/>
    <s v="gyerek"/>
    <m/>
  </r>
  <r>
    <x v="2"/>
    <n v="2"/>
    <n v="302"/>
    <s v="Kumite"/>
    <s v="Kumite, -, 0-35 kg, Gyerek 2. (11-12"/>
    <x v="26"/>
    <s v="11"/>
    <s v="16 fős egyenes kiesés"/>
    <s v="3"/>
    <s v="Szűcs Norbert"/>
    <s v="Shogun"/>
    <s v="HUN"/>
    <n v="4"/>
    <m/>
    <s v="Gyöngyös"/>
    <d v="2026-03-07T00:00:00"/>
    <x v="320"/>
    <x v="0"/>
    <s v="Shogun"/>
    <s v="utánpótlás"/>
    <s v="gyerek"/>
    <m/>
  </r>
  <r>
    <x v="2"/>
    <n v="2"/>
    <n v="303"/>
    <s v="Kumite"/>
    <s v="Kumite, -, 0-35 kg, Gyerek 2. (11-12"/>
    <x v="26"/>
    <s v="11"/>
    <s v="16 fős egyenes kiesés"/>
    <s v="3"/>
    <s v="Makai Mór"/>
    <s v="Victory"/>
    <s v="HUN"/>
    <n v="4"/>
    <m/>
    <s v="Gyöngyös"/>
    <d v="2026-03-07T00:00:00"/>
    <x v="321"/>
    <x v="0"/>
    <s v="Victory"/>
    <s v="utánpótlás"/>
    <s v="gyerek"/>
    <m/>
  </r>
  <r>
    <x v="2"/>
    <n v="2"/>
    <n v="304"/>
    <s v="Kumite"/>
    <s v="Kumite, -, 0-35 kg, Gyerek 2. (11-12"/>
    <x v="26"/>
    <s v="11"/>
    <s v="16 fős egyenes kiesés"/>
    <s v="5"/>
    <s v="Kis Olivér"/>
    <s v="KYO Fighter SE"/>
    <s v="HUN"/>
    <n v="2"/>
    <m/>
    <s v="Gyöngyös"/>
    <d v="2026-03-07T00:00:00"/>
    <x v="322"/>
    <x v="0"/>
    <s v="KYO Fighter SE"/>
    <s v="utánpótlás"/>
    <s v="gyerek"/>
    <m/>
  </r>
  <r>
    <x v="2"/>
    <n v="2"/>
    <n v="305"/>
    <s v="Kumite"/>
    <s v="Kumite, -, 0-35 kg, Gyerek 2. (11-12"/>
    <x v="26"/>
    <s v="11"/>
    <s v="16 fős egyenes kiesés"/>
    <s v="6"/>
    <s v="Berényi Milán"/>
    <s v="Shogun"/>
    <s v="HUN"/>
    <n v="0"/>
    <s v="nem volt nyertes mérkőzése"/>
    <s v="Gyöngyös"/>
    <d v="2026-03-07T00:00:00"/>
    <x v="323"/>
    <x v="0"/>
    <s v="Shogun"/>
    <s v="utánpótlás"/>
    <s v="gyerek"/>
    <m/>
  </r>
  <r>
    <x v="2"/>
    <n v="2"/>
    <n v="306"/>
    <s v="Kumite"/>
    <s v="Kumite, -, 0-35 kg, Gyerek 2. (11-12"/>
    <x v="26"/>
    <s v="11"/>
    <s v="16 fős egyenes kiesés"/>
    <s v="7-8"/>
    <s v="Pajkos Dominik"/>
    <s v="Shogun"/>
    <s v="HUN"/>
    <n v="0"/>
    <s v="nem volt nyertes mérkőzése"/>
    <s v="Gyöngyös"/>
    <d v="2026-03-07T00:00:00"/>
    <x v="324"/>
    <x v="0"/>
    <s v="Shogun"/>
    <s v="utánpótlás"/>
    <s v="gyerek"/>
    <m/>
  </r>
  <r>
    <x v="2"/>
    <n v="2"/>
    <n v="307"/>
    <s v="Kumite"/>
    <s v="Kumite, -, 0-35 kg, Gyerek 2. (11-12"/>
    <x v="26"/>
    <s v="11"/>
    <s v="16 fős egyenes kiesés"/>
    <s v="7-8"/>
    <s v="Ungai Csaba"/>
    <s v="Hajdúszoboszló"/>
    <s v="HUN"/>
    <n v="2"/>
    <m/>
    <s v="Gyöngyös"/>
    <d v="2026-03-07T00:00:00"/>
    <x v="325"/>
    <x v="0"/>
    <s v="Hajdúszoboszló"/>
    <s v="utánpótlás"/>
    <s v="gyerek"/>
    <m/>
  </r>
  <r>
    <x v="2"/>
    <n v="2"/>
    <n v="308"/>
    <s v="Kumite"/>
    <s v="Kumite, -, 0-35 kg, Gyerek 2. (11-12"/>
    <x v="26"/>
    <s v="11"/>
    <s v="16 fős egyenes kiesés"/>
    <s v="11-16"/>
    <s v="Török Márton Ignác"/>
    <s v="Kelemen-Team"/>
    <s v="HUN"/>
    <n v="0"/>
    <m/>
    <s v="Gyöngyös"/>
    <d v="2026-03-07T00:00:00"/>
    <x v="326"/>
    <x v="0"/>
    <s v="Kelemen-Team"/>
    <s v="utánpótlás"/>
    <s v="gyerek"/>
    <m/>
  </r>
  <r>
    <x v="2"/>
    <n v="2"/>
    <n v="309"/>
    <s v="Kumite"/>
    <s v="Kumite, -, 0-35 kg, Gyerek 2. (11-12"/>
    <x v="26"/>
    <s v="11"/>
    <s v="16 fős egyenes kiesés"/>
    <s v="11-16"/>
    <s v="Gulya Mátyás János"/>
    <s v="Kelemen-Team"/>
    <s v="HUN"/>
    <n v="0"/>
    <m/>
    <s v="Gyöngyös"/>
    <d v="2026-03-07T00:00:00"/>
    <x v="327"/>
    <x v="0"/>
    <s v="Kelemen-Team"/>
    <s v="utánpótlás"/>
    <s v="gyerek"/>
    <m/>
  </r>
  <r>
    <x v="2"/>
    <n v="2"/>
    <n v="310"/>
    <s v="Kumite"/>
    <s v="Kumite, -, 0-35 kg, Gyerek 2. (11-12"/>
    <x v="26"/>
    <s v="11"/>
    <s v="16 fős egyenes kiesés"/>
    <s v="11-16"/>
    <s v="Jaksa György"/>
    <s v="Victory"/>
    <s v="HUN"/>
    <n v="0"/>
    <m/>
    <s v="Gyöngyös"/>
    <d v="2026-03-07T00:00:00"/>
    <x v="328"/>
    <x v="0"/>
    <s v="Victory"/>
    <s v="utánpótlás"/>
    <s v="gyerek"/>
    <m/>
  </r>
  <r>
    <x v="2"/>
    <n v="2"/>
    <n v="311"/>
    <s v="Kumite"/>
    <s v="Kumite, -, 35-40 kg, Gyerek 2. (11-12"/>
    <x v="27"/>
    <s v="5"/>
    <s v="5 fős körmérkőzés"/>
    <s v="1"/>
    <s v="Sádt Zénó"/>
    <s v="Buke Reikon HRSE"/>
    <s v="HUN"/>
    <n v="8"/>
    <m/>
    <s v="Gyöngyös"/>
    <d v="2026-03-07T00:00:00"/>
    <x v="329"/>
    <x v="0"/>
    <s v="Buke Reikon HRSE"/>
    <s v="utánpótlás"/>
    <s v="gyerek"/>
    <m/>
  </r>
  <r>
    <x v="2"/>
    <n v="2"/>
    <n v="313"/>
    <s v="Kumite"/>
    <s v="Kumite, -, 35-40 kg, Gyerek 2. (11-12"/>
    <x v="27"/>
    <s v="5"/>
    <s v="5 fős körmérkőzés"/>
    <n v="2"/>
    <s v="Eszenyi Barnabás"/>
    <s v="Shogun"/>
    <s v="HUN"/>
    <n v="6"/>
    <m/>
    <s v="Gyöngyös"/>
    <d v="2026-03-07T00:00:00"/>
    <x v="330"/>
    <x v="0"/>
    <s v="Shogun"/>
    <s v="utánpótlás"/>
    <s v="gyerek"/>
    <m/>
  </r>
  <r>
    <x v="2"/>
    <n v="2"/>
    <n v="312"/>
    <s v="Kumite"/>
    <s v="Kumite, -, 35-40 kg, Gyerek 2. (11-12"/>
    <x v="27"/>
    <s v="5"/>
    <s v="5 fős körmérkőzés"/>
    <n v="3"/>
    <s v="Héder Patrik"/>
    <s v="Bátor KSE"/>
    <s v="HUN"/>
    <n v="4"/>
    <m/>
    <s v="Gyöngyös"/>
    <d v="2026-03-07T00:00:00"/>
    <x v="331"/>
    <x v="0"/>
    <s v="Bátor KSE"/>
    <s v="utánpótlás"/>
    <s v="gyerek"/>
    <m/>
  </r>
  <r>
    <x v="2"/>
    <n v="2"/>
    <n v="313"/>
    <s v="Kumite"/>
    <s v="Kumite, -, 35-40 kg, Gyerek 2. (11-12"/>
    <x v="27"/>
    <s v="5"/>
    <s v="5 fős körmérkőzés"/>
    <n v="4"/>
    <s v="Kiss Adrián"/>
    <s v="Keizoku SE"/>
    <s v="HUN"/>
    <n v="3"/>
    <m/>
    <s v="Gyöngyös"/>
    <d v="2026-03-07T00:00:00"/>
    <x v="332"/>
    <x v="0"/>
    <s v="Keizoku SE"/>
    <s v="utánpótlás"/>
    <s v="gyerek"/>
    <m/>
  </r>
  <r>
    <x v="2"/>
    <n v="2"/>
    <n v="313"/>
    <s v="Kumite"/>
    <s v="Kumite, -, 35-40 kg, Gyerek 2. (11-12"/>
    <x v="27"/>
    <s v="5"/>
    <s v="5 fős körmérkőzés"/>
    <n v="5"/>
    <s v="Hegedűs Botond"/>
    <s v="Keizoku SE"/>
    <s v="HUN"/>
    <n v="2"/>
    <m/>
    <s v="Gyöngyös"/>
    <d v="2026-03-07T00:00:00"/>
    <x v="333"/>
    <x v="0"/>
    <s v="Keizoku SE"/>
    <s v="utánpótlás"/>
    <s v="gyerek"/>
    <m/>
  </r>
  <r>
    <x v="2"/>
    <n v="2"/>
    <n v="314"/>
    <s v="Kumite"/>
    <s v="Kumite, -, 45-55 kg, Gyerek 2. (11-12"/>
    <x v="29"/>
    <s v="11"/>
    <s v="16 fős egyenes kiesés"/>
    <s v="1"/>
    <s v="Zeke Dávid"/>
    <s v="Kelemen-Team"/>
    <s v="HUN"/>
    <n v="8"/>
    <m/>
    <s v="Gyöngyös"/>
    <d v="2026-03-07T00:00:00"/>
    <x v="334"/>
    <x v="0"/>
    <s v="Kelemen-Team"/>
    <s v="utánpótlás"/>
    <s v="gyerek"/>
    <m/>
  </r>
  <r>
    <x v="2"/>
    <n v="2"/>
    <n v="315"/>
    <s v="Kumite"/>
    <s v="Kumite, -, 45-55 kg, Gyerek 2. (11-12"/>
    <x v="29"/>
    <s v="11"/>
    <s v="16 fős egyenes kiesés"/>
    <s v="2"/>
    <s v="Némethy Balázs"/>
    <s v="Shogun"/>
    <s v="HUN"/>
    <n v="6"/>
    <m/>
    <s v="Gyöngyös"/>
    <d v="2026-03-07T00:00:00"/>
    <x v="335"/>
    <x v="0"/>
    <s v="Shogun"/>
    <s v="utánpótlás"/>
    <s v="gyerek"/>
    <m/>
  </r>
  <r>
    <x v="2"/>
    <n v="2"/>
    <n v="316"/>
    <s v="Kumite"/>
    <s v="Kumite, -, 45-55 kg, Gyerek 2. (11-12"/>
    <x v="29"/>
    <s v="11"/>
    <s v="16 fős egyenes kiesés"/>
    <s v="3"/>
    <s v="Farkas Kristóf"/>
    <s v="Buke Reikon HRSE"/>
    <s v="HUN"/>
    <n v="4"/>
    <m/>
    <s v="Gyöngyös"/>
    <d v="2026-03-07T00:00:00"/>
    <x v="336"/>
    <x v="0"/>
    <s v="Buke Reikon HRSE"/>
    <s v="utánpótlás"/>
    <s v="gyerek"/>
    <m/>
  </r>
  <r>
    <x v="2"/>
    <n v="2"/>
    <n v="317"/>
    <s v="Kumite"/>
    <s v="Kumite, -, 45-55 kg, Gyerek 2. (11-12"/>
    <x v="29"/>
    <s v="11"/>
    <s v="16 fős egyenes kiesés"/>
    <s v="3"/>
    <s v="Szabó Zsombor"/>
    <s v="Buke Reikon HRSE"/>
    <s v="HUN"/>
    <n v="4"/>
    <m/>
    <s v="Gyöngyös"/>
    <d v="2026-03-07T00:00:00"/>
    <x v="337"/>
    <x v="0"/>
    <s v="Buke Reikon HRSE"/>
    <s v="utánpótlás"/>
    <s v="gyerek"/>
    <m/>
  </r>
  <r>
    <x v="2"/>
    <n v="2"/>
    <n v="318"/>
    <s v="Kumite"/>
    <s v="Kumite, -, 45-55 kg, Gyerek 2. (11-12"/>
    <x v="29"/>
    <s v="11"/>
    <s v="16 fős egyenes kiesés"/>
    <s v="5"/>
    <s v="Zádori Zénó "/>
    <s v="Buke Reikon HRSE"/>
    <s v="HUN"/>
    <n v="0"/>
    <s v="nem volt nyertes mérkőzése"/>
    <s v="Gyöngyös"/>
    <d v="2026-03-07T00:00:00"/>
    <x v="338"/>
    <x v="0"/>
    <s v="Buke Reikon HRSE"/>
    <s v="utánpótlás"/>
    <s v="gyerek"/>
    <m/>
  </r>
  <r>
    <x v="2"/>
    <n v="2"/>
    <n v="319"/>
    <s v="Kumite"/>
    <s v="Kumite, -, 45-55 kg, Gyerek 2. (11-12"/>
    <x v="29"/>
    <s v="11"/>
    <s v="16 fős egyenes kiesés"/>
    <s v="6"/>
    <s v="Sztarek Benett"/>
    <s v="Buke Reikon HRSE"/>
    <s v="HUN"/>
    <n v="0"/>
    <s v="nem volt nyertes mérkőzése"/>
    <s v="Gyöngyös"/>
    <d v="2026-03-07T00:00:00"/>
    <x v="339"/>
    <x v="0"/>
    <s v="Buke Reikon HRSE"/>
    <s v="utánpótlás"/>
    <s v="gyerek"/>
    <m/>
  </r>
  <r>
    <x v="2"/>
    <n v="2"/>
    <n v="320"/>
    <s v="Kumite"/>
    <s v="Kumite, -, 45-55 kg, Gyerek 2. (11-12"/>
    <x v="29"/>
    <s v="11"/>
    <s v="16 fős egyenes kiesés"/>
    <s v="7-8"/>
    <s v="Kiss István"/>
    <s v="Derecske BUDO"/>
    <s v="HUN"/>
    <n v="0"/>
    <s v="nem volt nyertes mérkőzése"/>
    <s v="Gyöngyös"/>
    <d v="2026-03-07T00:00:00"/>
    <x v="340"/>
    <x v="0"/>
    <s v="Derecske BUDO"/>
    <s v="utánpótlás"/>
    <s v="gyerek"/>
    <m/>
  </r>
  <r>
    <x v="2"/>
    <n v="2"/>
    <n v="321"/>
    <s v="Kumite"/>
    <s v="Kumite, -, 45-55 kg, Gyerek 2. (11-12"/>
    <x v="29"/>
    <s v="11"/>
    <s v="16 fős egyenes kiesés"/>
    <s v="7-8"/>
    <s v="Kiss Levente"/>
    <s v="Derecske BUDO"/>
    <s v="HUN"/>
    <n v="2"/>
    <m/>
    <s v="Gyöngyös"/>
    <d v="2026-03-07T00:00:00"/>
    <x v="341"/>
    <x v="0"/>
    <s v="Derecske BUDO"/>
    <s v="utánpótlás"/>
    <s v="gyerek"/>
    <m/>
  </r>
  <r>
    <x v="2"/>
    <n v="2"/>
    <n v="322"/>
    <s v="Kumite"/>
    <s v="Kumite, -, 45-55 kg, Gyerek 2. (11-12"/>
    <x v="29"/>
    <s v="11"/>
    <s v="16 fős egyenes kiesés"/>
    <s v="9"/>
    <s v="Gaál Botond Kolos"/>
    <s v="Bátor KSE"/>
    <s v="HUN"/>
    <n v="0"/>
    <m/>
    <s v="Gyöngyös"/>
    <d v="2026-03-07T00:00:00"/>
    <x v="342"/>
    <x v="0"/>
    <s v="Bátor KSE"/>
    <s v="utánpótlás"/>
    <s v="gyerek"/>
    <m/>
  </r>
  <r>
    <x v="2"/>
    <n v="2"/>
    <n v="323"/>
    <s v="Kumite"/>
    <s v="Kumite, -, 45-55 kg, Gyerek 2. (11-12"/>
    <x v="29"/>
    <s v="11"/>
    <s v="16 fős egyenes kiesés"/>
    <s v="10"/>
    <s v="Simon Titusz"/>
    <s v="Buke Reikon HRSE"/>
    <s v="HUN"/>
    <n v="0"/>
    <m/>
    <s v="Gyöngyös"/>
    <d v="2026-03-07T00:00:00"/>
    <x v="343"/>
    <x v="0"/>
    <s v="Buke Reikon HRSE"/>
    <s v="utánpótlás"/>
    <s v="gyerek"/>
    <m/>
  </r>
  <r>
    <x v="2"/>
    <n v="2"/>
    <n v="324"/>
    <s v="Kumite"/>
    <s v="Kumite, -, 45-55 kg, Gyerek 2. (11-12"/>
    <x v="29"/>
    <s v="11"/>
    <s v="16 fős egyenes kiesés"/>
    <s v="11-16"/>
    <s v="Eszenyi Tamás Zsolt"/>
    <s v="Bátor KSE"/>
    <s v="HUN"/>
    <n v="0"/>
    <m/>
    <s v="Gyöngyös"/>
    <d v="2026-03-07T00:00:00"/>
    <x v="344"/>
    <x v="0"/>
    <s v="Bátor KSE"/>
    <s v="utánpótlás"/>
    <s v="gyerek"/>
    <m/>
  </r>
  <r>
    <x v="2"/>
    <n v="2"/>
    <n v="325"/>
    <s v="Kumite"/>
    <s v="Kumite, -, 55-999 kg, Gyerek 2. (11-12"/>
    <x v="30"/>
    <s v="9"/>
    <s v="16 fős egyenes kiesés"/>
    <s v="1"/>
    <s v="Rajmon Tamás"/>
    <s v="Victory"/>
    <s v="HUN"/>
    <n v="8"/>
    <m/>
    <s v="Gyöngyös"/>
    <d v="2026-03-07T00:00:00"/>
    <x v="345"/>
    <x v="0"/>
    <s v="Victory"/>
    <s v="utánpótlás"/>
    <s v="gyerek"/>
    <m/>
  </r>
  <r>
    <x v="2"/>
    <n v="2"/>
    <n v="326"/>
    <s v="Kumite"/>
    <s v="Kumite, -, 55-999 kg, Gyerek 2. (11-12"/>
    <x v="30"/>
    <s v="9"/>
    <s v="16 fős egyenes kiesés"/>
    <s v="2"/>
    <s v="Petróczki Farkas"/>
    <s v="Bátor KSE"/>
    <s v="HUN"/>
    <n v="6"/>
    <m/>
    <s v="Gyöngyös"/>
    <d v="2026-03-07T00:00:00"/>
    <x v="346"/>
    <x v="0"/>
    <s v="Bátor KSE"/>
    <s v="utánpótlás"/>
    <s v="gyerek"/>
    <m/>
  </r>
  <r>
    <x v="2"/>
    <n v="2"/>
    <n v="327"/>
    <s v="Kumite"/>
    <s v="Kumite, -, 55-999 kg, Gyerek 2. (11-12"/>
    <x v="30"/>
    <s v="9"/>
    <s v="16 fős egyenes kiesés"/>
    <s v="3"/>
    <s v="Bervanger Bálint"/>
    <s v="Shogun"/>
    <s v="HUN"/>
    <n v="4"/>
    <m/>
    <s v="Gyöngyös"/>
    <d v="2026-03-07T00:00:00"/>
    <x v="347"/>
    <x v="0"/>
    <s v="Shogun"/>
    <s v="utánpótlás"/>
    <s v="gyerek"/>
    <m/>
  </r>
  <r>
    <x v="2"/>
    <n v="2"/>
    <n v="328"/>
    <s v="Kumite"/>
    <s v="Kumite, -, 55-999 kg, Gyerek 2. (11-12"/>
    <x v="30"/>
    <s v="9"/>
    <s v="16 fős egyenes kiesés"/>
    <s v="3"/>
    <s v="Gyuricska Benedek"/>
    <s v="Shogun"/>
    <s v="HUN"/>
    <n v="4"/>
    <m/>
    <s v="Gyöngyös"/>
    <d v="2026-03-07T00:00:00"/>
    <x v="348"/>
    <x v="0"/>
    <s v="Shogun"/>
    <s v="utánpótlás"/>
    <s v="gyerek"/>
    <m/>
  </r>
  <r>
    <x v="2"/>
    <n v="2"/>
    <n v="329"/>
    <s v="Kumite"/>
    <s v="Kumite, -, 55-999 kg, Gyerek 2. (11-12"/>
    <x v="30"/>
    <s v="9"/>
    <s v="16 fős egyenes kiesés"/>
    <s v="5"/>
    <s v="Berki Tamás"/>
    <s v="Victory"/>
    <s v="HUN"/>
    <n v="0"/>
    <s v="nem volt nyertes mérkőzése"/>
    <s v="Gyöngyös"/>
    <d v="2026-03-07T00:00:00"/>
    <x v="349"/>
    <x v="0"/>
    <s v="Victory"/>
    <s v="utánpótlás"/>
    <s v="gyerek"/>
    <m/>
  </r>
  <r>
    <x v="2"/>
    <n v="2"/>
    <n v="330"/>
    <s v="Kumite"/>
    <s v="Kumite, -, 55-999 kg, Gyerek 2. (11-12"/>
    <x v="30"/>
    <s v="9"/>
    <s v="16 fős egyenes kiesés"/>
    <s v="6"/>
    <s v="Tóth Marcell Kevin"/>
    <s v="Nozomu Dojo"/>
    <s v="HUN"/>
    <n v="2"/>
    <m/>
    <s v="Gyöngyös"/>
    <d v="2026-03-07T00:00:00"/>
    <x v="350"/>
    <x v="0"/>
    <s v="Nozomu Dojo"/>
    <s v="utánpótlás"/>
    <s v="gyerek"/>
    <m/>
  </r>
  <r>
    <x v="2"/>
    <n v="2"/>
    <n v="331"/>
    <s v="Kumite"/>
    <s v="Kumite, -, 55-999 kg, Gyerek 2. (11-12"/>
    <x v="30"/>
    <s v="9"/>
    <s v="16 fős egyenes kiesés"/>
    <s v="7-8"/>
    <s v="Szabó Bence"/>
    <s v="Shogun"/>
    <s v="HUN"/>
    <n v="0"/>
    <s v="nem volt nyertes mérkőzése"/>
    <s v="Gyöngyös"/>
    <d v="2026-03-07T00:00:00"/>
    <x v="33"/>
    <x v="0"/>
    <s v="Shogun"/>
    <s v="utánpótlás"/>
    <s v="gyerek"/>
    <m/>
  </r>
  <r>
    <x v="2"/>
    <n v="2"/>
    <n v="332"/>
    <s v="Kumite"/>
    <s v="Kumite, -, 55-999 kg, Gyerek 2. (11-12"/>
    <x v="30"/>
    <s v="9"/>
    <s v="16 fős egyenes kiesés"/>
    <s v="7-8"/>
    <s v="Jagyugy Zalán"/>
    <s v="Kelemen-Team"/>
    <s v="HUN"/>
    <n v="0"/>
    <s v="nem volt nyertes mérkőzése"/>
    <s v="Gyöngyös"/>
    <d v="2026-03-07T00:00:00"/>
    <x v="351"/>
    <x v="0"/>
    <s v="Kelemen-Team"/>
    <s v="utánpótlás"/>
    <s v="gyerek"/>
    <m/>
  </r>
  <r>
    <x v="2"/>
    <n v="2"/>
    <n v="333"/>
    <s v="Kumite"/>
    <s v="Kumite, -, 55-999 kg, Gyerek 2. (11-12"/>
    <x v="30"/>
    <s v="9"/>
    <s v="16 fős egyenes kiesés"/>
    <s v="11-16"/>
    <s v="Kurucz Árpád Soma"/>
    <s v="Victory"/>
    <s v="HUN"/>
    <n v="0"/>
    <m/>
    <s v="Gyöngyös"/>
    <d v="2026-03-07T00:00:00"/>
    <x v="352"/>
    <x v="0"/>
    <s v="Victory"/>
    <s v="utánpótlás"/>
    <s v="gyerek"/>
    <m/>
  </r>
  <r>
    <x v="2"/>
    <n v="2"/>
    <n v="334"/>
    <s v="Kata"/>
    <s v="Kata, -, 0-100 kg, Gyerek 2. (11-12"/>
    <x v="31"/>
    <s v="17"/>
    <s v="32 fős egyenes kiesés"/>
    <s v="1"/>
    <s v="Tarr Bence"/>
    <s v="Shogun"/>
    <s v="HUN"/>
    <n v="8"/>
    <m/>
    <s v="Gyöngyös"/>
    <d v="2026-03-07T00:00:00"/>
    <x v="319"/>
    <x v="0"/>
    <s v="Shogun"/>
    <s v="utánpótlás"/>
    <s v="gyerek"/>
    <m/>
  </r>
  <r>
    <x v="2"/>
    <n v="2"/>
    <n v="335"/>
    <s v="Kata"/>
    <s v="Kata, -, 0-100 kg, Gyerek 2. (11-12"/>
    <x v="31"/>
    <s v="17"/>
    <s v="32 fős egyenes kiesés"/>
    <s v="2"/>
    <s v="Hegedűs Botond"/>
    <s v="Keizoku SE"/>
    <s v="HUN"/>
    <n v="6"/>
    <m/>
    <s v="Gyöngyös"/>
    <d v="2026-03-07T00:00:00"/>
    <x v="333"/>
    <x v="0"/>
    <s v="Keizoku SE"/>
    <s v="utánpótlás"/>
    <s v="gyerek"/>
    <m/>
  </r>
  <r>
    <x v="2"/>
    <n v="2"/>
    <n v="336"/>
    <s v="Kata"/>
    <s v="Kata, -, 0-100 kg, Gyerek 2. (11-12"/>
    <x v="31"/>
    <s v="17"/>
    <s v="32 fős egyenes kiesés"/>
    <s v="3"/>
    <s v="Eszenyi Barnabás"/>
    <s v="Shogun"/>
    <s v="HUN"/>
    <n v="4"/>
    <m/>
    <s v="Gyöngyös"/>
    <d v="2026-03-07T00:00:00"/>
    <x v="330"/>
    <x v="0"/>
    <s v="Shogun"/>
    <s v="utánpótlás"/>
    <s v="gyerek"/>
    <m/>
  </r>
  <r>
    <x v="2"/>
    <n v="2"/>
    <n v="337"/>
    <s v="Kata"/>
    <s v="Kata, -, 0-100 kg, Gyerek 2. (11-12"/>
    <x v="31"/>
    <s v="17"/>
    <s v="32 fős egyenes kiesés"/>
    <s v="3"/>
    <s v="Bervanger Bálint"/>
    <s v="Shogun"/>
    <s v="HUN"/>
    <n v="4"/>
    <m/>
    <s v="Gyöngyös"/>
    <d v="2026-03-07T00:00:00"/>
    <x v="347"/>
    <x v="0"/>
    <s v="Shogun"/>
    <s v="utánpótlás"/>
    <s v="gyerek"/>
    <m/>
  </r>
  <r>
    <x v="2"/>
    <n v="2"/>
    <n v="338"/>
    <s v="Kata"/>
    <s v="Kata, -, 0-100 kg, Gyerek 2. (11-12"/>
    <x v="31"/>
    <s v="17"/>
    <s v="32 fős egyenes kiesés"/>
    <s v="5"/>
    <s v="Szűcs Norbert"/>
    <s v="Shogun"/>
    <s v="HUN"/>
    <n v="2"/>
    <m/>
    <s v="Gyöngyös"/>
    <d v="2026-03-07T00:00:00"/>
    <x v="320"/>
    <x v="0"/>
    <s v="Shogun"/>
    <s v="utánpótlás"/>
    <s v="gyerek"/>
    <m/>
  </r>
  <r>
    <x v="2"/>
    <n v="2"/>
    <n v="339"/>
    <s v="Kata"/>
    <s v="Kata, -, 0-100 kg, Gyerek 2. (11-12"/>
    <x v="31"/>
    <s v="17"/>
    <s v="32 fős egyenes kiesés"/>
    <s v="6"/>
    <s v="Berényi Milán"/>
    <s v="Shogun"/>
    <s v="HUN"/>
    <n v="2"/>
    <m/>
    <s v="Gyöngyös"/>
    <d v="2026-03-07T00:00:00"/>
    <x v="323"/>
    <x v="0"/>
    <s v="Shogun"/>
    <s v="utánpótlás"/>
    <s v="gyerek"/>
    <m/>
  </r>
  <r>
    <x v="2"/>
    <n v="2"/>
    <n v="340"/>
    <s v="Kata"/>
    <s v="Kata, -, 0-100 kg, Gyerek 2. (11-12"/>
    <x v="31"/>
    <s v="17"/>
    <s v="32 fős egyenes kiesés"/>
    <s v="7-8"/>
    <s v="Pajkos Dominik"/>
    <s v="Shogun"/>
    <s v="HUN"/>
    <n v="2"/>
    <m/>
    <s v="Gyöngyös"/>
    <d v="2026-03-07T00:00:00"/>
    <x v="324"/>
    <x v="0"/>
    <s v="Shogun"/>
    <s v="utánpótlás"/>
    <s v="gyerek"/>
    <m/>
  </r>
  <r>
    <x v="2"/>
    <n v="2"/>
    <n v="341"/>
    <s v="Kata"/>
    <s v="Kata, -, 0-100 kg, Gyerek 2. (11-12"/>
    <x v="31"/>
    <s v="17"/>
    <s v="32 fős egyenes kiesés"/>
    <s v="7-8"/>
    <s v="Némethy Balázs"/>
    <s v="Shogun"/>
    <s v="HUN"/>
    <n v="2"/>
    <m/>
    <s v="Gyöngyös"/>
    <d v="2026-03-07T00:00:00"/>
    <x v="335"/>
    <x v="0"/>
    <s v="Shogun"/>
    <s v="utánpótlás"/>
    <s v="gyerek"/>
    <m/>
  </r>
  <r>
    <x v="2"/>
    <n v="2"/>
    <n v="342"/>
    <s v="Kata"/>
    <s v="Kata, -, 0-100 kg, Gyerek 2. (11-12"/>
    <x v="31"/>
    <s v="17"/>
    <s v="32 fős egyenes kiesés"/>
    <s v="9"/>
    <s v="Kiss Adrián"/>
    <s v="Keizoku SE"/>
    <s v="HUN"/>
    <n v="0"/>
    <m/>
    <s v="Gyöngyös"/>
    <d v="2026-03-07T00:00:00"/>
    <x v="332"/>
    <x v="0"/>
    <s v="Keizoku SE"/>
    <s v="utánpótlás"/>
    <s v="gyerek"/>
    <m/>
  </r>
  <r>
    <x v="2"/>
    <n v="2"/>
    <n v="343"/>
    <s v="Kata"/>
    <s v="Kata, -, 0-100 kg, Gyerek 2. (11-12"/>
    <x v="31"/>
    <s v="17"/>
    <s v="32 fős egyenes kiesés"/>
    <s v="10"/>
    <s v="Remenyik Péter"/>
    <s v="Shogun"/>
    <s v="HUN"/>
    <n v="0"/>
    <m/>
    <s v="Gyöngyös"/>
    <d v="2026-03-07T00:00:00"/>
    <x v="353"/>
    <x v="0"/>
    <s v="Shogun"/>
    <s v="utánpótlás"/>
    <s v="gyerek"/>
    <m/>
  </r>
  <r>
    <x v="2"/>
    <n v="2"/>
    <n v="344"/>
    <s v="Kata"/>
    <s v="Kata, -, 0-100 kg, Gyerek 2. (11-12"/>
    <x v="31"/>
    <s v="17"/>
    <s v="32 fős egyenes kiesés"/>
    <s v="11-16"/>
    <s v="Ádám Mátyás Richárd"/>
    <s v="Bendiák Dojo"/>
    <s v="HUN"/>
    <n v="0"/>
    <m/>
    <s v="Gyöngyös"/>
    <d v="2026-03-07T00:00:00"/>
    <x v="354"/>
    <x v="0"/>
    <s v="Bendiák Dojo"/>
    <s v="utánpótlás"/>
    <s v="gyerek"/>
    <m/>
  </r>
  <r>
    <x v="2"/>
    <n v="2"/>
    <n v="345"/>
    <s v="Kata"/>
    <s v="Kata, -, 0-100 kg, Gyerek 2. (11-12"/>
    <x v="31"/>
    <s v="17"/>
    <s v="32 fős egyenes kiesés"/>
    <s v="11-16"/>
    <s v="Kis Olivér"/>
    <s v="KYO Fighter SE"/>
    <s v="HUN"/>
    <n v="0"/>
    <m/>
    <s v="Gyöngyös"/>
    <d v="2026-03-07T00:00:00"/>
    <x v="322"/>
    <x v="0"/>
    <s v="KYO Fighter SE"/>
    <s v="utánpótlás"/>
    <s v="gyerek"/>
    <m/>
  </r>
  <r>
    <x v="2"/>
    <n v="2"/>
    <n v="346"/>
    <s v="Kata"/>
    <s v="Kata, -, 0-100 kg, Gyerek 2. (11-12"/>
    <x v="31"/>
    <s v="17"/>
    <s v="32 fős egyenes kiesés"/>
    <s v="11-16"/>
    <s v="Makai Mór"/>
    <s v="Victory"/>
    <s v="HUN"/>
    <n v="0"/>
    <m/>
    <s v="Gyöngyös"/>
    <d v="2026-03-07T00:00:00"/>
    <x v="321"/>
    <x v="0"/>
    <s v="Victory"/>
    <s v="utánpótlás"/>
    <s v="gyerek"/>
    <m/>
  </r>
  <r>
    <x v="2"/>
    <n v="2"/>
    <n v="347"/>
    <s v="Kata"/>
    <s v="Kata, -, 0-100 kg, Gyerek 2. (11-12"/>
    <x v="31"/>
    <s v="17"/>
    <s v="32 fős egyenes kiesés"/>
    <s v="11-16"/>
    <s v="Jaksa György"/>
    <s v="Victory"/>
    <s v="HUN"/>
    <n v="0"/>
    <m/>
    <s v="Gyöngyös"/>
    <d v="2026-03-07T00:00:00"/>
    <x v="328"/>
    <x v="0"/>
    <s v="Victory"/>
    <s v="utánpótlás"/>
    <s v="gyerek"/>
    <m/>
  </r>
  <r>
    <x v="2"/>
    <n v="2"/>
    <n v="348"/>
    <s v="Kata"/>
    <s v="Kata, -, 0-100 kg, Gyerek 2. (11-12"/>
    <x v="31"/>
    <s v="17"/>
    <s v="32 fős egyenes kiesés"/>
    <s v="11-16"/>
    <s v="Tóth Gergő"/>
    <s v="SONGOKU SE"/>
    <s v="HUN"/>
    <n v="0"/>
    <m/>
    <s v="Gyöngyös"/>
    <d v="2026-03-07T00:00:00"/>
    <x v="355"/>
    <x v="0"/>
    <s v="SONGOKU SE"/>
    <s v="utánpótlás"/>
    <s v="gyerek"/>
    <m/>
  </r>
  <r>
    <x v="2"/>
    <n v="2"/>
    <n v="349"/>
    <s v="Kata"/>
    <s v="Kata, -, 0-100 kg, Gyerek 2. (11-12"/>
    <x v="31"/>
    <s v="17"/>
    <s v="32 fős egyenes kiesés"/>
    <s v="11-16"/>
    <s v="Berki Tamás"/>
    <s v="Victory"/>
    <s v="HUN"/>
    <n v="0"/>
    <m/>
    <s v="Gyöngyös"/>
    <d v="2026-03-07T00:00:00"/>
    <x v="349"/>
    <x v="0"/>
    <s v="Victory"/>
    <s v="utánpótlás"/>
    <s v="gyerek"/>
    <m/>
  </r>
  <r>
    <x v="2"/>
    <n v="2"/>
    <n v="350"/>
    <s v="Kumite"/>
    <s v="Kumite, -, 0-35 kg, Gyerek 2. (11-12"/>
    <x v="32"/>
    <s v="6"/>
    <s v="6 fős vegyes"/>
    <s v="1"/>
    <s v="Ungai Eszter"/>
    <s v="Hajdúszoboszló"/>
    <s v="HUN"/>
    <n v="6"/>
    <m/>
    <s v="Gyöngyös"/>
    <d v="2026-03-07T00:00:00"/>
    <x v="356"/>
    <x v="0"/>
    <s v="Hajdúszoboszló"/>
    <s v="utánpótlás"/>
    <s v="gyerek"/>
    <m/>
  </r>
  <r>
    <x v="2"/>
    <n v="2"/>
    <n v="351"/>
    <s v="Kumite"/>
    <s v="Kumite, -, 0-35 kg, Gyerek 2. (11-12"/>
    <x v="32"/>
    <s v="6"/>
    <s v="6 fős vegyes"/>
    <s v="2"/>
    <s v="Kigó Boróka"/>
    <s v="Victory"/>
    <s v="HUN"/>
    <n v="5"/>
    <m/>
    <s v="Gyöngyös"/>
    <d v="2026-03-07T00:00:00"/>
    <x v="357"/>
    <x v="0"/>
    <s v="Victory"/>
    <s v="utánpótlás"/>
    <s v="gyerek"/>
    <m/>
  </r>
  <r>
    <x v="2"/>
    <n v="2"/>
    <n v="352"/>
    <s v="Kumite"/>
    <s v="Kumite, -, 0-35 kg, Gyerek 2. (11-12"/>
    <x v="32"/>
    <s v="6"/>
    <s v="6 fős vegyes"/>
    <s v="3"/>
    <s v="Fürjesi Eszter"/>
    <s v="Shogun"/>
    <s v="HUN"/>
    <n v="3"/>
    <m/>
    <s v="Gyöngyös"/>
    <d v="2026-03-07T00:00:00"/>
    <x v="358"/>
    <x v="0"/>
    <s v="Shogun"/>
    <s v="utánpótlás"/>
    <s v="gyerek"/>
    <m/>
  </r>
  <r>
    <x v="2"/>
    <n v="2"/>
    <n v="353"/>
    <s v="Kumite"/>
    <s v="Kumite, -, 35-40 kg, Gyerek 2. (11-12"/>
    <x v="27"/>
    <s v="2"/>
    <s v="2 fős egyenes kiesés"/>
    <s v="1"/>
    <s v="Fagbola Esther"/>
    <s v="Victory"/>
    <s v="HUN"/>
    <n v="3"/>
    <m/>
    <s v="Gyöngyös"/>
    <d v="2026-03-07T00:00:00"/>
    <x v="359"/>
    <x v="0"/>
    <s v="Victory"/>
    <s v="utánpótlás"/>
    <s v="gyerek"/>
    <m/>
  </r>
  <r>
    <x v="2"/>
    <n v="2"/>
    <n v="354"/>
    <s v="Kumite"/>
    <s v="Kumite, -, 35-40 kg, Gyerek 2. (11-12"/>
    <x v="27"/>
    <s v="2"/>
    <s v="2 fős egyenes kiesés"/>
    <s v="2"/>
    <s v="Téglási Kamilla"/>
    <s v="Kisvárda KKDOSC"/>
    <s v="HUN"/>
    <n v="0"/>
    <m/>
    <s v="Gyöngyös"/>
    <d v="2026-03-07T00:00:00"/>
    <x v="360"/>
    <x v="0"/>
    <s v="Kisvárda KKDOSC"/>
    <s v="utánpótlás"/>
    <s v="gyerek"/>
    <m/>
  </r>
  <r>
    <x v="2"/>
    <n v="2"/>
    <n v="355"/>
    <s v="Kumite"/>
    <s v="Kumite, -, 45-200 kg, Gyerek 2. (11-12"/>
    <x v="33"/>
    <s v="6"/>
    <s v="6 fős vegyes"/>
    <s v="1"/>
    <s v="Marjai Boglárka"/>
    <s v="Kelemen-Team"/>
    <s v="HUN"/>
    <n v="6"/>
    <m/>
    <s v="Gyöngyös"/>
    <d v="2026-03-07T00:00:00"/>
    <x v="361"/>
    <x v="0"/>
    <s v="Kelemen-Team"/>
    <s v="utánpótlás"/>
    <s v="gyerek"/>
    <m/>
  </r>
  <r>
    <x v="2"/>
    <n v="2"/>
    <n v="356"/>
    <s v="Kumite"/>
    <s v="Kumite, -, 45-200 kg, Gyerek 2. (11-12"/>
    <x v="33"/>
    <s v="6"/>
    <s v="6 fős vegyes"/>
    <s v="2"/>
    <s v="Szabó Lilla"/>
    <s v="ShinzóDojo"/>
    <s v="HUN"/>
    <n v="5"/>
    <m/>
    <s v="Gyöngyös"/>
    <d v="2026-03-07T00:00:00"/>
    <x v="362"/>
    <x v="0"/>
    <s v="ShinzóDojo"/>
    <s v="utánpótlás"/>
    <s v="gyerek"/>
    <m/>
  </r>
  <r>
    <x v="2"/>
    <n v="2"/>
    <n v="357"/>
    <s v="Kumite"/>
    <s v="Kumite, -, 45-200 kg, Gyerek 2. (11-12"/>
    <x v="33"/>
    <s v="6"/>
    <s v="6 fős vegyes"/>
    <s v="3"/>
    <s v="Dászkál Dorottya"/>
    <s v="Shogun"/>
    <s v="HUN"/>
    <n v="3"/>
    <m/>
    <s v="Gyöngyös"/>
    <d v="2026-03-07T00:00:00"/>
    <x v="363"/>
    <x v="0"/>
    <s v="Shogun"/>
    <s v="utánpótlás"/>
    <s v="gyerek"/>
    <m/>
  </r>
  <r>
    <x v="2"/>
    <n v="2"/>
    <n v="358"/>
    <s v="Kata"/>
    <s v="Kata, -, 0-100 kg, Gyerek 2. (11-12"/>
    <x v="35"/>
    <s v="14"/>
    <s v="16 fős egyenes kiesés"/>
    <s v="1"/>
    <s v="Damu Zsanett"/>
    <s v="Kagami"/>
    <s v="HUN"/>
    <n v="6"/>
    <m/>
    <s v="Gyöngyös"/>
    <d v="2026-03-07T00:00:00"/>
    <x v="364"/>
    <x v="0"/>
    <s v="Kagami"/>
    <s v="utánpótlás"/>
    <s v="gyerek"/>
    <m/>
  </r>
  <r>
    <x v="2"/>
    <n v="2"/>
    <n v="359"/>
    <s v="Kata"/>
    <s v="Kata, -, 0-100 kg, Gyerek 2. (11-12"/>
    <x v="35"/>
    <s v="14"/>
    <s v="16 fős egyenes kiesés"/>
    <s v="2"/>
    <s v="MOLNÁR MINKA"/>
    <s v="Victory"/>
    <s v="HUN"/>
    <n v="5"/>
    <m/>
    <s v="Gyöngyös"/>
    <d v="2026-03-07T00:00:00"/>
    <x v="365"/>
    <x v="0"/>
    <s v="Victory"/>
    <s v="utánpótlás"/>
    <s v="gyerek"/>
    <m/>
  </r>
  <r>
    <x v="2"/>
    <n v="2"/>
    <n v="360"/>
    <s v="Kata"/>
    <s v="Kata, -, 0-100 kg, Gyerek 2. (11-12"/>
    <x v="35"/>
    <s v="14"/>
    <s v="16 fős egyenes kiesés"/>
    <s v="3"/>
    <s v="Huszár Hanna"/>
    <s v="Kemecse SE"/>
    <s v="HUN"/>
    <n v="3"/>
    <m/>
    <s v="Gyöngyös"/>
    <d v="2026-03-07T00:00:00"/>
    <x v="366"/>
    <x v="0"/>
    <s v="Kemecse SE"/>
    <s v="utánpótlás"/>
    <s v="gyerek"/>
    <m/>
  </r>
  <r>
    <x v="2"/>
    <n v="2"/>
    <n v="361"/>
    <s v="Kata"/>
    <s v="Kata, -, 0-100 kg, Gyerek 2. (11-12"/>
    <x v="35"/>
    <s v="14"/>
    <s v="16 fős egyenes kiesés"/>
    <s v="3"/>
    <s v="Fagbola Esther"/>
    <s v="Victory"/>
    <s v="HUN"/>
    <n v="3"/>
    <m/>
    <s v="Gyöngyös"/>
    <d v="2026-03-07T00:00:00"/>
    <x v="359"/>
    <x v="0"/>
    <s v="Victory"/>
    <s v="utánpótlás"/>
    <s v="gyerek"/>
    <m/>
  </r>
  <r>
    <x v="2"/>
    <n v="2"/>
    <n v="362"/>
    <s v="Kata"/>
    <s v="Kata, -, 0-100 kg, Gyerek 2. (11-12"/>
    <x v="35"/>
    <s v="14"/>
    <s v="16 fős egyenes kiesés"/>
    <s v="5"/>
    <s v="Kis Emma"/>
    <s v="Shogun"/>
    <s v="HUN"/>
    <n v="1"/>
    <m/>
    <s v="Gyöngyös"/>
    <d v="2026-03-07T00:00:00"/>
    <x v="367"/>
    <x v="0"/>
    <s v="Shogun"/>
    <s v="utánpótlás"/>
    <s v="gyerek"/>
    <m/>
  </r>
  <r>
    <x v="2"/>
    <n v="2"/>
    <n v="363"/>
    <s v="Kata"/>
    <s v="Kata, -, 0-100 kg, Gyerek 2. (11-12"/>
    <x v="35"/>
    <s v="14"/>
    <s v="16 fős egyenes kiesés"/>
    <s v="6"/>
    <s v="Téglási Kamilla"/>
    <s v="Kisvárda KKDOSC"/>
    <s v="HUN"/>
    <n v="1"/>
    <m/>
    <s v="Gyöngyös"/>
    <d v="2026-03-07T00:00:00"/>
    <x v="360"/>
    <x v="0"/>
    <s v="Kisvárda KKDOSC"/>
    <s v="utánpótlás"/>
    <s v="gyerek"/>
    <m/>
  </r>
  <r>
    <x v="2"/>
    <n v="2"/>
    <n v="364"/>
    <s v="Kata"/>
    <s v="Kata, -, 0-100 kg, Gyerek 2. (11-12"/>
    <x v="35"/>
    <s v="14"/>
    <s v="16 fős egyenes kiesés"/>
    <s v="7-8"/>
    <s v="Cserép Nóra"/>
    <s v="Kelemen-Team"/>
    <s v="HUN"/>
    <n v="0"/>
    <s v="nem volt nyertes mérkőzése"/>
    <s v="Gyöngyös"/>
    <d v="2026-03-07T00:00:00"/>
    <x v="368"/>
    <x v="0"/>
    <s v="Kelemen-Team"/>
    <s v="utánpótlás"/>
    <s v="gyerek"/>
    <m/>
  </r>
  <r>
    <x v="2"/>
    <n v="2"/>
    <n v="299"/>
    <s v="Kata"/>
    <s v="Kata, -, 0-100 kg, Gyerek 2. (11-12"/>
    <x v="35"/>
    <s v="14"/>
    <s v="16 fős egyenes kiesés"/>
    <s v="7-8"/>
    <s v="Pista Nóra"/>
    <s v="Bendiák Dojo"/>
    <s v="HUN"/>
    <n v="0"/>
    <s v="nem volt nyertes mérkőzése"/>
    <s v="Gyöngyös"/>
    <d v="2026-03-07T00:00:00"/>
    <x v="369"/>
    <x v="0"/>
    <s v="Bendiák Dojo"/>
    <s v="utánpótlás"/>
    <s v="gyerek"/>
    <m/>
  </r>
  <r>
    <x v="2"/>
    <n v="2"/>
    <n v="365"/>
    <s v="Kata"/>
    <s v="Kata, -, 0-100 kg, Gyerek 2. (11-12"/>
    <x v="35"/>
    <s v="14"/>
    <s v="16 fős egyenes kiesés"/>
    <s v="9"/>
    <s v="Varga Zoé"/>
    <s v="Kemecse SE"/>
    <s v="HUN"/>
    <n v="0"/>
    <m/>
    <s v="Gyöngyös"/>
    <d v="2026-03-07T00:00:00"/>
    <x v="370"/>
    <x v="0"/>
    <s v="Kemecse SE"/>
    <s v="utánpótlás"/>
    <s v="gyerek"/>
    <m/>
  </r>
  <r>
    <x v="2"/>
    <n v="2"/>
    <n v="366"/>
    <s v="Kata"/>
    <s v="Kata, -, 0-100 kg, Gyerek 2. (11-12"/>
    <x v="35"/>
    <s v="14"/>
    <s v="16 fős egyenes kiesés"/>
    <s v="10"/>
    <s v="Fürjesi Eszter"/>
    <s v="Shogun"/>
    <s v="HUN"/>
    <n v="0"/>
    <m/>
    <s v="Gyöngyös"/>
    <d v="2026-03-07T00:00:00"/>
    <x v="358"/>
    <x v="0"/>
    <s v="Shogun"/>
    <s v="utánpótlás"/>
    <s v="gyerek"/>
    <m/>
  </r>
  <r>
    <x v="2"/>
    <n v="2"/>
    <n v="367"/>
    <s v="Kata"/>
    <s v="Kata, -, 0-100 kg, Gyerek 2. (11-12"/>
    <x v="35"/>
    <s v="14"/>
    <s v="16 fős egyenes kiesés"/>
    <s v="11-16"/>
    <s v="Sárközi Nóra"/>
    <s v="Shogun"/>
    <s v="HUN"/>
    <n v="0"/>
    <m/>
    <s v="Gyöngyös"/>
    <d v="2026-03-07T00:00:00"/>
    <x v="371"/>
    <x v="0"/>
    <s v="Shogun"/>
    <s v="utánpótlás"/>
    <s v="gyerek"/>
    <m/>
  </r>
  <r>
    <x v="2"/>
    <n v="2"/>
    <n v="368"/>
    <s v="Kata"/>
    <s v="Kata, -, 0-100 kg, Gyerek 2. (11-12"/>
    <x v="35"/>
    <s v="14"/>
    <s v="16 fős egyenes kiesés"/>
    <s v="11-16"/>
    <s v="Kigó Boróka"/>
    <s v="Victory"/>
    <s v="HUN"/>
    <n v="0"/>
    <m/>
    <s v="Gyöngyös"/>
    <d v="2026-03-07T00:00:00"/>
    <x v="357"/>
    <x v="0"/>
    <s v="Victory"/>
    <s v="utánpótlás"/>
    <s v="gyerek"/>
    <m/>
  </r>
  <r>
    <x v="2"/>
    <n v="2"/>
    <n v="369"/>
    <s v="Kata"/>
    <s v="Kata, -, 0-100 kg, Gyerek 2. (11-12"/>
    <x v="35"/>
    <s v="14"/>
    <s v="16 fős egyenes kiesés"/>
    <s v="11-16"/>
    <s v="Szabó Lilla"/>
    <s v="ShinzóDojo"/>
    <s v="HUN"/>
    <n v="0"/>
    <m/>
    <s v="Gyöngyös"/>
    <d v="2026-03-07T00:00:00"/>
    <x v="362"/>
    <x v="0"/>
    <s v="ShinzóDojo"/>
    <s v="utánpótlás"/>
    <s v="gyerek"/>
    <m/>
  </r>
  <r>
    <x v="2"/>
    <n v="2"/>
    <n v="370"/>
    <s v="Kata"/>
    <s v="Kata, -, 0-100 kg, Gyerek 2. (11-12"/>
    <x v="35"/>
    <s v="14"/>
    <s v="16 fős egyenes kiesés"/>
    <s v="11-16"/>
    <s v="Dászkál Dorottya"/>
    <s v="Shogun"/>
    <s v="HUN"/>
    <n v="0"/>
    <m/>
    <s v="Gyöngyös"/>
    <d v="2026-03-07T00:00:00"/>
    <x v="363"/>
    <x v="0"/>
    <s v="Shogun"/>
    <s v="utánpótlás"/>
    <s v="gyerek"/>
    <m/>
  </r>
  <r>
    <x v="2"/>
    <n v="2"/>
    <n v="371"/>
    <s v="Kumite"/>
    <s v="Kumite, -, 0-40 kg, Serdülő (13-14"/>
    <x v="36"/>
    <s v="5"/>
    <s v="5 fős körmérkőzés"/>
    <s v="1"/>
    <s v="Veress Dávid"/>
    <s v="KHSE"/>
    <s v="HUN"/>
    <n v="8"/>
    <m/>
    <s v="Gyöngyös"/>
    <d v="2026-03-07T00:00:00"/>
    <x v="372"/>
    <x v="0"/>
    <s v="KHSE"/>
    <s v="utánpótlás"/>
    <s v="serdülő"/>
    <m/>
  </r>
  <r>
    <x v="2"/>
    <n v="2"/>
    <n v="372"/>
    <s v="Kumite"/>
    <s v="Kumite, -, 0-40 kg, Serdülő (13-14"/>
    <x v="36"/>
    <s v="5"/>
    <s v="5 fős körmérkőzés"/>
    <s v="2"/>
    <s v="Melczner Márk"/>
    <s v="Victory"/>
    <s v="HUN"/>
    <n v="6"/>
    <m/>
    <s v="Gyöngyös"/>
    <d v="2026-03-07T00:00:00"/>
    <x v="373"/>
    <x v="0"/>
    <s v="Victory"/>
    <s v="utánpótlás"/>
    <s v="serdülő"/>
    <m/>
  </r>
  <r>
    <x v="2"/>
    <n v="2"/>
    <n v="373"/>
    <s v="Kumite"/>
    <s v="Kumite, -, 0-40 kg, Serdülő (13-14"/>
    <x v="36"/>
    <s v="5"/>
    <s v="5 fős körmérkőzés"/>
    <s v="3"/>
    <s v="Kis Ádám Zsolt"/>
    <s v="KYO Fighter SE"/>
    <s v="HUN"/>
    <n v="4"/>
    <m/>
    <s v="Gyöngyös"/>
    <d v="2026-03-07T00:00:00"/>
    <x v="374"/>
    <x v="0"/>
    <s v="KYO Fighter SE"/>
    <s v="utánpótlás"/>
    <s v="serdülő"/>
    <m/>
  </r>
  <r>
    <x v="2"/>
    <n v="2"/>
    <n v="373"/>
    <s v="Kumite"/>
    <s v="Kumite, -, 0-40 kg, Serdülő (13-14"/>
    <x v="36"/>
    <s v="5"/>
    <s v="5 fős körmérkőzés"/>
    <n v="4"/>
    <s v="Andrési Balázs"/>
    <s v="KHSE"/>
    <s v="HUN"/>
    <n v="3"/>
    <m/>
    <s v="Gyöngyös"/>
    <d v="2026-03-07T00:00:00"/>
    <x v="375"/>
    <x v="0"/>
    <s v="KHSE"/>
    <s v="utánpótlás"/>
    <s v="serdülő"/>
    <m/>
  </r>
  <r>
    <x v="2"/>
    <n v="2"/>
    <n v="374"/>
    <s v="Kumite"/>
    <s v="Kumite, -, 40-45 kg, Serdülő (13-14"/>
    <x v="37"/>
    <s v="4"/>
    <s v="4 fős körmérkőzés"/>
    <s v="1"/>
    <s v="Békési Nándor István"/>
    <s v="Shogun"/>
    <s v="HUN"/>
    <n v="6"/>
    <m/>
    <s v="Gyöngyös"/>
    <d v="2026-03-07T00:00:00"/>
    <x v="376"/>
    <x v="0"/>
    <s v="Shogun"/>
    <s v="utánpótlás"/>
    <s v="serdülő"/>
    <m/>
  </r>
  <r>
    <x v="2"/>
    <n v="2"/>
    <n v="375"/>
    <s v="Kumite"/>
    <s v="Kumite, -, 40-45 kg, Serdülő (13-14"/>
    <x v="37"/>
    <s v="4"/>
    <s v="4 fős körmérkőzés"/>
    <s v="2"/>
    <s v="Takács Sárkány Balázs"/>
    <s v="KHSE"/>
    <s v="HUN"/>
    <n v="5"/>
    <m/>
    <s v="Gyöngyös"/>
    <d v="2026-03-07T00:00:00"/>
    <x v="377"/>
    <x v="0"/>
    <s v="KHSE"/>
    <s v="utánpótlás"/>
    <s v="serdülő"/>
    <m/>
  </r>
  <r>
    <x v="2"/>
    <n v="2"/>
    <n v="376"/>
    <s v="Kumite"/>
    <s v="Kumite, -, 40-45 kg, Serdülő (13-14"/>
    <x v="37"/>
    <s v="4"/>
    <s v="4 fős körmérkőzés"/>
    <s v="3"/>
    <s v="Kurucz Tamás Timuzsin"/>
    <s v="Shogun"/>
    <s v="HUN"/>
    <n v="3"/>
    <m/>
    <s v="Gyöngyös"/>
    <d v="2026-03-07T00:00:00"/>
    <x v="378"/>
    <x v="0"/>
    <s v="Shogun"/>
    <s v="utánpótlás"/>
    <s v="serdülő"/>
    <m/>
  </r>
  <r>
    <x v="2"/>
    <n v="2"/>
    <n v="377"/>
    <s v="Kumite"/>
    <s v="Kumite, -, 45-50 kg, Serdülő (13-14"/>
    <x v="38"/>
    <s v="4"/>
    <s v="4 fős körmérkőzés"/>
    <s v="1"/>
    <s v="Pista Áron"/>
    <s v="Bendiák Dojo"/>
    <s v="HUN"/>
    <n v="6"/>
    <m/>
    <s v="Gyöngyös"/>
    <d v="2026-03-07T00:00:00"/>
    <x v="379"/>
    <x v="0"/>
    <s v="Bendiák Dojo"/>
    <s v="utánpótlás"/>
    <s v="serdülő"/>
    <m/>
  </r>
  <r>
    <x v="2"/>
    <n v="2"/>
    <n v="378"/>
    <s v="Kumite"/>
    <s v="Kumite, -, 45-50 kg, Serdülő (13-14"/>
    <x v="38"/>
    <s v="4"/>
    <s v="4 fős körmérkőzés"/>
    <s v="2"/>
    <s v="Remenyik Dániel"/>
    <s v="Shogun"/>
    <s v="HUN"/>
    <n v="5"/>
    <m/>
    <s v="Gyöngyös"/>
    <d v="2026-03-07T00:00:00"/>
    <x v="380"/>
    <x v="0"/>
    <s v="Shogun"/>
    <s v="utánpótlás"/>
    <s v="serdülő"/>
    <m/>
  </r>
  <r>
    <x v="2"/>
    <n v="2"/>
    <n v="379"/>
    <s v="Kumite"/>
    <s v="Kumite, -, 45-50 kg, Serdülő (13-14"/>
    <x v="38"/>
    <s v="4"/>
    <s v="4 fős körmérkőzés"/>
    <s v="3"/>
    <s v="Turcsán Barnabás"/>
    <s v="Borza Dojo"/>
    <s v="HUN"/>
    <n v="3"/>
    <m/>
    <s v="Gyöngyös"/>
    <d v="2026-03-07T00:00:00"/>
    <x v="381"/>
    <x v="1"/>
    <s v="Borza Dojo"/>
    <s v="utánpótlás"/>
    <s v="serdülő"/>
    <m/>
  </r>
  <r>
    <x v="2"/>
    <n v="2"/>
    <n v="379"/>
    <s v="Kumite"/>
    <s v="Kumite, -, 45-50 kg, Serdülő (13-14"/>
    <x v="38"/>
    <s v="4"/>
    <s v="4 fős körmérkőzés"/>
    <n v="4"/>
    <s v="Szymon Fraczek"/>
    <s v="Bátor KSE"/>
    <s v="HUN"/>
    <n v="2"/>
    <s v="volt nyertes mérkőzése"/>
    <s v="Gyöngyös"/>
    <d v="2026-03-07T00:00:00"/>
    <x v="382"/>
    <x v="0"/>
    <s v="Bátor KSE"/>
    <s v="utánpótlás"/>
    <s v="serdülő"/>
    <m/>
  </r>
  <r>
    <x v="2"/>
    <n v="2"/>
    <n v="380"/>
    <s v="Kumite"/>
    <s v="Kumite, -, 50-60 kg, Serdülő (13-14"/>
    <x v="39"/>
    <s v="4"/>
    <s v="4 fős körmérkőzés"/>
    <s v="1"/>
    <s v="Sádt Zétény"/>
    <s v="Buke Reikon HRSE"/>
    <s v="HUN"/>
    <n v="6"/>
    <m/>
    <s v="Gyöngyös"/>
    <d v="2026-03-07T00:00:00"/>
    <x v="383"/>
    <x v="0"/>
    <s v="Buke Reikon HRSE"/>
    <s v="utánpótlás"/>
    <s v="serdülő"/>
    <m/>
  </r>
  <r>
    <x v="2"/>
    <n v="2"/>
    <n v="381"/>
    <s v="Kumite"/>
    <s v="Kumite, -, 50-60 kg, Serdülő (13-14"/>
    <x v="39"/>
    <s v="4"/>
    <s v="4 fős körmérkőzés"/>
    <s v="2"/>
    <s v="Tángyes Ricardo"/>
    <s v="Kisvárda KKDOSC"/>
    <s v="HUN"/>
    <n v="5"/>
    <m/>
    <s v="Gyöngyös"/>
    <d v="2026-03-07T00:00:00"/>
    <x v="384"/>
    <x v="0"/>
    <s v="Kisvárda KKDOSC"/>
    <s v="utánpótlás"/>
    <s v="serdülő"/>
    <m/>
  </r>
  <r>
    <x v="2"/>
    <n v="2"/>
    <n v="382"/>
    <s v="Kumite"/>
    <s v="Kumite, -, 50-60 kg, Serdülő (13-14"/>
    <x v="39"/>
    <s v="4"/>
    <s v="4 fős körmérkőzés"/>
    <s v="3"/>
    <s v="Szutor Levente"/>
    <s v="Shogun"/>
    <s v="HUN"/>
    <n v="3"/>
    <m/>
    <s v="Gyöngyös"/>
    <d v="2026-03-07T00:00:00"/>
    <x v="385"/>
    <x v="0"/>
    <s v="Shogun"/>
    <s v="utánpótlás"/>
    <s v="serdülő"/>
    <m/>
  </r>
  <r>
    <x v="2"/>
    <n v="2"/>
    <n v="383"/>
    <s v="Kumite"/>
    <s v="Kumite, -, 70-999 kg, Serdülő (13-14"/>
    <x v="40"/>
    <s v="4"/>
    <s v="4 fős körmérkőzés"/>
    <s v="1"/>
    <s v="Elek János"/>
    <s v="KHSE"/>
    <s v="HUN"/>
    <n v="6"/>
    <m/>
    <s v="Gyöngyös"/>
    <d v="2026-03-07T00:00:00"/>
    <x v="386"/>
    <x v="0"/>
    <s v="KHSE"/>
    <s v="utánpótlás"/>
    <s v="serdülő"/>
    <m/>
  </r>
  <r>
    <x v="2"/>
    <n v="2"/>
    <n v="384"/>
    <s v="Kumite"/>
    <s v="Kumite, -, 70-999 kg, Serdülő (13-14"/>
    <x v="40"/>
    <s v="4"/>
    <s v="4 fős körmérkőzés"/>
    <s v="2"/>
    <s v="Riczu Bendegúz"/>
    <s v="Nozomu Dojo"/>
    <s v="HUN"/>
    <n v="5"/>
    <m/>
    <s v="Gyöngyös"/>
    <d v="2026-03-07T00:00:00"/>
    <x v="387"/>
    <x v="0"/>
    <s v="Nozomu Dojo"/>
    <s v="utánpótlás"/>
    <s v="serdülő"/>
    <m/>
  </r>
  <r>
    <x v="2"/>
    <n v="2"/>
    <n v="385"/>
    <s v="Kumite"/>
    <s v="Kumite, -, 70-999 kg, Serdülő (13-14"/>
    <x v="40"/>
    <s v="4"/>
    <s v="4 fős körmérkőzés"/>
    <s v="3"/>
    <s v="Virág Marcell Máté"/>
    <s v="KHSE"/>
    <s v="HUN"/>
    <n v="3"/>
    <m/>
    <s v="Gyöngyös"/>
    <d v="2026-03-07T00:00:00"/>
    <x v="388"/>
    <x v="0"/>
    <s v="KHSE"/>
    <s v="utánpótlás"/>
    <s v="serdülő"/>
    <m/>
  </r>
  <r>
    <x v="2"/>
    <n v="2"/>
    <n v="386"/>
    <s v="Kumite"/>
    <s v="Kumite, -, 60-70 kg, Serdülő (13-14"/>
    <x v="41"/>
    <s v="4"/>
    <s v="4 fős körmérkőzés"/>
    <s v="1"/>
    <s v="Száraz Zsombor"/>
    <s v="Derecske BUDO"/>
    <s v="HUN"/>
    <n v="6"/>
    <m/>
    <s v="Gyöngyös"/>
    <d v="2026-03-07T00:00:00"/>
    <x v="389"/>
    <x v="0"/>
    <s v="Derecske BUDO"/>
    <s v="utánpótlás"/>
    <s v="serdülő"/>
    <m/>
  </r>
  <r>
    <x v="2"/>
    <n v="2"/>
    <n v="387"/>
    <s v="Kumite"/>
    <s v="Kumite, -, 60-70 kg, Serdülő (13-14"/>
    <x v="41"/>
    <s v="4"/>
    <s v="4 fős körmérkőzés"/>
    <s v="2"/>
    <s v="Kovács Máté Noel"/>
    <s v="Bátor KSE"/>
    <s v="HUN"/>
    <n v="5"/>
    <s v="körbeverés "/>
    <s v="Gyöngyös"/>
    <d v="2026-03-07T00:00:00"/>
    <x v="390"/>
    <x v="0"/>
    <s v="Bátor KSE"/>
    <s v="utánpótlás"/>
    <s v="serdülő"/>
    <m/>
  </r>
  <r>
    <x v="2"/>
    <n v="2"/>
    <n v="388"/>
    <s v="Kumite"/>
    <s v="Kumite, -, 60-70 kg, Serdülő (13-14"/>
    <x v="41"/>
    <s v="4"/>
    <s v="4 fős körmérkőzés"/>
    <s v="2"/>
    <s v="Tokaji Bocsárd Norbert"/>
    <s v="KHSE"/>
    <s v="HUN"/>
    <n v="5"/>
    <s v="körbeverés "/>
    <s v="Gyöngyös"/>
    <d v="2026-03-07T00:00:00"/>
    <x v="391"/>
    <x v="0"/>
    <s v="KHSE"/>
    <s v="utánpótlás"/>
    <s v="serdülő"/>
    <m/>
  </r>
  <r>
    <x v="2"/>
    <n v="2"/>
    <n v="389"/>
    <s v="Kumite"/>
    <s v="Kumite, -, 60-70 kg, Serdülő (13-14"/>
    <x v="41"/>
    <s v="4"/>
    <s v="4 fős körmérkőzés"/>
    <s v="3"/>
    <s v="Farkas Álmos"/>
    <s v="KYO Fighter SE"/>
    <s v="HUN"/>
    <n v="3"/>
    <s v="körbeverés "/>
    <s v="Gyöngyös"/>
    <d v="2026-03-07T00:00:00"/>
    <x v="392"/>
    <x v="0"/>
    <s v="KYO Fighter SE"/>
    <s v="utánpótlás"/>
    <s v="serdülő"/>
    <m/>
  </r>
  <r>
    <x v="2"/>
    <n v="2"/>
    <n v="390"/>
    <s v="Kata"/>
    <s v="Kata, -, 0-150 kg, Serdülő (13-14"/>
    <x v="42"/>
    <s v="11"/>
    <s v="16 fős egyenes kiesés"/>
    <s v="1"/>
    <s v="Remenyik Dániel"/>
    <s v="Shogun"/>
    <s v="HUN"/>
    <n v="6"/>
    <m/>
    <s v="Gyöngyös"/>
    <d v="2026-03-07T00:00:00"/>
    <x v="380"/>
    <x v="0"/>
    <s v="Shogun"/>
    <s v="utánpótlás"/>
    <s v="serdülő"/>
    <m/>
  </r>
  <r>
    <x v="2"/>
    <n v="2"/>
    <n v="391"/>
    <s v="Kata"/>
    <s v="Kata, -, 0-150 kg, Serdülő (13-14"/>
    <x v="42"/>
    <s v="11"/>
    <s v="16 fős egyenes kiesés"/>
    <s v="2"/>
    <s v="Kis Ádám Zsolt"/>
    <s v="KYO Fighter SE"/>
    <s v="HUN"/>
    <n v="5"/>
    <m/>
    <s v="Gyöngyös"/>
    <d v="2026-03-07T00:00:00"/>
    <x v="374"/>
    <x v="0"/>
    <s v="KYO Fighter SE"/>
    <s v="utánpótlás"/>
    <s v="serdülő"/>
    <m/>
  </r>
  <r>
    <x v="2"/>
    <n v="2"/>
    <n v="392"/>
    <s v="Kata"/>
    <s v="Kata, -, 0-150 kg, Serdülő (13-14"/>
    <x v="42"/>
    <s v="11"/>
    <s v="16 fős egyenes kiesés"/>
    <s v="3"/>
    <s v="Turcsán Barnabás"/>
    <s v="Borza Dojo"/>
    <s v="HUN"/>
    <n v="3"/>
    <m/>
    <s v="Gyöngyös"/>
    <d v="2026-03-07T00:00:00"/>
    <x v="381"/>
    <x v="1"/>
    <s v="Borza Dojo"/>
    <s v="utánpótlás"/>
    <s v="serdülő"/>
    <m/>
  </r>
  <r>
    <x v="2"/>
    <n v="2"/>
    <n v="393"/>
    <s v="Kata"/>
    <s v="Kata, -, 0-150 kg, Serdülő (13-14"/>
    <x v="42"/>
    <s v="11"/>
    <s v="16 fős egyenes kiesés"/>
    <s v="3"/>
    <s v="Avramov Dávid"/>
    <s v="TADASHII "/>
    <s v="HUN"/>
    <n v="3"/>
    <m/>
    <s v="Gyöngyös"/>
    <d v="2026-03-07T00:00:00"/>
    <x v="393"/>
    <x v="1"/>
    <s v="TADASHII "/>
    <s v="utánpótlás"/>
    <s v="serdülő"/>
    <m/>
  </r>
  <r>
    <x v="2"/>
    <n v="2"/>
    <n v="394"/>
    <s v="Kata"/>
    <s v="Kata, -, 0-150 kg, Serdülő (13-14"/>
    <x v="42"/>
    <s v="11"/>
    <s v="16 fős egyenes kiesés"/>
    <s v="5"/>
    <s v="Székely Lázár"/>
    <s v="KYO Fighter SE"/>
    <s v="HUN"/>
    <n v="1"/>
    <m/>
    <s v="Gyöngyös"/>
    <d v="2026-03-07T00:00:00"/>
    <x v="394"/>
    <x v="0"/>
    <s v="KYO Fighter SE"/>
    <s v="utánpótlás"/>
    <s v="serdülő"/>
    <m/>
  </r>
  <r>
    <x v="2"/>
    <n v="2"/>
    <n v="395"/>
    <s v="Kata"/>
    <s v="Kata, -, 0-150 kg, Serdülő (13-14"/>
    <x v="42"/>
    <s v="11"/>
    <s v="16 fős egyenes kiesés"/>
    <s v="6"/>
    <s v="Berényi Bence"/>
    <s v="Shogun"/>
    <s v="HUN"/>
    <n v="0"/>
    <s v="nem volt nyertes mérkőzése"/>
    <s v="Gyöngyös"/>
    <d v="2026-03-07T00:00:00"/>
    <x v="395"/>
    <x v="0"/>
    <s v="Shogun"/>
    <s v="utánpótlás"/>
    <s v="serdülő"/>
    <m/>
  </r>
  <r>
    <x v="2"/>
    <n v="2"/>
    <n v="396"/>
    <s v="Kata"/>
    <s v="Kata, -, 0-150 kg, Serdülő (13-14"/>
    <x v="42"/>
    <s v="11"/>
    <s v="16 fős egyenes kiesés"/>
    <s v="7-8"/>
    <s v="Kurucz Tamás Timuzsin"/>
    <s v="Shogun"/>
    <s v="HUN"/>
    <n v="0"/>
    <s v="nem volt nyertes mérkőzése"/>
    <s v="Gyöngyös"/>
    <d v="2026-03-07T00:00:00"/>
    <x v="378"/>
    <x v="0"/>
    <s v="Shogun"/>
    <s v="utánpótlás"/>
    <s v="serdülő"/>
    <m/>
  </r>
  <r>
    <x v="2"/>
    <n v="2"/>
    <n v="397"/>
    <s v="Kata"/>
    <s v="Kata, -, 0-150 kg, Serdülő (13-14"/>
    <x v="42"/>
    <s v="11"/>
    <s v="16 fős egyenes kiesés"/>
    <s v="7-8"/>
    <s v="Maklaga Norbert"/>
    <s v="Kagami"/>
    <s v="HUN"/>
    <n v="0"/>
    <s v="nem volt nyertes mérkőzése"/>
    <s v="Gyöngyös"/>
    <d v="2026-03-07T00:00:00"/>
    <x v="396"/>
    <x v="0"/>
    <s v="Kagami"/>
    <s v="utánpótlás"/>
    <s v="serdülő"/>
    <m/>
  </r>
  <r>
    <x v="2"/>
    <n v="2"/>
    <n v="398"/>
    <s v="Kata"/>
    <s v="Kata, -, 0-150 kg, Serdülő (13-14"/>
    <x v="42"/>
    <s v="11"/>
    <s v="16 fős egyenes kiesés"/>
    <s v="10"/>
    <s v="Patai Dávid"/>
    <s v="ShinzóDojo"/>
    <s v="HUN"/>
    <n v="0"/>
    <m/>
    <s v="Gyöngyös"/>
    <d v="2026-03-07T00:00:00"/>
    <x v="397"/>
    <x v="0"/>
    <s v="ShinzóDojo"/>
    <s v="utánpótlás"/>
    <s v="serdülő"/>
    <m/>
  </r>
  <r>
    <x v="2"/>
    <n v="2"/>
    <n v="399"/>
    <s v="Kata"/>
    <s v="Kata, -, 0-150 kg, Serdülő (13-14"/>
    <x v="42"/>
    <s v="11"/>
    <s v="16 fős egyenes kiesés"/>
    <s v="11-16"/>
    <s v="Botlik Tibor"/>
    <s v="Nintai KKSE"/>
    <s v="HUN"/>
    <n v="0"/>
    <m/>
    <s v="Gyöngyös"/>
    <d v="2026-03-07T00:00:00"/>
    <x v="398"/>
    <x v="1"/>
    <s v="Nintai KKSE"/>
    <s v="utánpótlás"/>
    <s v="serdülő"/>
    <m/>
  </r>
  <r>
    <x v="2"/>
    <n v="2"/>
    <n v="400"/>
    <s v="Kata"/>
    <s v="Kata, -, 0-150 kg, Serdülő (13-14"/>
    <x v="42"/>
    <s v="11"/>
    <s v="16 fős egyenes kiesés"/>
    <s v="11-16"/>
    <s v="Kovács Mihály Ágoston"/>
    <s v="Borza Dojo"/>
    <s v="HUN"/>
    <n v="0"/>
    <m/>
    <s v="Gyöngyös"/>
    <d v="2026-03-07T00:00:00"/>
    <x v="399"/>
    <x v="1"/>
    <s v="Borza Dojo"/>
    <s v="utánpótlás"/>
    <s v="serdülő"/>
    <m/>
  </r>
  <r>
    <x v="2"/>
    <n v="2"/>
    <n v="401"/>
    <s v="Kumite"/>
    <s v="Kumite, -, 45-55 kg, Serdülő (13-14"/>
    <x v="44"/>
    <s v="6"/>
    <s v="6 fős vegyes"/>
    <s v="1"/>
    <s v="Sóskuti Lili"/>
    <s v="Keizoku SE"/>
    <s v="HUN"/>
    <n v="6"/>
    <m/>
    <s v="Gyöngyös"/>
    <d v="2026-03-07T00:00:00"/>
    <x v="400"/>
    <x v="0"/>
    <s v="Keizoku SE"/>
    <s v="utánpótlás"/>
    <s v="serdülő"/>
    <m/>
  </r>
  <r>
    <x v="2"/>
    <n v="2"/>
    <n v="402"/>
    <s v="Kumite"/>
    <s v="Kumite, -, 45-55 kg, Serdülő (13-14"/>
    <x v="44"/>
    <s v="6"/>
    <s v="6 fős vegyes"/>
    <s v="2"/>
    <s v="Galyas Edit"/>
    <s v="Nyíradonyi KKE"/>
    <s v="HUN"/>
    <n v="5"/>
    <m/>
    <s v="Gyöngyös"/>
    <d v="2026-03-07T00:00:00"/>
    <x v="401"/>
    <x v="0"/>
    <s v="Nyíradonyi KKE"/>
    <s v="utánpótlás"/>
    <s v="serdülő"/>
    <m/>
  </r>
  <r>
    <x v="2"/>
    <n v="2"/>
    <n v="403"/>
    <s v="Kumite"/>
    <s v="Kumite, -, 45-55 kg, Serdülő (13-14"/>
    <x v="44"/>
    <s v="6"/>
    <s v="6 fős vegyes"/>
    <s v="3"/>
    <s v="Gonda Lea"/>
    <s v="Kelemen-Team"/>
    <s v="HUN"/>
    <n v="3"/>
    <m/>
    <s v="Gyöngyös"/>
    <d v="2026-03-07T00:00:00"/>
    <x v="402"/>
    <x v="0"/>
    <s v="Kelemen-Team"/>
    <s v="utánpótlás"/>
    <s v="serdülő"/>
    <m/>
  </r>
  <r>
    <x v="2"/>
    <n v="2"/>
    <n v="404"/>
    <s v="Kumite"/>
    <s v="Kumite, -, 55-65 kg, Serdülő (13-14"/>
    <x v="45"/>
    <s v="2"/>
    <s v="2 fős egyenes kiesés"/>
    <s v="1"/>
    <s v="Nándori Emma"/>
    <s v="Kemecse SE"/>
    <s v="HUN"/>
    <n v="3"/>
    <m/>
    <s v="Gyöngyös"/>
    <d v="2026-03-07T00:00:00"/>
    <x v="403"/>
    <x v="0"/>
    <s v="Kemecse SE"/>
    <s v="utánpótlás"/>
    <s v="serdülő"/>
    <m/>
  </r>
  <r>
    <x v="2"/>
    <n v="2"/>
    <n v="405"/>
    <s v="Kumite"/>
    <s v="Kumite, -, 55-65 kg, Serdülő (13-14"/>
    <x v="45"/>
    <s v="2"/>
    <s v="2 fős egyenes kiesés"/>
    <s v="2"/>
    <s v="Szabó Zsófi"/>
    <s v="ShinzóDojo"/>
    <s v="HUN"/>
    <n v="0"/>
    <m/>
    <s v="Gyöngyös"/>
    <d v="2026-03-07T00:00:00"/>
    <x v="404"/>
    <x v="0"/>
    <s v="ShinzóDojo"/>
    <s v="utánpótlás"/>
    <s v="serdülő"/>
    <m/>
  </r>
  <r>
    <x v="2"/>
    <n v="2"/>
    <n v="406"/>
    <s v="Kumite"/>
    <s v="Kumite, -, 40-45 kg, Serdülő (13-14"/>
    <x v="47"/>
    <s v="4"/>
    <s v="4 fős körmérkőzés"/>
    <s v="1"/>
    <s v="Csató Réka"/>
    <s v="Keizoku SE"/>
    <s v="HUN"/>
    <n v="6"/>
    <m/>
    <s v="Gyöngyös"/>
    <d v="2026-03-07T00:00:00"/>
    <x v="405"/>
    <x v="0"/>
    <s v="Keizoku SE"/>
    <s v="utánpótlás"/>
    <s v="serdülő"/>
    <m/>
  </r>
  <r>
    <x v="2"/>
    <n v="2"/>
    <n v="407"/>
    <s v="Kumite"/>
    <s v="Kumite, -, 40-45 kg, Serdülő (13-14"/>
    <x v="47"/>
    <s v="4"/>
    <s v="4 fős körmérkőzés"/>
    <s v="2"/>
    <s v="Koszorus Brigitta"/>
    <s v="SONGOKU SE"/>
    <s v="HUN"/>
    <n v="5"/>
    <m/>
    <s v="Gyöngyös"/>
    <d v="2026-03-07T00:00:00"/>
    <x v="406"/>
    <x v="0"/>
    <s v="SONGOKU SE"/>
    <s v="utánpótlás"/>
    <s v="serdülő"/>
    <m/>
  </r>
  <r>
    <x v="2"/>
    <n v="2"/>
    <n v="408"/>
    <s v="Kumite"/>
    <s v="Kumite, -, 40-45 kg, Serdülő (13-14"/>
    <x v="47"/>
    <s v="4"/>
    <s v="4 fős körmérkőzés"/>
    <s v="3"/>
    <s v="Almási Petra"/>
    <s v="KHSE"/>
    <s v="HUN"/>
    <n v="3"/>
    <m/>
    <s v="Gyöngyös"/>
    <d v="2026-03-07T00:00:00"/>
    <x v="407"/>
    <x v="0"/>
    <s v="KHSE"/>
    <s v="utánpótlás"/>
    <s v="serdülő"/>
    <m/>
  </r>
  <r>
    <x v="2"/>
    <n v="2"/>
    <n v="409"/>
    <s v="Kata"/>
    <s v="Kata, -, 0-150 kg, Serdülő (13-14"/>
    <x v="48"/>
    <s v="7"/>
    <s v="8 fős egyenes kiesés"/>
    <s v="1"/>
    <s v="Szabó Zsófi"/>
    <s v="ShinzóDojo"/>
    <s v="HUN"/>
    <n v="5"/>
    <m/>
    <s v="Gyöngyös"/>
    <d v="2026-03-07T00:00:00"/>
    <x v="404"/>
    <x v="0"/>
    <s v="ShinzóDojo"/>
    <s v="utánpótlás"/>
    <s v="serdülő"/>
    <m/>
  </r>
  <r>
    <x v="2"/>
    <n v="2"/>
    <n v="410"/>
    <s v="Kata"/>
    <s v="Kata, -, 0-150 kg, Serdülő (13-14"/>
    <x v="48"/>
    <s v="7"/>
    <s v="8 fős egyenes kiesés"/>
    <s v="2"/>
    <s v="Nándori Emma"/>
    <s v="Kemecse SE"/>
    <s v="HUN"/>
    <n v="4"/>
    <m/>
    <s v="Gyöngyös"/>
    <d v="2026-03-07T00:00:00"/>
    <x v="403"/>
    <x v="0"/>
    <s v="Kemecse SE"/>
    <s v="utánpótlás"/>
    <s v="serdülő"/>
    <m/>
  </r>
  <r>
    <x v="2"/>
    <n v="2"/>
    <n v="411"/>
    <s v="Kata"/>
    <s v="Kata, -, 0-150 kg, Serdülő (13-14"/>
    <x v="48"/>
    <s v="7"/>
    <s v="8 fős egyenes kiesés"/>
    <s v="3"/>
    <s v="Kiss Jázmin"/>
    <s v="TADASHII "/>
    <s v="HUN"/>
    <n v="2"/>
    <m/>
    <s v="Gyöngyös"/>
    <d v="2026-03-07T00:00:00"/>
    <x v="408"/>
    <x v="1"/>
    <s v="TADASHII "/>
    <s v="utánpótlás"/>
    <s v="serdülő"/>
    <m/>
  </r>
  <r>
    <x v="2"/>
    <n v="2"/>
    <n v="412"/>
    <s v="Kata"/>
    <s v="Kata, -, 0-150 kg, Serdülő (13-14"/>
    <x v="48"/>
    <s v="7"/>
    <s v="8 fős egyenes kiesés"/>
    <s v="3"/>
    <s v="Novák Noémi"/>
    <s v="Bendiák Dojo"/>
    <s v="HUN"/>
    <n v="2"/>
    <m/>
    <s v="Gyöngyös"/>
    <d v="2026-03-07T00:00:00"/>
    <x v="409"/>
    <x v="0"/>
    <s v="Bendiák Dojo"/>
    <s v="utánpótlás"/>
    <s v="serdülő"/>
    <m/>
  </r>
  <r>
    <x v="2"/>
    <n v="2"/>
    <n v="413"/>
    <s v="Kata"/>
    <s v="Kata, -, 0-150 kg, Serdülő (13-14"/>
    <x v="48"/>
    <s v="7"/>
    <s v="8 fős egyenes kiesés"/>
    <s v="5"/>
    <s v="Csató Réka"/>
    <s v="Keizoku SE"/>
    <s v="HUN"/>
    <n v="0"/>
    <m/>
    <s v="Gyöngyös"/>
    <d v="2026-03-07T00:00:00"/>
    <x v="405"/>
    <x v="0"/>
    <s v="Keizoku SE"/>
    <s v="utánpótlás"/>
    <s v="serdülő"/>
    <m/>
  </r>
  <r>
    <x v="2"/>
    <n v="2"/>
    <n v="414"/>
    <s v="Kata"/>
    <s v="Kata, -, 0-150 kg, Serdülő (13-14"/>
    <x v="48"/>
    <s v="7"/>
    <s v="8 fős egyenes kiesés"/>
    <s v="7-8"/>
    <s v="Bakó Panna"/>
    <s v="Kemecse SE"/>
    <s v="HUN"/>
    <n v="0"/>
    <m/>
    <s v="Gyöngyös"/>
    <d v="2026-03-07T00:00:00"/>
    <x v="410"/>
    <x v="0"/>
    <s v="Kemecse SE"/>
    <s v="utánpótlás"/>
    <s v="serdülő"/>
    <m/>
  </r>
  <r>
    <x v="2"/>
    <n v="2"/>
    <n v="415"/>
    <s v="Kata"/>
    <s v="Kata, -, 0-150 kg, Serdülő (13-14"/>
    <x v="48"/>
    <s v="7"/>
    <s v="8 fős egyenes kiesés"/>
    <s v="7-8"/>
    <s v="Nagy Blanka"/>
    <s v="Shogun"/>
    <s v="HUN"/>
    <n v="0"/>
    <m/>
    <s v="Gyöngyös"/>
    <d v="2026-03-07T00:00:00"/>
    <x v="411"/>
    <x v="0"/>
    <s v="Shogun"/>
    <s v="utánpótlás"/>
    <s v="serdülő"/>
    <m/>
  </r>
  <r>
    <x v="2"/>
    <n v="2"/>
    <n v="416"/>
    <s v="Kumite"/>
    <s v="Kumite, -, 0-50 kg, Ifjúsági (15-16"/>
    <x v="49"/>
    <s v="6"/>
    <s v="6 fős vegyes"/>
    <s v="1"/>
    <s v="Dorka Zalán"/>
    <s v="KHSE"/>
    <s v="HUN"/>
    <n v="6"/>
    <m/>
    <s v="Gyöngyös"/>
    <d v="2026-03-07T00:00:00"/>
    <x v="412"/>
    <x v="0"/>
    <s v="KHSE"/>
    <s v="utánpótlás"/>
    <s v="ifjúsági"/>
    <m/>
  </r>
  <r>
    <x v="2"/>
    <n v="2"/>
    <n v="417"/>
    <s v="Kumite"/>
    <s v="Kumite, -, 0-50 kg, Ifjúsági (15-16"/>
    <x v="49"/>
    <s v="6"/>
    <s v="6 fős vegyes"/>
    <s v="2"/>
    <s v="Stoffán Ádám Vilmos"/>
    <s v="Victory"/>
    <s v="HUN"/>
    <n v="5"/>
    <m/>
    <s v="Gyöngyös"/>
    <d v="2026-03-07T00:00:00"/>
    <x v="413"/>
    <x v="0"/>
    <s v="Victory"/>
    <s v="utánpótlás"/>
    <s v="ifjúsági"/>
    <m/>
  </r>
  <r>
    <x v="2"/>
    <n v="2"/>
    <n v="418"/>
    <s v="Kumite"/>
    <s v="Kumite, -, 0-50 kg, Ifjúsági (15-16"/>
    <x v="49"/>
    <s v="6"/>
    <s v="6 fős vegyes"/>
    <s v="3"/>
    <s v="Zhang Dávid"/>
    <s v="KHSE"/>
    <s v="HUN"/>
    <n v="3"/>
    <m/>
    <s v="Gyöngyös"/>
    <d v="2026-03-07T00:00:00"/>
    <x v="414"/>
    <x v="0"/>
    <s v="KHSE"/>
    <s v="utánpótlás"/>
    <s v="ifjúsági"/>
    <m/>
  </r>
  <r>
    <x v="2"/>
    <n v="2"/>
    <n v="419"/>
    <s v="Kumite"/>
    <s v="Kumite, -, 50-55 kg, Ifjúsági (15-16"/>
    <x v="50"/>
    <s v="5"/>
    <s v="5 fős körmérkőzés"/>
    <s v="1"/>
    <s v="Berényi Imre Márk"/>
    <s v="Shogun"/>
    <s v="HUN"/>
    <n v="8"/>
    <m/>
    <s v="Gyöngyös"/>
    <d v="2026-03-07T00:00:00"/>
    <x v="415"/>
    <x v="0"/>
    <s v="Shogun"/>
    <s v="utánpótlás"/>
    <s v="ifjúsági"/>
    <m/>
  </r>
  <r>
    <x v="2"/>
    <n v="2"/>
    <n v="420"/>
    <s v="Kumite"/>
    <s v="Kumite, -, 50-55 kg, Ifjúsági (15-16"/>
    <x v="50"/>
    <s v="5"/>
    <s v="5 fős körmérkőzés"/>
    <s v="2"/>
    <s v="Balázs Máté"/>
    <s v="KHSE"/>
    <s v="HUN"/>
    <n v="6"/>
    <m/>
    <s v="Gyöngyös"/>
    <d v="2026-03-07T00:00:00"/>
    <x v="416"/>
    <x v="0"/>
    <s v="KHSE"/>
    <s v="utánpótlás"/>
    <s v="ifjúsági"/>
    <m/>
  </r>
  <r>
    <x v="2"/>
    <n v="2"/>
    <n v="421"/>
    <s v="Kumite"/>
    <s v="Kumite, -, 50-55 kg, Ifjúsági (15-16"/>
    <x v="50"/>
    <s v="5"/>
    <s v="5 fős körmérkőzés"/>
    <s v="3"/>
    <s v="Dániel László"/>
    <s v="Kelemen-Team"/>
    <s v="HUN"/>
    <n v="4"/>
    <m/>
    <s v="Gyöngyös"/>
    <d v="2026-03-07T00:00:00"/>
    <x v="417"/>
    <x v="0"/>
    <s v="Kelemen-Team"/>
    <s v="utánpótlás"/>
    <s v="ifjúsági"/>
    <m/>
  </r>
  <r>
    <x v="2"/>
    <n v="2"/>
    <n v="421"/>
    <s v="Kumite"/>
    <s v="Kumite, -, 50-55 kg, Ifjúsági (15-16"/>
    <x v="50"/>
    <s v="5"/>
    <s v="5 fős körmérkőzés"/>
    <n v="4"/>
    <s v="Dürgő Máté"/>
    <s v="Victory"/>
    <s v="HUN"/>
    <n v="3"/>
    <m/>
    <s v="Gyöngyös"/>
    <d v="2026-03-07T00:00:00"/>
    <x v="418"/>
    <x v="0"/>
    <s v="Victory"/>
    <s v="utánpótlás"/>
    <s v="ifjúsági"/>
    <m/>
  </r>
  <r>
    <x v="2"/>
    <n v="2"/>
    <n v="422"/>
    <s v="Kumite"/>
    <s v="Kumite, -, 55-60 kg, Ifjúsági (15-16"/>
    <x v="51"/>
    <s v="4"/>
    <s v="4 fős körmérkőzés"/>
    <s v="1"/>
    <s v="Ménes Milán"/>
    <s v="KHSE"/>
    <s v="HUN"/>
    <n v="6"/>
    <m/>
    <s v="Gyöngyös"/>
    <d v="2026-03-07T00:00:00"/>
    <x v="419"/>
    <x v="0"/>
    <s v="KHSE"/>
    <s v="utánpótlás"/>
    <s v="ifjúsági"/>
    <m/>
  </r>
  <r>
    <x v="2"/>
    <n v="2"/>
    <n v="423"/>
    <s v="Kumite"/>
    <s v="Kumite, -, 55-60 kg, Ifjúsági (15-16"/>
    <x v="51"/>
    <s v="4"/>
    <s v="4 fős körmérkőzés"/>
    <s v="2"/>
    <s v="Banka Boldizsár"/>
    <s v="KYO Fighter SE"/>
    <s v="HUN"/>
    <n v="5"/>
    <m/>
    <s v="Gyöngyös"/>
    <d v="2026-03-07T00:00:00"/>
    <x v="420"/>
    <x v="0"/>
    <s v="KYO Fighter SE"/>
    <s v="utánpótlás"/>
    <s v="ifjúsági"/>
    <m/>
  </r>
  <r>
    <x v="2"/>
    <n v="2"/>
    <n v="424"/>
    <s v="Kumite"/>
    <s v="Kumite, -, 55-60 kg, Ifjúsági (15-16"/>
    <x v="51"/>
    <s v="4"/>
    <s v="4 fős körmérkőzés"/>
    <s v="3"/>
    <s v="Bartus Marcell"/>
    <s v="KYO Fighter SE"/>
    <s v="HUN"/>
    <n v="3"/>
    <m/>
    <s v="Gyöngyös"/>
    <d v="2026-03-07T00:00:00"/>
    <x v="421"/>
    <x v="0"/>
    <s v="KYO Fighter SE"/>
    <s v="utánpótlás"/>
    <s v="ifjúsági"/>
    <m/>
  </r>
  <r>
    <x v="2"/>
    <n v="2"/>
    <n v="425"/>
    <s v="Kumite"/>
    <s v="Kumite, -, 60-65 kg, Ifjúsági (15-16"/>
    <x v="52"/>
    <s v="4"/>
    <s v="4 fős körmérkőzés"/>
    <s v="1"/>
    <s v="Balogh Levente"/>
    <s v="Wheelmaker dojo SE"/>
    <s v="HUN"/>
    <n v="6"/>
    <m/>
    <s v="Gyöngyös"/>
    <d v="2026-03-07T00:00:00"/>
    <x v="422"/>
    <x v="1"/>
    <s v="Wheelmaker dojo SE"/>
    <s v="utánpótlás"/>
    <s v="ifjúsági"/>
    <m/>
  </r>
  <r>
    <x v="2"/>
    <n v="2"/>
    <n v="426"/>
    <s v="Kumite"/>
    <s v="Kumite, -, 60-65 kg, Ifjúsági (15-16"/>
    <x v="52"/>
    <s v="4"/>
    <s v="4 fős körmérkőzés"/>
    <s v="2"/>
    <s v="Tarsoly Norbert"/>
    <s v="Nintai KKSE"/>
    <s v="HUN"/>
    <n v="5"/>
    <m/>
    <s v="Gyöngyös"/>
    <d v="2026-03-07T00:00:00"/>
    <x v="423"/>
    <x v="1"/>
    <s v="Nintai KKSE"/>
    <s v="utánpótlás"/>
    <s v="ifjúsági"/>
    <m/>
  </r>
  <r>
    <x v="2"/>
    <n v="2"/>
    <n v="427"/>
    <s v="Kumite"/>
    <s v="Kumite, -, 60-65 kg, Ifjúsági (15-16"/>
    <x v="52"/>
    <s v="4"/>
    <s v="4 fős körmérkőzés"/>
    <s v="3"/>
    <s v="Tutor Barnabás "/>
    <s v="Derecske BUDO"/>
    <s v="HUN"/>
    <n v="3"/>
    <m/>
    <s v="Gyöngyös"/>
    <d v="2026-03-07T00:00:00"/>
    <x v="424"/>
    <x v="0"/>
    <s v="Derecske BUDO"/>
    <s v="utánpótlás"/>
    <s v="ifjúsági"/>
    <m/>
  </r>
  <r>
    <x v="2"/>
    <n v="2"/>
    <n v="428"/>
    <s v="Kumite"/>
    <s v="Kumite, -, 65-70 kg, Ifjúsági (15-16"/>
    <x v="70"/>
    <s v="3"/>
    <s v="3 fős körmérkőzés"/>
    <s v="1"/>
    <s v="Kurucz Gergő"/>
    <s v="Victory"/>
    <s v="HUN"/>
    <n v="4"/>
    <m/>
    <s v="Gyöngyös"/>
    <d v="2026-03-07T00:00:00"/>
    <x v="425"/>
    <x v="0"/>
    <s v="Victory"/>
    <s v="utánpótlás"/>
    <s v="ifjúsági"/>
    <m/>
  </r>
  <r>
    <x v="2"/>
    <n v="2"/>
    <n v="429"/>
    <s v="Kumite"/>
    <s v="Kumite, -, 65-70 kg, Ifjúsági (15-16"/>
    <x v="70"/>
    <s v="3"/>
    <s v="3 fős körmérkőzés"/>
    <s v="2"/>
    <s v="Dezső Norbert"/>
    <s v="Magna Dojo"/>
    <s v="HUN"/>
    <n v="3"/>
    <m/>
    <s v="Gyöngyös"/>
    <d v="2026-03-07T00:00:00"/>
    <x v="426"/>
    <x v="0"/>
    <s v="Magna Dojo"/>
    <s v="utánpótlás"/>
    <s v="ifjúsági"/>
    <m/>
  </r>
  <r>
    <x v="2"/>
    <n v="2"/>
    <n v="430"/>
    <s v="Kumite"/>
    <s v="Kumite, -, 65-70 kg, Ifjúsági (15-16"/>
    <x v="70"/>
    <s v="3"/>
    <s v="3 fős körmérkőzés"/>
    <s v="3"/>
    <s v="Novák Balázs"/>
    <s v="Bendiák Dojo"/>
    <s v="HUN"/>
    <n v="0"/>
    <s v="nem volt nyertes mérkőzése"/>
    <s v="Gyöngyös"/>
    <d v="2026-03-07T00:00:00"/>
    <x v="427"/>
    <x v="0"/>
    <s v="Bendiák Dojo"/>
    <s v="utánpótlás"/>
    <s v="ifjúsági"/>
    <m/>
  </r>
  <r>
    <x v="2"/>
    <n v="2"/>
    <n v="431"/>
    <s v="Kumite"/>
    <s v="Kumite, -, 70-75 kg, Ifjúsági (15-16"/>
    <x v="53"/>
    <s v="4"/>
    <s v="4 fős körmérkőzés"/>
    <s v="1"/>
    <s v="Ágoston Bence"/>
    <s v="KHSE"/>
    <s v="HUN"/>
    <n v="6"/>
    <m/>
    <s v="Gyöngyös"/>
    <d v="2026-03-07T00:00:00"/>
    <x v="428"/>
    <x v="0"/>
    <s v="KHSE"/>
    <s v="utánpótlás"/>
    <s v="ifjúsági"/>
    <m/>
  </r>
  <r>
    <x v="2"/>
    <n v="2"/>
    <n v="432"/>
    <s v="Kumite"/>
    <s v="Kumite, -, 70-75 kg, Ifjúsági (15-16"/>
    <x v="53"/>
    <s v="4"/>
    <s v="4 fős körmérkőzés"/>
    <s v="2"/>
    <s v="Vancsó Kornél"/>
    <s v="Bendiák Dojo"/>
    <s v="HUN"/>
    <n v="5"/>
    <m/>
    <s v="Gyöngyös"/>
    <d v="2026-03-07T00:00:00"/>
    <x v="429"/>
    <x v="0"/>
    <s v="Bendiák Dojo"/>
    <s v="utánpótlás"/>
    <s v="ifjúsági"/>
    <m/>
  </r>
  <r>
    <x v="2"/>
    <n v="2"/>
    <n v="433"/>
    <s v="Kumite"/>
    <s v="Kumite, -, 70-75 kg, Ifjúsági (15-16"/>
    <x v="53"/>
    <s v="4"/>
    <s v="4 fős körmérkőzés"/>
    <s v="3"/>
    <s v="Vass Noel"/>
    <s v="KHSE"/>
    <s v="HUN"/>
    <n v="3"/>
    <m/>
    <s v="Gyöngyös"/>
    <d v="2026-03-07T00:00:00"/>
    <x v="430"/>
    <x v="0"/>
    <s v="KHSE"/>
    <s v="utánpótlás"/>
    <s v="ifjúsági"/>
    <m/>
  </r>
  <r>
    <x v="2"/>
    <n v="2"/>
    <n v="434"/>
    <s v="Kumite"/>
    <s v="Kumite, -, 75-999 kg, Ifjúsági (15-16"/>
    <x v="54"/>
    <s v="3"/>
    <s v="3 fős körmérkőzés"/>
    <s v="1"/>
    <s v="Szalai Brendon"/>
    <s v="Nintai KKSE"/>
    <s v="HUN"/>
    <n v="4"/>
    <m/>
    <s v="Gyöngyös"/>
    <d v="2026-03-07T00:00:00"/>
    <x v="431"/>
    <x v="1"/>
    <s v="Nintai KKSE"/>
    <s v="utánpótlás"/>
    <s v="ifjúsági"/>
    <m/>
  </r>
  <r>
    <x v="2"/>
    <n v="2"/>
    <n v="435"/>
    <s v="Kumite"/>
    <s v="Kumite, -, 75-999 kg, Ifjúsági (15-16"/>
    <x v="54"/>
    <s v="3"/>
    <s v="3 fős körmérkőzés"/>
    <s v="2"/>
    <s v="Novák Máté"/>
    <s v="Bendiák Dojo"/>
    <s v="HUN"/>
    <n v="3"/>
    <m/>
    <s v="Gyöngyös"/>
    <d v="2026-03-07T00:00:00"/>
    <x v="432"/>
    <x v="0"/>
    <s v="Bendiák Dojo"/>
    <s v="utánpótlás"/>
    <s v="ifjúsági"/>
    <m/>
  </r>
  <r>
    <x v="2"/>
    <n v="2"/>
    <n v="436"/>
    <s v="Kumite"/>
    <s v="Kumite, -, 75-999 kg, Ifjúsági (15-16"/>
    <x v="54"/>
    <s v="3"/>
    <s v="3 fős körmérkőzés"/>
    <s v="3"/>
    <s v="Vida Péter"/>
    <s v="Buke Reikon HRSE"/>
    <s v="HUN"/>
    <n v="0"/>
    <s v="nem volt nyertes mérkőzése"/>
    <s v="Gyöngyös"/>
    <d v="2026-03-07T00:00:00"/>
    <x v="433"/>
    <x v="0"/>
    <s v="Buke Reikon HRSE"/>
    <s v="utánpótlás"/>
    <s v="ifjúsági"/>
    <m/>
  </r>
  <r>
    <x v="2"/>
    <n v="2"/>
    <n v="437"/>
    <s v="Kata"/>
    <s v="Kata, -, 0-160 kg, Ifjúsági (15-16"/>
    <x v="55"/>
    <s v="7"/>
    <s v="8 fős egyenes kiesés + 3. hely"/>
    <s v="1"/>
    <s v="Ungvári Levente"/>
    <s v="Shogun"/>
    <s v="HUN"/>
    <n v="5"/>
    <s v="7 fő esetén az 1-4 kap pontot"/>
    <s v="Gyöngyös"/>
    <d v="2026-03-07T00:00:00"/>
    <x v="434"/>
    <x v="0"/>
    <s v="Shogun"/>
    <s v="utánpótlás"/>
    <s v="ifjúsági"/>
    <m/>
  </r>
  <r>
    <x v="2"/>
    <n v="2"/>
    <n v="438"/>
    <s v="Kata"/>
    <s v="Kata, -, 0-160 kg, Ifjúsági (15-16"/>
    <x v="55"/>
    <s v="7"/>
    <s v="8 fős egyenes kiesés + 3. hely"/>
    <s v="2"/>
    <s v="Lóránt Varga Milán"/>
    <s v="Shogun"/>
    <s v="HUN"/>
    <n v="4"/>
    <s v="7 fő esetén az 1-4 kap pontot"/>
    <s v="Gyöngyös"/>
    <d v="2026-03-07T00:00:00"/>
    <x v="435"/>
    <x v="0"/>
    <s v="Shogun"/>
    <s v="utánpótlás"/>
    <s v="ifjúsági"/>
    <m/>
  </r>
  <r>
    <x v="2"/>
    <n v="2"/>
    <n v="439"/>
    <s v="Kata"/>
    <s v="Kata, -, 0-160 kg, Ifjúsági (15-16"/>
    <x v="55"/>
    <s v="7"/>
    <s v="8 fős egyenes kiesés + 3. hely"/>
    <s v="3"/>
    <s v="Berényi Imre Márk"/>
    <s v="Shogun"/>
    <s v="HUN"/>
    <n v="2"/>
    <s v="7 fő esetén az 1-4 kap pontot"/>
    <s v="Gyöngyös"/>
    <d v="2026-03-07T00:00:00"/>
    <x v="415"/>
    <x v="0"/>
    <s v="Shogun"/>
    <s v="utánpótlás"/>
    <s v="ifjúsági"/>
    <m/>
  </r>
  <r>
    <x v="2"/>
    <n v="2"/>
    <n v="440"/>
    <s v="Kata"/>
    <s v="Kata, -, 0-160 kg, Ifjúsági (15-16"/>
    <x v="55"/>
    <s v="7"/>
    <s v="8 fős egyenes kiesés + 3. hely"/>
    <s v="4"/>
    <s v="MOLNÁR MARCELL"/>
    <s v="Victory"/>
    <s v="HUN"/>
    <n v="1"/>
    <s v="7 fő esetén az 1-4 kap pontot"/>
    <s v="Gyöngyös"/>
    <d v="2026-03-07T00:00:00"/>
    <x v="436"/>
    <x v="0"/>
    <s v="Victory"/>
    <s v="utánpótlás"/>
    <s v="ifjúsági"/>
    <m/>
  </r>
  <r>
    <x v="2"/>
    <n v="2"/>
    <n v="441"/>
    <s v="Kata"/>
    <s v="Kata, -, 0-160 kg, Ifjúsági (15-16"/>
    <x v="55"/>
    <s v="7"/>
    <s v="8 fős egyenes kiesés + 3. hely"/>
    <s v="5"/>
    <s v="Banka Boldizsár"/>
    <s v="KYO Fighter SE"/>
    <s v="HUN"/>
    <n v="0"/>
    <s v="7 fő esetén az 1-4 kap pontot"/>
    <s v="Gyöngyös"/>
    <d v="2026-03-07T00:00:00"/>
    <x v="420"/>
    <x v="0"/>
    <s v="KYO Fighter SE"/>
    <s v="utánpótlás"/>
    <s v="ifjúsági"/>
    <m/>
  </r>
  <r>
    <x v="2"/>
    <n v="2"/>
    <n v="442"/>
    <s v="Kata"/>
    <s v="Kata, -, 0-160 kg, Ifjúsági (15-16"/>
    <x v="55"/>
    <s v="7"/>
    <s v="8 fős egyenes kiesés + 3. hely"/>
    <s v="7-8"/>
    <s v="Novák Balázs"/>
    <s v="Bendiák Dojo"/>
    <s v="HUN"/>
    <n v="0"/>
    <s v="7 fő esetén az 1-4 kap pontot"/>
    <s v="Gyöngyös"/>
    <d v="2026-03-07T00:00:00"/>
    <x v="427"/>
    <x v="0"/>
    <s v="Bendiák Dojo"/>
    <s v="utánpótlás"/>
    <s v="ifjúsági"/>
    <m/>
  </r>
  <r>
    <x v="2"/>
    <n v="2"/>
    <n v="443"/>
    <s v="Kata"/>
    <s v="Kata, -, 0-160 kg, Ifjúsági (15-16"/>
    <x v="55"/>
    <s v="7"/>
    <s v="8 fős egyenes kiesés + 3. hely"/>
    <s v="7-8"/>
    <s v="Novák Máté"/>
    <s v="Bendiák Dojo"/>
    <s v="HUN"/>
    <n v="0"/>
    <s v="7 fő esetén az 1-4 kap pontot"/>
    <s v="Gyöngyös"/>
    <d v="2026-03-07T00:00:00"/>
    <x v="432"/>
    <x v="0"/>
    <s v="Bendiák Dojo"/>
    <s v="utánpótlás"/>
    <s v="ifjúsági"/>
    <m/>
  </r>
  <r>
    <x v="2"/>
    <n v="2"/>
    <n v="444"/>
    <s v="Kumite"/>
    <s v="Kumite, -, 0-50 kg, Ifjúsági (15-16"/>
    <x v="56"/>
    <s v="2"/>
    <s v="2 fős egyenes kiesés"/>
    <s v="1"/>
    <s v="Szabó Hanna"/>
    <s v="Hajdúszoboszló"/>
    <s v="HUN"/>
    <n v="3"/>
    <m/>
    <s v="Gyöngyös"/>
    <d v="2026-03-07T00:00:00"/>
    <x v="437"/>
    <x v="0"/>
    <s v="Hajdúszoboszló"/>
    <s v="utánpótlás"/>
    <s v="ifjúsági"/>
    <m/>
  </r>
  <r>
    <x v="2"/>
    <n v="2"/>
    <n v="445"/>
    <s v="Kumite"/>
    <s v="Kumite, -, 0-50 kg, Ifjúsági (15-16"/>
    <x v="56"/>
    <s v="2"/>
    <s v="2 fős egyenes kiesés"/>
    <s v="2"/>
    <s v="Forgács Lili"/>
    <s v="Borza Dojo"/>
    <s v="HUN"/>
    <n v="0"/>
    <m/>
    <s v="Gyöngyös"/>
    <d v="2026-03-07T00:00:00"/>
    <x v="438"/>
    <x v="1"/>
    <s v="Borza Dojo"/>
    <s v="utánpótlás"/>
    <s v="ifjúsági"/>
    <m/>
  </r>
  <r>
    <x v="2"/>
    <n v="2"/>
    <n v="446"/>
    <s v="Kumite"/>
    <s v="Kumite, -, 50-55 kg, Ifjúsági (15-16"/>
    <x v="57"/>
    <s v="3"/>
    <s v="3 fős körmérkőzés"/>
    <s v="1"/>
    <s v="Furó Liliána"/>
    <s v="KHSE"/>
    <s v="HUN"/>
    <n v="4"/>
    <m/>
    <s v="Gyöngyös"/>
    <d v="2026-03-07T00:00:00"/>
    <x v="439"/>
    <x v="0"/>
    <s v="KHSE"/>
    <s v="utánpótlás"/>
    <s v="ifjúsági"/>
    <m/>
  </r>
  <r>
    <x v="2"/>
    <n v="2"/>
    <n v="447"/>
    <s v="Kumite"/>
    <s v="Kumite, -, 50-55 kg, Ifjúsági (15-16"/>
    <x v="57"/>
    <s v="3"/>
    <s v="3 fős körmérkőzés"/>
    <s v="2"/>
    <s v="Kiss Boglárka"/>
    <s v="Derecske BUDO"/>
    <s v="HUN"/>
    <n v="3"/>
    <m/>
    <s v="Gyöngyös"/>
    <d v="2026-03-07T00:00:00"/>
    <x v="440"/>
    <x v="0"/>
    <s v="Derecske BUDO"/>
    <s v="utánpótlás"/>
    <s v="ifjúsági"/>
    <m/>
  </r>
  <r>
    <x v="2"/>
    <n v="2"/>
    <n v="448"/>
    <s v="Kumite"/>
    <s v="Kumite, -, 50-55 kg, Ifjúsági (15-16"/>
    <x v="57"/>
    <s v="3"/>
    <s v="3 fős körmérkőzés"/>
    <s v="3"/>
    <s v="Karap Anna"/>
    <s v="Shogun"/>
    <s v="HUN"/>
    <n v="0"/>
    <s v="nem volt nyertes mérkőzése"/>
    <s v="Gyöngyös"/>
    <d v="2026-03-07T00:00:00"/>
    <x v="441"/>
    <x v="0"/>
    <s v="Shogun"/>
    <s v="utánpótlás"/>
    <s v="ifjúsági"/>
    <m/>
  </r>
  <r>
    <x v="2"/>
    <n v="2"/>
    <n v="449"/>
    <s v="Kumite"/>
    <s v="Kumite, -, 60-65 kg, Ifjúsági (15-16"/>
    <x v="71"/>
    <s v="5"/>
    <s v="5 fős körmérkőzés"/>
    <s v="1"/>
    <s v="Pénzes Zsófia"/>
    <s v="KHSE"/>
    <s v="HUN"/>
    <n v="8"/>
    <m/>
    <s v="Gyöngyös"/>
    <d v="2026-03-07T00:00:00"/>
    <x v="442"/>
    <x v="0"/>
    <s v="KHSE"/>
    <s v="utánpótlás"/>
    <s v="ifjúsági"/>
    <m/>
  </r>
  <r>
    <x v="2"/>
    <n v="2"/>
    <n v="450"/>
    <s v="Kumite"/>
    <s v="Kumite, -, 60-65 kg, Ifjúsági (15-16"/>
    <x v="71"/>
    <s v="5"/>
    <s v="5 fős körmérkőzés"/>
    <s v="2"/>
    <s v="Albert Szilvia Cintia"/>
    <s v="Derecske BUDO"/>
    <s v="HUN"/>
    <n v="6"/>
    <m/>
    <s v="Gyöngyös"/>
    <d v="2026-03-07T00:00:00"/>
    <x v="443"/>
    <x v="0"/>
    <s v="Derecske BUDO"/>
    <s v="utánpótlás"/>
    <s v="ifjúsági"/>
    <m/>
  </r>
  <r>
    <x v="2"/>
    <n v="2"/>
    <n v="451"/>
    <s v="Kumite"/>
    <s v="Kumite, -, 60-65 kg, Ifjúsági (15-16"/>
    <x v="71"/>
    <s v="5"/>
    <s v="5 fős körmérkőzés"/>
    <s v="3"/>
    <s v="Barna Emese Nikolett"/>
    <s v="Bendiák Dojo"/>
    <s v="HUN"/>
    <n v="4"/>
    <m/>
    <s v="Gyöngyös"/>
    <d v="2026-03-07T00:00:00"/>
    <x v="444"/>
    <x v="0"/>
    <s v="Bendiák Dojo"/>
    <s v="utánpótlás"/>
    <s v="ifjúsági"/>
    <m/>
  </r>
  <r>
    <x v="2"/>
    <n v="2"/>
    <n v="451"/>
    <s v="Kumite"/>
    <s v="Kumite, -, 60-65 kg, Ifjúsági (15-16"/>
    <x v="71"/>
    <s v="5"/>
    <s v="5 fős körmérkőzés"/>
    <n v="4"/>
    <s v="Harsányi Tímea"/>
    <s v="Kelemen-Team"/>
    <s v="HUN"/>
    <n v="3"/>
    <m/>
    <s v="Gyöngyös"/>
    <d v="2026-03-07T00:00:00"/>
    <x v="445"/>
    <x v="0"/>
    <s v="Kelemen-Team"/>
    <s v="utánpótlás"/>
    <s v="ifjúsági"/>
    <m/>
  </r>
  <r>
    <x v="2"/>
    <n v="2"/>
    <n v="452"/>
    <s v="Kata"/>
    <s v="Kata, -, 0-160 kg, Ifjúsági (15-16"/>
    <x v="60"/>
    <s v="4"/>
    <s v="4 fős egyenes kiesés + 3. hely"/>
    <s v="1"/>
    <s v="Kovács Anna"/>
    <s v="Kisvárda KKDOSC"/>
    <s v="HUN"/>
    <n v="5"/>
    <s v="4 fő esetén az 1-3 kap pontot"/>
    <s v="Gyöngyös"/>
    <d v="2026-03-07T00:00:00"/>
    <x v="446"/>
    <x v="0"/>
    <s v="Kisvárda KKDOSC"/>
    <s v="utánpótlás"/>
    <s v="ifjúsági"/>
    <m/>
  </r>
  <r>
    <x v="2"/>
    <n v="2"/>
    <n v="453"/>
    <s v="Kata"/>
    <s v="Kata, -, 0-160 kg, Ifjúsági (15-16"/>
    <x v="60"/>
    <s v="4"/>
    <s v="4 fős egyenes kiesés + 3. hely"/>
    <s v="2"/>
    <s v="Uszkai Flóra"/>
    <s v="Shogun"/>
    <s v="HUN"/>
    <n v="4"/>
    <s v="4 fő esetén az 1-3 kap pontot"/>
    <s v="Gyöngyös"/>
    <d v="2026-03-07T00:00:00"/>
    <x v="447"/>
    <x v="0"/>
    <s v="Shogun"/>
    <s v="utánpótlás"/>
    <s v="ifjúsági"/>
    <m/>
  </r>
  <r>
    <x v="2"/>
    <n v="2"/>
    <n v="454"/>
    <s v="Kata"/>
    <s v="Kata, -, 0-160 kg, Ifjúsági (15-16"/>
    <x v="60"/>
    <s v="4"/>
    <s v="4 fős egyenes kiesés + 3. hely"/>
    <s v="3"/>
    <s v="Berényi Lina Boróka"/>
    <s v="Kagami"/>
    <s v="HUN"/>
    <n v="2"/>
    <s v="4 fő esetén az 1-3 kap pontot"/>
    <s v="Gyöngyös"/>
    <d v="2026-03-07T00:00:00"/>
    <x v="448"/>
    <x v="0"/>
    <s v="Kagami"/>
    <s v="utánpótlás"/>
    <s v="ifjúsági"/>
    <m/>
  </r>
  <r>
    <x v="2"/>
    <n v="2"/>
    <n v="455"/>
    <s v="Kata"/>
    <s v="Kata, -, 0-160 kg, Ifjúsági (15-16"/>
    <x v="60"/>
    <s v="4"/>
    <s v="4 fős egyenes kiesés + 3. hely"/>
    <s v="4"/>
    <s v="Karap Anna"/>
    <s v="Shogun"/>
    <s v="HUN"/>
    <n v="0"/>
    <s v="4 fő esetén az 1-3 kap pontot"/>
    <s v="Gyöngyös"/>
    <d v="2026-03-07T00:00:00"/>
    <x v="441"/>
    <x v="0"/>
    <s v="Shogun"/>
    <s v="utánpótlás"/>
    <s v="ifjúsági"/>
    <m/>
  </r>
  <r>
    <x v="2"/>
    <n v="2"/>
    <n v="456"/>
    <s v="Kumite"/>
    <s v="Kumite, -, 0-60 kg, Junior DOL (17-19"/>
    <x v="72"/>
    <s v="2"/>
    <s v="2 fős egyenes kiesés"/>
    <s v="1"/>
    <s v="Nagy Péter"/>
    <s v="KHSE"/>
    <s v="HUN"/>
    <n v="3"/>
    <m/>
    <s v="Gyöngyös"/>
    <d v="2026-03-07T00:00:00"/>
    <x v="449"/>
    <x v="0"/>
    <s v="KHSE"/>
    <s v="utánpótlás"/>
    <s v="junior"/>
    <m/>
  </r>
  <r>
    <x v="2"/>
    <n v="2"/>
    <n v="457"/>
    <s v="Kumite"/>
    <s v="Kumite, -, 0-60 kg, Junior DOL (17-19"/>
    <x v="72"/>
    <s v="2"/>
    <s v="2 fős egyenes kiesés"/>
    <s v="2"/>
    <s v="Rimóczi Alex Benedek"/>
    <s v="Nozomu Dojo"/>
    <s v="HUN"/>
    <n v="0"/>
    <m/>
    <s v="Gyöngyös"/>
    <d v="2026-03-07T00:00:00"/>
    <x v="450"/>
    <x v="0"/>
    <s v="Nozomu Dojo"/>
    <s v="utánpótlás"/>
    <s v="junior"/>
    <m/>
  </r>
  <r>
    <x v="2"/>
    <n v="2"/>
    <n v="458"/>
    <s v="Kumite"/>
    <s v="Kumite, -, 60-65 kg, Junior DOL (17-19"/>
    <x v="61"/>
    <s v="4"/>
    <s v="4 fős körmérkőzés"/>
    <s v="1"/>
    <s v="Bacskai Bence"/>
    <s v="KHSE"/>
    <s v="HUN"/>
    <n v="6"/>
    <m/>
    <s v="Gyöngyös"/>
    <d v="2026-03-07T00:00:00"/>
    <x v="451"/>
    <x v="0"/>
    <s v="KHSE"/>
    <s v="utánpótlás"/>
    <s v="junior"/>
    <m/>
  </r>
  <r>
    <x v="2"/>
    <n v="2"/>
    <n v="459"/>
    <s v="Kumite"/>
    <s v="Kumite, -, 60-65 kg, Junior DOL (17-19"/>
    <x v="61"/>
    <s v="4"/>
    <s v="4 fős körmérkőzés"/>
    <s v="2"/>
    <s v="Szabó Ákos Roland"/>
    <s v="KHSE"/>
    <s v="HUN"/>
    <n v="5"/>
    <m/>
    <s v="Gyöngyös"/>
    <d v="2026-03-07T00:00:00"/>
    <x v="452"/>
    <x v="0"/>
    <s v="KHSE"/>
    <s v="utánpótlás"/>
    <s v="junior"/>
    <m/>
  </r>
  <r>
    <x v="2"/>
    <n v="2"/>
    <n v="460"/>
    <s v="Kumite"/>
    <s v="Kumite, -, 60-65 kg, Junior DOL (17-19"/>
    <x v="61"/>
    <s v="4"/>
    <s v="4 fős körmérkőzés"/>
    <s v="3"/>
    <s v="Vincze Balázs"/>
    <s v="TADASHII "/>
    <s v="HUN"/>
    <n v="3"/>
    <m/>
    <s v="Gyöngyös"/>
    <d v="2026-03-07T00:00:00"/>
    <x v="453"/>
    <x v="1"/>
    <s v="TADASHII "/>
    <s v="utánpótlás"/>
    <s v="junior"/>
    <m/>
  </r>
  <r>
    <x v="2"/>
    <n v="2"/>
    <n v="461"/>
    <s v="Kumite"/>
    <s v="Kumite, -, 65-70 kg, Junior DOL (17-19"/>
    <x v="62"/>
    <s v="6"/>
    <s v="6 fős vegyes"/>
    <s v="1"/>
    <s v="Böszörményi Gergő"/>
    <s v="Victory"/>
    <s v="HUN"/>
    <n v="6"/>
    <m/>
    <s v="Gyöngyös"/>
    <d v="2026-03-07T00:00:00"/>
    <x v="454"/>
    <x v="0"/>
    <s v="Victory"/>
    <s v="utánpótlás"/>
    <s v="junior"/>
    <m/>
  </r>
  <r>
    <x v="2"/>
    <n v="2"/>
    <n v="462"/>
    <s v="Kumite"/>
    <s v="Kumite, -, 65-70 kg, Junior DOL (17-19"/>
    <x v="62"/>
    <s v="6"/>
    <s v="6 fős vegyes"/>
    <s v="2"/>
    <s v="Földi Bence "/>
    <s v="Victory"/>
    <s v="HUN"/>
    <n v="5"/>
    <m/>
    <s v="Gyöngyös"/>
    <d v="2026-03-07T00:00:00"/>
    <x v="455"/>
    <x v="0"/>
    <s v="Victory"/>
    <s v="utánpótlás"/>
    <s v="junior"/>
    <m/>
  </r>
  <r>
    <x v="2"/>
    <n v="2"/>
    <n v="463"/>
    <s v="Kumite"/>
    <s v="Kumite, -, 65-70 kg, Junior DOL (17-19"/>
    <x v="62"/>
    <s v="6"/>
    <s v="6 fős vegyes"/>
    <s v="3"/>
    <s v="Takács-Sárkány Csanád"/>
    <s v="KHSE"/>
    <s v="HUN"/>
    <n v="3"/>
    <m/>
    <s v="Gyöngyös"/>
    <d v="2026-03-07T00:00:00"/>
    <x v="456"/>
    <x v="0"/>
    <s v="KHSE"/>
    <s v="utánpótlás"/>
    <s v="junior"/>
    <m/>
  </r>
  <r>
    <x v="2"/>
    <n v="2"/>
    <n v="464"/>
    <s v="Kumite"/>
    <s v="Kumite, -, 70-75 kg, Junior DOL (17-19"/>
    <x v="73"/>
    <s v="6"/>
    <s v="6 fős vegyes"/>
    <s v="1"/>
    <s v="Földi Balázs"/>
    <s v="Victory"/>
    <s v="HUN"/>
    <n v="6"/>
    <m/>
    <s v="Gyöngyös"/>
    <d v="2026-03-07T00:00:00"/>
    <x v="457"/>
    <x v="0"/>
    <s v="Victory"/>
    <s v="utánpótlás"/>
    <s v="junior"/>
    <m/>
  </r>
  <r>
    <x v="2"/>
    <n v="2"/>
    <n v="465"/>
    <s v="Kumite"/>
    <s v="Kumite, -, 70-75 kg, Junior DOL (17-19"/>
    <x v="73"/>
    <s v="6"/>
    <s v="6 fős vegyes"/>
    <s v="2"/>
    <s v="Kiss Gábor"/>
    <s v="Victory"/>
    <s v="HUN"/>
    <n v="5"/>
    <m/>
    <s v="Gyöngyös"/>
    <d v="2026-03-07T00:00:00"/>
    <x v="458"/>
    <x v="0"/>
    <s v="Victory"/>
    <s v="utánpótlás"/>
    <s v="junior"/>
    <m/>
  </r>
  <r>
    <x v="2"/>
    <n v="2"/>
    <n v="466"/>
    <s v="Kumite"/>
    <s v="Kumite, -, 70-75 kg, Junior DOL (17-19"/>
    <x v="73"/>
    <s v="6"/>
    <s v="6 fős vegyes"/>
    <s v="3"/>
    <s v="Vancsó Ákos"/>
    <s v="Bendiák Dojo"/>
    <s v="HUN"/>
    <n v="3"/>
    <m/>
    <s v="Gyöngyös"/>
    <d v="2026-03-07T00:00:00"/>
    <x v="459"/>
    <x v="0"/>
    <s v="Bendiák Dojo"/>
    <s v="utánpótlás"/>
    <s v="junior"/>
    <m/>
  </r>
  <r>
    <x v="2"/>
    <n v="2"/>
    <n v="467"/>
    <s v="Kumite"/>
    <s v="Kumite, -, 75-80 kg, Junior DOL (17-19"/>
    <x v="74"/>
    <s v="3"/>
    <s v="3 fős körmérkőzés"/>
    <s v="1"/>
    <s v="Bessenyei Csongor"/>
    <s v="Shogun"/>
    <s v="HUN"/>
    <n v="4"/>
    <m/>
    <s v="Gyöngyös"/>
    <d v="2026-03-07T00:00:00"/>
    <x v="460"/>
    <x v="0"/>
    <s v="Shogun"/>
    <s v="utánpótlás"/>
    <s v="junior"/>
    <m/>
  </r>
  <r>
    <x v="2"/>
    <n v="2"/>
    <n v="468"/>
    <s v="Kumite"/>
    <s v="Kumite, -, 75-80 kg, Junior DOL (17-19"/>
    <x v="74"/>
    <s v="3"/>
    <s v="3 fős körmérkőzés"/>
    <s v="2"/>
    <s v="Breznyiczki Barnabás"/>
    <s v="Nozomu Dojo"/>
    <s v="HUN"/>
    <n v="3"/>
    <m/>
    <s v="Gyöngyös"/>
    <d v="2026-03-07T00:00:00"/>
    <x v="461"/>
    <x v="0"/>
    <s v="Nozomu Dojo"/>
    <s v="utánpótlás"/>
    <s v="junior"/>
    <m/>
  </r>
  <r>
    <x v="2"/>
    <n v="2"/>
    <n v="469"/>
    <s v="Kumite"/>
    <s v="Kumite, -, 75-80 kg, Junior DOL (17-19"/>
    <x v="74"/>
    <s v="3"/>
    <s v="3 fős körmérkőzés"/>
    <s v="3"/>
    <s v="Flaisz Róbert"/>
    <s v="TADASHII "/>
    <s v="HUN"/>
    <n v="0"/>
    <s v="nem volt nyertes mérkőzése"/>
    <s v="Gyöngyös"/>
    <d v="2026-03-07T00:00:00"/>
    <x v="462"/>
    <x v="1"/>
    <s v="TADASHII "/>
    <s v="utánpótlás"/>
    <s v="junior"/>
    <m/>
  </r>
  <r>
    <x v="2"/>
    <n v="2"/>
    <n v="470"/>
    <s v="Kumite"/>
    <s v="Kumite, -, 80-200 kg, Junior DOL (17-19"/>
    <x v="63"/>
    <s v="4"/>
    <s v="4 fős körmérkőzés"/>
    <s v="1"/>
    <s v="Csorba Kristóf"/>
    <s v="Shogun"/>
    <s v="HUN"/>
    <n v="6"/>
    <m/>
    <s v="Gyöngyös"/>
    <d v="2026-03-07T00:00:00"/>
    <x v="463"/>
    <x v="0"/>
    <s v="Shogun"/>
    <s v="utánpótlás"/>
    <s v="junior"/>
    <m/>
  </r>
  <r>
    <x v="2"/>
    <n v="2"/>
    <n v="491"/>
    <s v="Kumite"/>
    <s v="Kumite, -, 80-200 kg, Junior DOL (17-19"/>
    <x v="63"/>
    <s v="4"/>
    <s v="4 fős körmérkőzés"/>
    <s v="2"/>
    <s v="Sipos Árpád"/>
    <s v="KHSE"/>
    <s v="HUN"/>
    <n v="5"/>
    <m/>
    <s v="Gyöngyös"/>
    <d v="2026-03-07T00:00:00"/>
    <x v="464"/>
    <x v="0"/>
    <s v="KHSE"/>
    <s v="utánpótlás"/>
    <s v="junior"/>
    <m/>
  </r>
  <r>
    <x v="2"/>
    <n v="2"/>
    <n v="471"/>
    <s v="Kumite"/>
    <s v="Kumite, -, 80-200 kg, Junior DOL (17-19"/>
    <x v="63"/>
    <s v="4"/>
    <s v="4 fős körmérkőzés"/>
    <s v="3"/>
    <s v="Maklári Balázs"/>
    <s v="Kisvárda KKDOSC"/>
    <s v="HUN"/>
    <n v="3"/>
    <m/>
    <s v="Gyöngyös"/>
    <d v="2026-03-07T00:00:00"/>
    <x v="465"/>
    <x v="0"/>
    <s v="Kisvárda KKDOSC"/>
    <s v="utánpótlás"/>
    <s v="junior"/>
    <m/>
  </r>
  <r>
    <x v="2"/>
    <n v="2"/>
    <n v="472"/>
    <s v="Kata"/>
    <s v="Kata, -, 0-170 kg, Junior DOL (17-19"/>
    <x v="64"/>
    <s v="6"/>
    <s v="8 fős egyenes kiesés + 3. hely"/>
    <s v="1"/>
    <s v="Bessenyei Csongor"/>
    <s v="Shogun"/>
    <s v="HUN"/>
    <n v="5"/>
    <s v="6 fő esetén az 1-3 kap pontot"/>
    <s v="Gyöngyös"/>
    <d v="2026-03-07T00:00:00"/>
    <x v="460"/>
    <x v="0"/>
    <s v="Shogun"/>
    <s v="utánpótlás"/>
    <s v="junior"/>
    <m/>
  </r>
  <r>
    <x v="2"/>
    <n v="2"/>
    <n v="473"/>
    <s v="Kata"/>
    <s v="Kata, -, 0-170 kg, Junior DOL (17-19"/>
    <x v="64"/>
    <s v="6"/>
    <s v="8 fős egyenes kiesés + 3. hely"/>
    <s v="2"/>
    <s v="Terbócs Roland"/>
    <s v="Shogun"/>
    <s v="HUN"/>
    <n v="4"/>
    <s v="6 fő esetén az 1-3 kap pontot"/>
    <s v="Gyöngyös"/>
    <d v="2026-03-07T00:00:00"/>
    <x v="466"/>
    <x v="0"/>
    <s v="Shogun"/>
    <s v="utánpótlás"/>
    <s v="junior"/>
    <m/>
  </r>
  <r>
    <x v="2"/>
    <n v="2"/>
    <n v="474"/>
    <s v="Kata"/>
    <s v="Kata, -, 0-170 kg, Junior DOL (17-19"/>
    <x v="64"/>
    <s v="6"/>
    <s v="8 fős egyenes kiesés + 3. hely"/>
    <s v="3"/>
    <s v="Vágó Márton"/>
    <s v="Shogun"/>
    <s v="HUN"/>
    <n v="2"/>
    <s v="6 fő esetén az 1-3 kap pontot"/>
    <s v="Gyöngyös"/>
    <d v="2026-03-07T00:00:00"/>
    <x v="467"/>
    <x v="0"/>
    <s v="Shogun"/>
    <s v="utánpótlás"/>
    <s v="junior"/>
    <m/>
  </r>
  <r>
    <x v="2"/>
    <n v="2"/>
    <n v="475"/>
    <s v="Kata"/>
    <s v="Kata, -, 0-170 kg, Junior DOL (17-19"/>
    <x v="64"/>
    <s v="6"/>
    <s v="8 fős egyenes kiesés + 3. hely"/>
    <s v="4"/>
    <s v="Kolonics Márk"/>
    <s v="TADASHII "/>
    <s v="HUN"/>
    <n v="0"/>
    <s v="6 fő esetén az 1-3 kap pontot"/>
    <s v="Gyöngyös"/>
    <d v="2026-03-07T00:00:00"/>
    <x v="468"/>
    <x v="1"/>
    <s v="TADASHII "/>
    <s v="utánpótlás"/>
    <s v="junior"/>
    <m/>
  </r>
  <r>
    <x v="2"/>
    <n v="2"/>
    <n v="476"/>
    <s v="Kata"/>
    <s v="Kata, -, 0-170 kg, Junior DOL (17-19"/>
    <x v="64"/>
    <s v="6"/>
    <s v="8 fős egyenes kiesés + 3. hely"/>
    <s v="7-8"/>
    <s v="Kis Kevin Gyula"/>
    <s v="Borza Dojo"/>
    <s v="HUN"/>
    <n v="0"/>
    <s v="6 fő esetén az 1-3 kap pontot"/>
    <s v="Gyöngyös"/>
    <d v="2026-03-07T00:00:00"/>
    <x v="469"/>
    <x v="1"/>
    <s v="Borza Dojo"/>
    <s v="utánpótlás"/>
    <s v="junior"/>
    <m/>
  </r>
  <r>
    <x v="2"/>
    <n v="2"/>
    <n v="477"/>
    <s v="Kumite"/>
    <s v="Kumite, -, 0-50 kg, Junior DOL (17-19"/>
    <x v="65"/>
    <s v="2"/>
    <s v="2 fős egyenes kiesés"/>
    <s v="1"/>
    <s v="Fekete Csenge"/>
    <s v="Nozomu Dojo"/>
    <s v="HUN"/>
    <n v="3"/>
    <m/>
    <s v="Gyöngyös"/>
    <d v="2026-03-07T00:00:00"/>
    <x v="470"/>
    <x v="0"/>
    <s v="Nozomu Dojo"/>
    <s v="utánpótlás"/>
    <s v="junior"/>
    <m/>
  </r>
  <r>
    <x v="2"/>
    <n v="2"/>
    <n v="478"/>
    <s v="Kumite"/>
    <s v="Kumite, -, 0-50 kg, Junior DOL (17-19"/>
    <x v="65"/>
    <s v="2"/>
    <s v="2 fős egyenes kiesés"/>
    <s v="2"/>
    <s v="Szanics Boglárka"/>
    <s v="Shogun"/>
    <s v="HUN"/>
    <n v="0"/>
    <m/>
    <s v="Gyöngyös"/>
    <d v="2026-03-07T00:00:00"/>
    <x v="471"/>
    <x v="0"/>
    <s v="Shogun"/>
    <s v="utánpótlás"/>
    <s v="junior"/>
    <m/>
  </r>
  <r>
    <x v="2"/>
    <n v="2"/>
    <n v="479"/>
    <s v="Kumite"/>
    <s v="Kumite, -, 50-55 kg, Junior DOL (17-19"/>
    <x v="66"/>
    <s v="2"/>
    <s v="2 fős egyenes kiesés"/>
    <s v="1"/>
    <s v="Lukács Kamilla"/>
    <s v="Victory"/>
    <s v="HUN"/>
    <n v="3"/>
    <m/>
    <s v="Gyöngyös"/>
    <d v="2026-03-07T00:00:00"/>
    <x v="472"/>
    <x v="0"/>
    <s v="Victory"/>
    <s v="utánpótlás"/>
    <s v="junior"/>
    <m/>
  </r>
  <r>
    <x v="2"/>
    <n v="2"/>
    <n v="480"/>
    <s v="Kumite"/>
    <s v="Kumite, -, 50-55 kg, Junior DOL (17-19"/>
    <x v="66"/>
    <s v="2"/>
    <s v="2 fős egyenes kiesés"/>
    <s v="2"/>
    <s v="Ágoston Sára"/>
    <s v="KHSE"/>
    <s v="HUN"/>
    <n v="0"/>
    <m/>
    <s v="Gyöngyös"/>
    <d v="2026-03-07T00:00:00"/>
    <x v="473"/>
    <x v="0"/>
    <s v="KHSE"/>
    <s v="utánpótlás"/>
    <s v="junior"/>
    <m/>
  </r>
  <r>
    <x v="2"/>
    <n v="2"/>
    <n v="481"/>
    <s v="Kumite"/>
    <s v="Kumite, -, 55-60 kg, Junior DOL (17-19"/>
    <x v="67"/>
    <s v="2"/>
    <s v="2 fős egyenes kiesés"/>
    <s v="1"/>
    <s v="Orosz Dorina"/>
    <s v="Kemecse SE"/>
    <s v="HUN"/>
    <n v="3"/>
    <m/>
    <s v="Gyöngyös"/>
    <d v="2026-03-07T00:00:00"/>
    <x v="474"/>
    <x v="0"/>
    <s v="Kemecse SE"/>
    <s v="utánpótlás"/>
    <s v="junior"/>
    <m/>
  </r>
  <r>
    <x v="2"/>
    <n v="2"/>
    <n v="482"/>
    <s v="Kumite"/>
    <s v="Kumite, -, 55-60 kg, Junior DOL (17-19"/>
    <x v="67"/>
    <s v="2"/>
    <s v="2 fős egyenes kiesés"/>
    <s v="2"/>
    <s v="Gál Regina"/>
    <s v="Derecske BUDO"/>
    <s v="HUN"/>
    <n v="0"/>
    <m/>
    <s v="Gyöngyös"/>
    <d v="2026-03-07T00:00:00"/>
    <x v="475"/>
    <x v="0"/>
    <s v="Derecske BUDO"/>
    <s v="utánpótlás"/>
    <s v="junior"/>
    <m/>
  </r>
  <r>
    <x v="2"/>
    <n v="2"/>
    <n v="483"/>
    <s v="Kumite"/>
    <s v="Kumite, -, 60-65 kg, Junior DOL (17-19"/>
    <x v="68"/>
    <s v="5"/>
    <s v="5 fős körmérkőzés"/>
    <s v="1"/>
    <s v="Éles Léna Hanna"/>
    <s v="Victory"/>
    <s v="HUN"/>
    <n v="8"/>
    <m/>
    <s v="Gyöngyös"/>
    <d v="2026-03-07T00:00:00"/>
    <x v="476"/>
    <x v="0"/>
    <s v="Victory"/>
    <s v="utánpótlás"/>
    <s v="junior"/>
    <m/>
  </r>
  <r>
    <x v="2"/>
    <n v="2"/>
    <n v="493"/>
    <s v="Kumite"/>
    <s v="Kumite, -, 60-65 kg, Junior DOL (17-19"/>
    <x v="68"/>
    <s v="5"/>
    <s v="5 fős körmérkőzés"/>
    <s v="2"/>
    <s v="Rácz Viktória"/>
    <s v="Shogun"/>
    <s v="HUN"/>
    <n v="6"/>
    <m/>
    <s v="Gyöngyös"/>
    <d v="2026-03-07T00:00:00"/>
    <x v="56"/>
    <x v="0"/>
    <s v="Shogun"/>
    <s v="utánpótlás"/>
    <s v="junior"/>
    <m/>
  </r>
  <r>
    <x v="2"/>
    <n v="2"/>
    <n v="484"/>
    <s v="Kumite"/>
    <s v="Kumite, -, 60-65 kg, Junior DOL (17-19"/>
    <x v="68"/>
    <s v="5"/>
    <s v="5 fős körmérkőzés"/>
    <s v="3"/>
    <s v="Szutor Anna"/>
    <s v="Shogun"/>
    <s v="HUN"/>
    <n v="4"/>
    <m/>
    <s v="Gyöngyös"/>
    <d v="2026-03-07T00:00:00"/>
    <x v="477"/>
    <x v="0"/>
    <s v="Shogun"/>
    <s v="utánpótlás"/>
    <s v="junior"/>
    <m/>
  </r>
  <r>
    <x v="2"/>
    <n v="2"/>
    <n v="484"/>
    <s v="Kumite"/>
    <s v="Kumite, -, 60-65 kg, Junior DOL (17-19"/>
    <x v="68"/>
    <s v="5"/>
    <s v="5 fős körmérkőzés"/>
    <n v="4"/>
    <s v="Józsa Erika"/>
    <s v="KHSE"/>
    <s v="HUN"/>
    <n v="3"/>
    <m/>
    <s v="Gyöngyös"/>
    <d v="2026-03-07T00:00:00"/>
    <x v="478"/>
    <x v="0"/>
    <s v="KHSE"/>
    <s v="utánpótlás"/>
    <s v="junior"/>
    <m/>
  </r>
  <r>
    <x v="2"/>
    <n v="2"/>
    <n v="485"/>
    <s v="Kumite"/>
    <s v="Kumite, -, 65-199 kg, Junior DOL (17-19"/>
    <x v="75"/>
    <s v="4"/>
    <s v="4 fős körmérkőzés"/>
    <s v="1"/>
    <s v="Vórincsák Vivien"/>
    <s v="KHSE"/>
    <s v="HUN"/>
    <n v="6"/>
    <m/>
    <s v="Gyöngyös"/>
    <d v="2026-03-07T00:00:00"/>
    <x v="479"/>
    <x v="0"/>
    <s v="KHSE"/>
    <s v="utánpótlás"/>
    <s v="junior"/>
    <m/>
  </r>
  <r>
    <x v="2"/>
    <n v="2"/>
    <n v="486"/>
    <s v="Kumite"/>
    <s v="Kumite, -, 65-199 kg, Junior DOL (17-19"/>
    <x v="75"/>
    <s v="4"/>
    <s v="4 fős körmérkőzés"/>
    <s v="2"/>
    <s v="Ecsedi Réka"/>
    <s v="KHSE"/>
    <s v="HUN"/>
    <n v="5"/>
    <m/>
    <s v="Gyöngyös"/>
    <d v="2026-03-07T00:00:00"/>
    <x v="480"/>
    <x v="0"/>
    <s v="KHSE"/>
    <s v="utánpótlás"/>
    <s v="junior"/>
    <m/>
  </r>
  <r>
    <x v="2"/>
    <n v="2"/>
    <n v="487"/>
    <s v="Kumite"/>
    <s v="Kumite, -, 65-199 kg, Junior DOL (17-19"/>
    <x v="75"/>
    <s v="4"/>
    <s v="4 fős körmérkőzés"/>
    <s v="3"/>
    <s v="Szabó Petra"/>
    <s v="Shogun"/>
    <s v="HUN"/>
    <n v="3"/>
    <m/>
    <s v="Gyöngyös"/>
    <d v="2026-03-07T00:00:00"/>
    <x v="481"/>
    <x v="0"/>
    <s v="Shogun"/>
    <s v="utánpótlás"/>
    <s v="junior"/>
    <m/>
  </r>
  <r>
    <x v="2"/>
    <n v="2"/>
    <n v="494"/>
    <s v="Kata"/>
    <s v="Kata, -, 0-170 kg, Junior DOL (17-19"/>
    <x v="69"/>
    <s v="6"/>
    <s v="8 fős egyenes kiesés + 3. hely"/>
    <s v="1"/>
    <s v="Rácz Viktória"/>
    <s v="Shogun"/>
    <s v="HUN"/>
    <n v="5"/>
    <s v="6 fő esetén az 1-3 kap pontot"/>
    <s v="Gyöngyös"/>
    <d v="2026-03-07T00:00:00"/>
    <x v="56"/>
    <x v="0"/>
    <s v="Shogun"/>
    <s v="utánpótlás"/>
    <s v="junior"/>
    <m/>
  </r>
  <r>
    <x v="2"/>
    <n v="2"/>
    <n v="488"/>
    <s v="Kata"/>
    <s v="Kata, -, 0-170 kg, Junior DOL (17-19"/>
    <x v="69"/>
    <s v="6"/>
    <s v="8 fős egyenes kiesés + 3. hely"/>
    <s v="2"/>
    <s v="Gerő Hanna Gréta"/>
    <s v="Kagami"/>
    <s v="HUN"/>
    <n v="4"/>
    <s v="6 fő esetén az 1-3 kap pontot"/>
    <s v="Gyöngyös"/>
    <d v="2026-03-07T00:00:00"/>
    <x v="55"/>
    <x v="0"/>
    <s v="Kagami"/>
    <s v="utánpótlás"/>
    <s v="junior"/>
    <m/>
  </r>
  <r>
    <x v="2"/>
    <n v="2"/>
    <n v="495"/>
    <s v="Kata"/>
    <s v="Kata, -, 0-170 kg, Junior DOL (17-19"/>
    <x v="69"/>
    <s v="6"/>
    <s v="8 fős egyenes kiesés + 3. hely"/>
    <s v="3"/>
    <s v="Sólyom Gréta"/>
    <s v="Shogun"/>
    <s v="HUN"/>
    <n v="2"/>
    <s v="6 fő esetén az 1-3 kap pontot"/>
    <s v="Gyöngyös"/>
    <d v="2026-03-07T00:00:00"/>
    <x v="60"/>
    <x v="0"/>
    <s v="Shogun"/>
    <s v="utánpótlás"/>
    <s v="junior"/>
    <m/>
  </r>
  <r>
    <x v="2"/>
    <n v="2"/>
    <n v="496"/>
    <s v="Kata"/>
    <s v="Kata, -, 0-170 kg, Junior DOL (17-19"/>
    <x v="69"/>
    <s v="6"/>
    <s v="8 fős egyenes kiesés + 3. hely"/>
    <s v="4"/>
    <s v="Arnódi Gréta Bernadette"/>
    <s v="Kagami"/>
    <s v="HUN"/>
    <n v="0"/>
    <s v="6 fő esetén az 1-3 kap pontot"/>
    <s v="Gyöngyös"/>
    <d v="2026-03-07T00:00:00"/>
    <x v="58"/>
    <x v="0"/>
    <s v="Kagami"/>
    <s v="utánpótlás"/>
    <s v="junior"/>
    <m/>
  </r>
  <r>
    <x v="2"/>
    <n v="2"/>
    <n v="489"/>
    <s v="Kata"/>
    <s v="Kata, -, 0-170 kg, Junior DOL (17-19"/>
    <x v="69"/>
    <s v="6"/>
    <s v="8 fős egyenes kiesés + 3. hely"/>
    <s v="5"/>
    <s v="Szutor Anna"/>
    <s v="Shogun"/>
    <s v="HUN"/>
    <n v="0"/>
    <s v="6 fő esetén az 1-3 kap pontot"/>
    <s v="Gyöngyös"/>
    <d v="2026-03-07T00:00:00"/>
    <x v="477"/>
    <x v="0"/>
    <s v="Shogun"/>
    <s v="utánpótlás"/>
    <s v="junior"/>
    <m/>
  </r>
  <r>
    <x v="2"/>
    <n v="2"/>
    <n v="490"/>
    <s v="Kata"/>
    <s v="Kata, -, 0-170 kg, Junior DOL (17-19"/>
    <x v="69"/>
    <s v="6"/>
    <s v="8 fős egyenes kiesés + 3. hely"/>
    <s v="7-8"/>
    <s v="Orosz Dorina"/>
    <s v="Kemecse SE"/>
    <s v="HUN"/>
    <n v="0"/>
    <s v="6 fő esetén az 1-3 kap pontot"/>
    <s v="Gyöngyös"/>
    <d v="2026-03-07T00:00:00"/>
    <x v="474"/>
    <x v="0"/>
    <s v="Kemecse SE"/>
    <s v="utánpótlás"/>
    <s v="junior"/>
    <m/>
  </r>
  <r>
    <x v="2"/>
    <n v="2"/>
    <n v="492"/>
    <s v="Kata"/>
    <s v="Kata, -, 0-170 kg, Junior DOL (17-19"/>
    <x v="64"/>
    <s v="6"/>
    <s v="8 fős egyenes kiesés + 3. hely"/>
    <s v="7-8"/>
    <s v="Takács-Sárkány Zalán"/>
    <s v="KHSE"/>
    <s v="HUN"/>
    <n v="0"/>
    <s v="6 fő esetén az 1-3 kap pontot"/>
    <s v="Gyöngyös"/>
    <d v="2026-03-07T00:00:00"/>
    <x v="482"/>
    <x v="0"/>
    <s v="KHSE"/>
    <s v="utánpótlás"/>
    <s v="junior"/>
    <m/>
  </r>
  <r>
    <x v="3"/>
    <s v="3A"/>
    <n v="498"/>
    <s v="Kumite"/>
    <s v="Kumite, -, 0-30 kg, Gyerek 1. (9-10"/>
    <x v="18"/>
    <s v="11"/>
    <s v="16 fős egyenes kiesés"/>
    <s v="1"/>
    <s v="Szlivka Botond Csaba"/>
    <s v="Shogun"/>
    <s v="HUN"/>
    <n v="10"/>
    <m/>
    <s v="Szigetszentmiklós"/>
    <d v="2026-03-22T00:00:00"/>
    <x v="295"/>
    <x v="0"/>
    <s v="Shogun"/>
    <s v="utánpótlás"/>
    <s v="gyerek"/>
    <m/>
  </r>
  <r>
    <x v="3"/>
    <s v="3A"/>
    <n v="499"/>
    <s v="Kumite"/>
    <s v="Kumite, -, 0-30 kg, Gyerek 1. (9-10"/>
    <x v="18"/>
    <s v="11"/>
    <s v="16 fős egyenes kiesés"/>
    <s v="2"/>
    <s v="Vámosi Juhász Ádám"/>
    <s v="Nagykátai Bushido SE"/>
    <s v="HUN"/>
    <n v="8"/>
    <m/>
    <s v="Szigetszentmiklós"/>
    <d v="2026-03-22T00:00:00"/>
    <x v="67"/>
    <x v="0"/>
    <s v="Nagykátai Bushido SE"/>
    <s v="utánpótlás"/>
    <s v="gyerek"/>
    <m/>
  </r>
  <r>
    <x v="3"/>
    <s v="3A"/>
    <n v="500"/>
    <s v="Kumite"/>
    <s v="Kumite, -, 0-30 kg, Gyerek 1. (9-10"/>
    <x v="18"/>
    <s v="11"/>
    <s v="16 fős egyenes kiesés"/>
    <s v="3"/>
    <s v="Zajácz Imre"/>
    <s v="Kamikaze S"/>
    <s v="HUN"/>
    <n v="6"/>
    <m/>
    <s v="Szigetszentmiklós"/>
    <d v="2026-03-22T00:00:00"/>
    <x v="68"/>
    <x v="0"/>
    <s v="Kamikaze S"/>
    <s v="utánpótlás"/>
    <s v="gyerek"/>
    <m/>
  </r>
  <r>
    <x v="3"/>
    <s v="3A"/>
    <n v="501"/>
    <s v="Kumite"/>
    <s v="Kumite, -, 0-30 kg, Gyerek 1. (9-10"/>
    <x v="18"/>
    <s v="11"/>
    <s v="16 fős egyenes kiesés"/>
    <s v="3"/>
    <s v="Aldubai Mohamed Hamzah"/>
    <s v="Victory"/>
    <s v="HUN"/>
    <n v="6"/>
    <m/>
    <s v="Szigetszentmiklós"/>
    <d v="2026-03-22T00:00:00"/>
    <x v="296"/>
    <x v="0"/>
    <s v="Victory"/>
    <s v="utánpótlás"/>
    <s v="gyerek"/>
    <m/>
  </r>
  <r>
    <x v="3"/>
    <s v="3A"/>
    <n v="502"/>
    <s v="Kumite"/>
    <s v="Kumite, -, 0-30 kg, Gyerek 1. (9-10"/>
    <x v="18"/>
    <s v="11"/>
    <s v="16 fős egyenes kiesés"/>
    <s v="5"/>
    <s v="Hadnagy Botond"/>
    <s v="Rokku KKSE"/>
    <s v="HUN"/>
    <n v="0"/>
    <s v="nem volt nyertes mérkőzése"/>
    <s v="Szigetszentmiklós"/>
    <d v="2026-03-22T00:00:00"/>
    <x v="483"/>
    <x v="0"/>
    <s v="Rokku KKSE"/>
    <s v="utánpótlás"/>
    <s v="gyerek"/>
    <m/>
  </r>
  <r>
    <x v="3"/>
    <s v="3A"/>
    <n v="503"/>
    <s v="Kumite"/>
    <s v="Kumite, -, 0-30 kg, Gyerek 1. (9-10"/>
    <x v="18"/>
    <s v="11"/>
    <s v="16 fős egyenes kiesés"/>
    <s v="6"/>
    <s v="Aupek Márk"/>
    <s v="VTSE"/>
    <s v="HUN"/>
    <n v="3"/>
    <m/>
    <s v="Szigetszentmiklós"/>
    <d v="2026-03-22T00:00:00"/>
    <x v="69"/>
    <x v="1"/>
    <s v="VTSE"/>
    <s v="utánpótlás"/>
    <s v="gyerek"/>
    <m/>
  </r>
  <r>
    <x v="3"/>
    <s v="3A"/>
    <n v="504"/>
    <s v="Kumite"/>
    <s v="Kumite, -, 0-30 kg, Gyerek 1. (9-10"/>
    <x v="18"/>
    <s v="11"/>
    <s v="16 fős egyenes kiesés"/>
    <s v="7-8"/>
    <s v="Kovács Kornél"/>
    <s v="KYO Fighter SE"/>
    <s v="HUN"/>
    <n v="3"/>
    <m/>
    <s v="Szigetszentmiklós"/>
    <d v="2026-03-22T00:00:00"/>
    <x v="484"/>
    <x v="0"/>
    <s v="KYO Fighter SE"/>
    <s v="utánpótlás"/>
    <s v="gyerek"/>
    <m/>
  </r>
  <r>
    <x v="3"/>
    <s v="3A"/>
    <n v="505"/>
    <s v="Kumite"/>
    <s v="Kumite, -, 0-30 kg, Gyerek 1. (9-10"/>
    <x v="18"/>
    <s v="11"/>
    <s v="16 fős egyenes kiesés"/>
    <s v="7-8"/>
    <s v="Lajkó Vince"/>
    <s v="Buke Reikon HRSE"/>
    <s v="HUN"/>
    <n v="3"/>
    <m/>
    <s v="Szigetszentmiklós"/>
    <d v="2026-03-22T00:00:00"/>
    <x v="485"/>
    <x v="0"/>
    <s v="Buke Reikon HRSE"/>
    <s v="utánpótlás"/>
    <s v="gyerek"/>
    <m/>
  </r>
  <r>
    <x v="3"/>
    <s v="3A"/>
    <n v="506"/>
    <s v="Kumite"/>
    <s v="Kumite, -, 0-30 kg, Gyerek 1. (9-10"/>
    <x v="18"/>
    <s v="11"/>
    <s v="16 fős egyenes kiesés"/>
    <s v="11-16"/>
    <s v="Huszti Dániel"/>
    <s v="Shogun"/>
    <s v="HUN"/>
    <n v="0"/>
    <m/>
    <s v="Szigetszentmiklós"/>
    <d v="2026-03-22T00:00:00"/>
    <x v="297"/>
    <x v="0"/>
    <s v="Shogun"/>
    <s v="utánpótlás"/>
    <s v="gyerek"/>
    <m/>
  </r>
  <r>
    <x v="3"/>
    <s v="3A"/>
    <n v="507"/>
    <s v="Kumite"/>
    <s v="Kumite, -, 0-30 kg, Gyerek 1. (9-10"/>
    <x v="18"/>
    <s v="11"/>
    <s v="16 fős egyenes kiesés"/>
    <s v="11-16"/>
    <s v="Csordás Olivér"/>
    <s v="KSE Tarján"/>
    <s v="HUN"/>
    <n v="0"/>
    <m/>
    <s v="Szigetszentmiklós"/>
    <d v="2026-03-22T00:00:00"/>
    <x v="81"/>
    <x v="0"/>
    <s v="KSE Tarján"/>
    <s v="utánpótlás"/>
    <s v="gyerek"/>
    <m/>
  </r>
  <r>
    <x v="3"/>
    <s v="3A"/>
    <n v="508"/>
    <s v="Kumite"/>
    <s v="Kumite, -, 0-30 kg, Gyerek 1. (9-10"/>
    <x v="18"/>
    <s v="11"/>
    <s v="16 fős egyenes kiesés"/>
    <s v="11-16"/>
    <s v="Sárközi Bence"/>
    <s v="Shogun"/>
    <s v="HUN"/>
    <n v="0"/>
    <m/>
    <s v="Szigetszentmiklós"/>
    <d v="2026-03-22T00:00:00"/>
    <x v="309"/>
    <x v="0"/>
    <s v="Shogun"/>
    <s v="utánpótlás"/>
    <s v="gyerek"/>
    <m/>
  </r>
  <r>
    <x v="3"/>
    <s v="3A"/>
    <n v="509"/>
    <s v="Kumite"/>
    <s v="Kumite, -, 30-35 kg, Gyerek 1. (9-10"/>
    <x v="19"/>
    <s v="11"/>
    <s v="16 fős egyenes kiesés"/>
    <s v="1"/>
    <s v="Gombos-Weidinger Bence"/>
    <s v="BHMSE"/>
    <s v="HUN"/>
    <n v="10"/>
    <m/>
    <s v="Szigetszentmiklós"/>
    <d v="2026-03-22T00:00:00"/>
    <x v="70"/>
    <x v="0"/>
    <s v="BHMSE"/>
    <s v="utánpótlás"/>
    <s v="gyerek"/>
    <m/>
  </r>
  <r>
    <x v="3"/>
    <s v="3A"/>
    <n v="510"/>
    <s v="Kumite"/>
    <s v="Kumite, -, 30-35 kg, Gyerek 1. (9-10"/>
    <x v="19"/>
    <s v="11"/>
    <s v="16 fős egyenes kiesés"/>
    <s v="2"/>
    <s v="Blokhin Alexei"/>
    <s v="Victory"/>
    <s v="HUN"/>
    <n v="8"/>
    <m/>
    <s v="Szigetszentmiklós"/>
    <d v="2026-03-22T00:00:00"/>
    <x v="301"/>
    <x v="0"/>
    <s v="Victory"/>
    <s v="utánpótlás"/>
    <s v="gyerek"/>
    <m/>
  </r>
  <r>
    <x v="3"/>
    <s v="3A"/>
    <n v="511"/>
    <s v="Kumite"/>
    <s v="Kumite, -, 30-35 kg, Gyerek 1. (9-10"/>
    <x v="19"/>
    <s v="11"/>
    <s v="16 fős egyenes kiesés"/>
    <s v="3"/>
    <s v="Oszlánczi Zente"/>
    <s v="KYO Fighter SE"/>
    <s v="HUN"/>
    <n v="6"/>
    <m/>
    <s v="Szigetszentmiklós"/>
    <d v="2026-03-22T00:00:00"/>
    <x v="303"/>
    <x v="0"/>
    <s v="KYO Fighter SE"/>
    <s v="utánpótlás"/>
    <s v="gyerek"/>
    <m/>
  </r>
  <r>
    <x v="3"/>
    <s v="3A"/>
    <n v="512"/>
    <s v="Kumite"/>
    <s v="Kumite, -, 30-35 kg, Gyerek 1. (9-10"/>
    <x v="19"/>
    <s v="11"/>
    <s v="16 fős egyenes kiesés"/>
    <s v="3"/>
    <s v="Marjai Sándor"/>
    <s v="Kelemen-Team"/>
    <s v="HUN"/>
    <n v="6"/>
    <m/>
    <s v="Szigetszentmiklós"/>
    <d v="2026-03-22T00:00:00"/>
    <x v="298"/>
    <x v="0"/>
    <s v="Kelemen-Team"/>
    <s v="utánpótlás"/>
    <s v="gyerek"/>
    <m/>
  </r>
  <r>
    <x v="3"/>
    <s v="3A"/>
    <n v="513"/>
    <s v="Kumite"/>
    <s v="Kumite, -, 30-35 kg, Gyerek 1. (9-10"/>
    <x v="19"/>
    <s v="11"/>
    <s v="16 fős egyenes kiesés"/>
    <s v="5"/>
    <s v="Dániel Bence"/>
    <s v="Shogun"/>
    <s v="HUN"/>
    <n v="3"/>
    <m/>
    <s v="Szigetszentmiklós"/>
    <d v="2026-03-22T00:00:00"/>
    <x v="304"/>
    <x v="0"/>
    <s v="Shogun"/>
    <s v="utánpótlás"/>
    <s v="gyerek"/>
    <m/>
  </r>
  <r>
    <x v="3"/>
    <s v="3A"/>
    <n v="514"/>
    <s v="Kumite"/>
    <s v="Kumite, -, 30-35 kg, Gyerek 1. (9-10"/>
    <x v="19"/>
    <s v="11"/>
    <s v="16 fős egyenes kiesés"/>
    <s v="6"/>
    <s v="Seres Zoltán"/>
    <s v="Ippon KKSE"/>
    <s v="HUN"/>
    <n v="0"/>
    <s v="nem volt nyertes mérkőzése"/>
    <s v="Szigetszentmiklós"/>
    <d v="2026-03-22T00:00:00"/>
    <x v="71"/>
    <x v="0"/>
    <s v="Ippon KKSE"/>
    <s v="utánpótlás"/>
    <s v="gyerek"/>
    <m/>
  </r>
  <r>
    <x v="3"/>
    <s v="3A"/>
    <n v="515"/>
    <s v="Kumite"/>
    <s v="Kumite, -, 30-35 kg, Gyerek 1. (9-10"/>
    <x v="19"/>
    <s v="11"/>
    <s v="16 fős egyenes kiesés"/>
    <s v="7-8"/>
    <s v="Lévai Benedek"/>
    <s v="BHMSE"/>
    <s v="HUN"/>
    <n v="0"/>
    <s v="nem volt nyertes mérkőzése"/>
    <s v="Szigetszentmiklós"/>
    <d v="2026-03-22T00:00:00"/>
    <x v="486"/>
    <x v="0"/>
    <s v="BHMSE"/>
    <s v="utánpótlás"/>
    <s v="gyerek"/>
    <m/>
  </r>
  <r>
    <x v="3"/>
    <s v="3A"/>
    <n v="516"/>
    <s v="Kumite"/>
    <s v="Kumite, -, 30-35 kg, Gyerek 1. (9-10"/>
    <x v="19"/>
    <s v="11"/>
    <s v="16 fős egyenes kiesés"/>
    <s v="7-8"/>
    <s v="Mohácsi DOminik"/>
    <s v="Victory"/>
    <s v="HUN"/>
    <n v="0"/>
    <s v="nem volt nyertes mérkőzése"/>
    <s v="Szigetszentmiklós"/>
    <d v="2026-03-22T00:00:00"/>
    <x v="299"/>
    <x v="0"/>
    <s v="Victory"/>
    <s v="utánpótlás"/>
    <s v="gyerek"/>
    <m/>
  </r>
  <r>
    <x v="3"/>
    <s v="3A"/>
    <n v="517"/>
    <s v="Kumite"/>
    <s v="Kumite, -, 30-35 kg, Gyerek 1. (9-10"/>
    <x v="19"/>
    <s v="11"/>
    <s v="16 fős egyenes kiesés"/>
    <s v="10"/>
    <s v="Bányai Kende"/>
    <s v="VTSE"/>
    <s v="HUN"/>
    <n v="0"/>
    <m/>
    <s v="Szigetszentmiklós"/>
    <d v="2026-03-22T00:00:00"/>
    <x v="487"/>
    <x v="1"/>
    <s v="VTSE"/>
    <s v="utánpótlás"/>
    <s v="gyerek"/>
    <m/>
  </r>
  <r>
    <x v="3"/>
    <s v="3A"/>
    <n v="518"/>
    <s v="Kumite"/>
    <s v="Kumite, -, 30-35 kg, Gyerek 1. (9-10"/>
    <x v="19"/>
    <s v="11"/>
    <s v="16 fős egyenes kiesés"/>
    <s v="11-16"/>
    <s v="Kádár Boldizsár"/>
    <s v="Rakurai"/>
    <s v="HUN"/>
    <n v="0"/>
    <m/>
    <s v="Szigetszentmiklós"/>
    <d v="2026-03-22T00:00:00"/>
    <x v="488"/>
    <x v="0"/>
    <s v="Rakurai"/>
    <s v="utánpótlás"/>
    <s v="gyerek"/>
    <m/>
  </r>
  <r>
    <x v="3"/>
    <s v="3A"/>
    <n v="519"/>
    <s v="Kumite"/>
    <s v="Kumite, -, 30-35 kg, Gyerek 1. (9-10"/>
    <x v="19"/>
    <s v="11"/>
    <s v="16 fős egyenes kiesés"/>
    <s v="11-16"/>
    <s v="Papp László"/>
    <s v="Kelemen-Team"/>
    <s v="HUN"/>
    <n v="0"/>
    <m/>
    <s v="Szigetszentmiklós"/>
    <d v="2026-03-22T00:00:00"/>
    <x v="302"/>
    <x v="0"/>
    <s v="Kelemen-Team"/>
    <s v="utánpótlás"/>
    <s v="gyerek"/>
    <m/>
  </r>
  <r>
    <x v="3"/>
    <s v="3A"/>
    <n v="520"/>
    <s v="Kumite"/>
    <s v="Kumite, -, 35-99 kg, Gyerek 1. (9-10"/>
    <x v="20"/>
    <s v="9"/>
    <s v="16 fős egyenes kiesés"/>
    <s v="1"/>
    <s v="Petrohai Dávid"/>
    <s v="Shogun"/>
    <s v="HUN"/>
    <n v="10"/>
    <m/>
    <s v="Szigetszentmiklós"/>
    <d v="2026-03-22T00:00:00"/>
    <x v="305"/>
    <x v="0"/>
    <s v="Shogun"/>
    <s v="utánpótlás"/>
    <s v="gyerek"/>
    <m/>
  </r>
  <r>
    <x v="3"/>
    <s v="3A"/>
    <n v="521"/>
    <s v="Kumite"/>
    <s v="Kumite, -, 35-99 kg, Gyerek 1. (9-10"/>
    <x v="20"/>
    <s v="9"/>
    <s v="16 fős egyenes kiesés"/>
    <s v="2"/>
    <s v="Dudás Benedek"/>
    <s v="Bendiák Dojo"/>
    <s v="HUN"/>
    <n v="8"/>
    <m/>
    <s v="Szigetszentmiklós"/>
    <d v="2026-03-22T00:00:00"/>
    <x v="306"/>
    <x v="0"/>
    <s v="Bendiák Dojo"/>
    <s v="utánpótlás"/>
    <s v="gyerek"/>
    <m/>
  </r>
  <r>
    <x v="3"/>
    <s v="3A"/>
    <n v="522"/>
    <s v="Kumite"/>
    <s v="Kumite, -, 35-99 kg, Gyerek 1. (9-10"/>
    <x v="20"/>
    <s v="9"/>
    <s v="16 fős egyenes kiesés"/>
    <s v="3"/>
    <s v="Kasza Benett"/>
    <s v="Nagykátai Bushido SE"/>
    <s v="HUN"/>
    <n v="6"/>
    <m/>
    <s v="Szigetszentmiklós"/>
    <d v="2026-03-22T00:00:00"/>
    <x v="74"/>
    <x v="0"/>
    <s v="Nagykátai Bushido SE"/>
    <s v="utánpótlás"/>
    <s v="gyerek"/>
    <m/>
  </r>
  <r>
    <x v="3"/>
    <s v="3A"/>
    <n v="523"/>
    <s v="Kumite"/>
    <s v="Kumite, -, 35-99 kg, Gyerek 1. (9-10"/>
    <x v="20"/>
    <s v="9"/>
    <s v="16 fős egyenes kiesés"/>
    <s v="3"/>
    <s v="Szabó Marcell Károly"/>
    <s v="Katana SE"/>
    <s v="HUN"/>
    <n v="6"/>
    <m/>
    <s v="Szigetszentmiklós"/>
    <d v="2026-03-22T00:00:00"/>
    <x v="73"/>
    <x v="0"/>
    <s v="Katana SE"/>
    <s v="utánpótlás"/>
    <s v="gyerek"/>
    <m/>
  </r>
  <r>
    <x v="3"/>
    <s v="3A"/>
    <n v="524"/>
    <s v="Kumite"/>
    <s v="Kumite, -, 35-99 kg, Gyerek 1. (9-10"/>
    <x v="20"/>
    <s v="9"/>
    <s v="16 fős egyenes kiesés"/>
    <s v="5"/>
    <s v="Tamási Péter Tamás"/>
    <s v="Castrum"/>
    <s v="HUN"/>
    <n v="0"/>
    <s v="nem volt nyertes mérkőzése"/>
    <s v="Szigetszentmiklós"/>
    <d v="2026-03-22T00:00:00"/>
    <x v="78"/>
    <x v="0"/>
    <s v="Castrum"/>
    <s v="utánpótlás"/>
    <s v="gyerek"/>
    <m/>
  </r>
  <r>
    <x v="3"/>
    <s v="3A"/>
    <n v="525"/>
    <s v="Kumite"/>
    <s v="Kumite, -, 35-99 kg, Gyerek 1. (9-10"/>
    <x v="20"/>
    <s v="9"/>
    <s v="16 fős egyenes kiesés"/>
    <s v="6"/>
    <s v="Dócs Nándor"/>
    <s v="Nozomu Dojo"/>
    <s v="HUN"/>
    <n v="3"/>
    <m/>
    <s v="Szigetszentmiklós"/>
    <d v="2026-03-22T00:00:00"/>
    <x v="307"/>
    <x v="0"/>
    <s v="Nozomu Dojo"/>
    <s v="utánpótlás"/>
    <s v="gyerek"/>
    <m/>
  </r>
  <r>
    <x v="3"/>
    <s v="3A"/>
    <n v="526"/>
    <s v="Kumite"/>
    <s v="Kumite, -, 35-99 kg, Gyerek 1. (9-10"/>
    <x v="20"/>
    <s v="9"/>
    <s v="16 fős egyenes kiesés"/>
    <s v="7-8"/>
    <s v="Máté Lénárd"/>
    <s v="Kelemen-Team"/>
    <s v="HUN"/>
    <n v="0"/>
    <s v="nem volt nyertes mérkőzése"/>
    <s v="Szigetszentmiklós"/>
    <d v="2026-03-22T00:00:00"/>
    <x v="308"/>
    <x v="0"/>
    <s v="Kelemen-Team"/>
    <s v="utánpótlás"/>
    <s v="gyerek"/>
    <m/>
  </r>
  <r>
    <x v="3"/>
    <s v="3A"/>
    <n v="527"/>
    <s v="Kumite"/>
    <s v="Kumite, -, 35-99 kg, Gyerek 1. (9-10"/>
    <x v="20"/>
    <s v="9"/>
    <s v="16 fős egyenes kiesés"/>
    <s v="7-8"/>
    <s v="Petróczki Bendegúz"/>
    <s v="Bátor KSE"/>
    <s v="HUN"/>
    <n v="0"/>
    <m/>
    <s v="Szigetszentmiklós"/>
    <d v="2026-03-22T00:00:00"/>
    <x v="489"/>
    <x v="0"/>
    <s v="Bátor KSE"/>
    <s v="utánpótlás"/>
    <s v="gyerek"/>
    <m/>
  </r>
  <r>
    <x v="3"/>
    <s v="3A"/>
    <n v="528"/>
    <s v="Kumite"/>
    <s v="Kumite, -, 35-99 kg, Gyerek 1. (9-10"/>
    <x v="20"/>
    <s v="9"/>
    <s v="16 fős egyenes kiesés"/>
    <s v="11-16"/>
    <s v="Bakonyi Erik"/>
    <s v="BHMSE"/>
    <s v="HUN"/>
    <n v="0"/>
    <m/>
    <s v="Szigetszentmiklós"/>
    <d v="2026-03-22T00:00:00"/>
    <x v="75"/>
    <x v="0"/>
    <s v="BHMSE"/>
    <s v="utánpótlás"/>
    <s v="gyerek"/>
    <m/>
  </r>
  <r>
    <x v="3"/>
    <s v="3A"/>
    <n v="529"/>
    <s v="Kata"/>
    <s v="Kata, -, 0-100 kg, Gyerek 1. (9-10"/>
    <x v="21"/>
    <s v="18"/>
    <s v="32 fős egyenes kiesés"/>
    <s v="1"/>
    <s v="Petrohai Dávid"/>
    <s v="Shogun"/>
    <s v="HUN"/>
    <n v="10"/>
    <m/>
    <s v="Szigetszentmiklós"/>
    <d v="2026-03-22T00:00:00"/>
    <x v="305"/>
    <x v="0"/>
    <s v="Shogun"/>
    <s v="utánpótlás"/>
    <s v="gyerek"/>
    <m/>
  </r>
  <r>
    <x v="3"/>
    <s v="3A"/>
    <n v="530"/>
    <s v="Kata"/>
    <s v="Kata, -, 0-100 kg, Gyerek 1. (9-10"/>
    <x v="21"/>
    <s v="18"/>
    <s v="32 fős egyenes kiesés"/>
    <s v="2"/>
    <s v="Szlivka Botond Csaba"/>
    <s v="Shogun"/>
    <s v="HUN"/>
    <n v="7"/>
    <m/>
    <s v="Szigetszentmiklós"/>
    <d v="2026-03-22T00:00:00"/>
    <x v="295"/>
    <x v="0"/>
    <s v="Shogun"/>
    <s v="utánpótlás"/>
    <s v="gyerek"/>
    <m/>
  </r>
  <r>
    <x v="3"/>
    <s v="3A"/>
    <n v="531"/>
    <s v="Kata"/>
    <s v="Kata, -, 0-100 kg, Gyerek 1. (9-10"/>
    <x v="21"/>
    <s v="18"/>
    <s v="32 fős egyenes kiesés"/>
    <s v="3"/>
    <s v="Huszti Dániel"/>
    <s v="Shogun"/>
    <s v="HUN"/>
    <n v="5"/>
    <m/>
    <s v="Szigetszentmiklós"/>
    <d v="2026-03-22T00:00:00"/>
    <x v="297"/>
    <x v="0"/>
    <s v="Shogun"/>
    <s v="utánpótlás"/>
    <s v="gyerek"/>
    <m/>
  </r>
  <r>
    <x v="3"/>
    <s v="3A"/>
    <n v="532"/>
    <s v="Kata"/>
    <s v="Kata, -, 0-100 kg, Gyerek 1. (9-10"/>
    <x v="21"/>
    <s v="18"/>
    <s v="32 fős egyenes kiesés"/>
    <s v="3"/>
    <s v="Németh Dávid"/>
    <s v="BHMSE"/>
    <s v="HUN"/>
    <n v="5"/>
    <m/>
    <s v="Szigetszentmiklós"/>
    <d v="2026-03-22T00:00:00"/>
    <x v="84"/>
    <x v="0"/>
    <s v="BHMSE"/>
    <s v="utánpótlás"/>
    <s v="gyerek"/>
    <m/>
  </r>
  <r>
    <x v="3"/>
    <s v="3A"/>
    <n v="533"/>
    <s v="Kata"/>
    <s v="Kata, -, 0-100 kg, Gyerek 1. (9-10"/>
    <x v="21"/>
    <s v="18"/>
    <s v="32 fős egyenes kiesés"/>
    <s v="5"/>
    <s v="Dániel Bence"/>
    <s v="Shogun"/>
    <s v="HUN"/>
    <n v="3"/>
    <m/>
    <s v="Szigetszentmiklós"/>
    <d v="2026-03-22T00:00:00"/>
    <x v="304"/>
    <x v="0"/>
    <s v="Shogun"/>
    <s v="utánpótlás"/>
    <s v="gyerek"/>
    <m/>
  </r>
  <r>
    <x v="3"/>
    <s v="3A"/>
    <n v="534"/>
    <s v="Kata"/>
    <s v="Kata, -, 0-100 kg, Gyerek 1. (9-10"/>
    <x v="21"/>
    <s v="18"/>
    <s v="32 fős egyenes kiesés"/>
    <s v="6"/>
    <s v="Karácsony Vadim"/>
    <s v="BHMSE"/>
    <s v="HUN"/>
    <n v="3"/>
    <m/>
    <s v="Szigetszentmiklós"/>
    <d v="2026-03-22T00:00:00"/>
    <x v="87"/>
    <x v="0"/>
    <s v="BHMSE"/>
    <s v="utánpótlás"/>
    <s v="gyerek"/>
    <m/>
  </r>
  <r>
    <x v="3"/>
    <s v="3A"/>
    <n v="535"/>
    <s v="Kata"/>
    <s v="Kata, -, 0-100 kg, Gyerek 1. (9-10"/>
    <x v="21"/>
    <s v="18"/>
    <s v="32 fős egyenes kiesés"/>
    <s v="7-8"/>
    <s v="Sárközi Bence"/>
    <s v="Shogun"/>
    <s v="HUN"/>
    <n v="3"/>
    <m/>
    <s v="Szigetszentmiklós"/>
    <d v="2026-03-22T00:00:00"/>
    <x v="309"/>
    <x v="0"/>
    <s v="Shogun"/>
    <s v="utánpótlás"/>
    <s v="gyerek"/>
    <m/>
  </r>
  <r>
    <x v="3"/>
    <s v="3A"/>
    <n v="536"/>
    <s v="Kata"/>
    <s v="Kata, -, 0-100 kg, Gyerek 1. (9-10"/>
    <x v="21"/>
    <s v="18"/>
    <s v="32 fős egyenes kiesés"/>
    <s v="7-8"/>
    <s v="Bakonyi Erik"/>
    <s v="BHMSE"/>
    <s v="HUN"/>
    <n v="3"/>
    <m/>
    <s v="Szigetszentmiklós"/>
    <d v="2026-03-22T00:00:00"/>
    <x v="75"/>
    <x v="0"/>
    <s v="BHMSE"/>
    <s v="utánpótlás"/>
    <s v="gyerek"/>
    <m/>
  </r>
  <r>
    <x v="3"/>
    <s v="3A"/>
    <n v="537"/>
    <s v="Kata"/>
    <s v="Kata, -, 0-100 kg, Gyerek 1. (9-10"/>
    <x v="21"/>
    <s v="18"/>
    <s v="32 fős egyenes kiesés"/>
    <s v="9"/>
    <s v="Gattoni Marcello"/>
    <s v="BHMSE"/>
    <s v="HUN"/>
    <n v="0"/>
    <m/>
    <s v="Szigetszentmiklós"/>
    <d v="2026-03-22T00:00:00"/>
    <x v="86"/>
    <x v="0"/>
    <s v="BHMSE"/>
    <s v="utánpótlás"/>
    <s v="gyerek"/>
    <m/>
  </r>
  <r>
    <x v="3"/>
    <s v="3A"/>
    <n v="538"/>
    <s v="Kata"/>
    <s v="Kata, -, 0-100 kg, Gyerek 1. (9-10"/>
    <x v="21"/>
    <s v="18"/>
    <s v="32 fős egyenes kiesés"/>
    <s v="10"/>
    <s v="Gruber Marcell"/>
    <s v="Siófok KSE"/>
    <s v="HUN"/>
    <n v="0"/>
    <m/>
    <s v="Szigetszentmiklós"/>
    <d v="2026-03-22T00:00:00"/>
    <x v="82"/>
    <x v="0"/>
    <s v="Siófok KSE"/>
    <s v="utánpótlás"/>
    <s v="gyerek"/>
    <m/>
  </r>
  <r>
    <x v="3"/>
    <s v="3A"/>
    <n v="539"/>
    <s v="Kata"/>
    <s v="Kata, -, 0-100 kg, Gyerek 1. (9-10"/>
    <x v="21"/>
    <s v="18"/>
    <s v="32 fős egyenes kiesés"/>
    <s v="11-16"/>
    <s v="Csordás Olivér"/>
    <s v="KSE Tarján"/>
    <s v="HUN"/>
    <n v="0"/>
    <m/>
    <s v="Szigetszentmiklós"/>
    <d v="2026-03-22T00:00:00"/>
    <x v="81"/>
    <x v="0"/>
    <s v="KSE Tarján"/>
    <s v="utánpótlás"/>
    <s v="gyerek"/>
    <m/>
  </r>
  <r>
    <x v="3"/>
    <s v="3A"/>
    <n v="540"/>
    <s v="Kata"/>
    <s v="Kata, -, 0-100 kg, Gyerek 1. (9-10"/>
    <x v="21"/>
    <s v="18"/>
    <s v="32 fős egyenes kiesés"/>
    <s v="11-16"/>
    <s v="Aupek Márk"/>
    <s v="VTSE"/>
    <s v="HUN"/>
    <n v="0"/>
    <m/>
    <s v="Szigetszentmiklós"/>
    <d v="2026-03-22T00:00:00"/>
    <x v="69"/>
    <x v="1"/>
    <s v="VTSE"/>
    <s v="utánpótlás"/>
    <s v="gyerek"/>
    <m/>
  </r>
  <r>
    <x v="3"/>
    <s v="3A"/>
    <n v="541"/>
    <s v="Kata"/>
    <s v="Kata, -, 0-100 kg, Gyerek 1. (9-10"/>
    <x v="21"/>
    <s v="18"/>
    <s v="32 fős egyenes kiesés"/>
    <s v="11-16"/>
    <s v="Kolipka Máté Gergő"/>
    <s v="KSE Tarján"/>
    <s v="HUN"/>
    <n v="0"/>
    <m/>
    <s v="Szigetszentmiklós"/>
    <d v="2026-03-22T00:00:00"/>
    <x v="80"/>
    <x v="0"/>
    <s v="KSE Tarján"/>
    <s v="utánpótlás"/>
    <s v="gyerek"/>
    <m/>
  </r>
  <r>
    <x v="3"/>
    <s v="3A"/>
    <n v="542"/>
    <s v="Kata"/>
    <s v="Kata, -, 0-100 kg, Gyerek 1. (9-10"/>
    <x v="21"/>
    <s v="18"/>
    <s v="32 fős egyenes kiesés"/>
    <s v="11-16"/>
    <s v="Mohácsi DOminik"/>
    <s v="Victory"/>
    <s v="HUN"/>
    <n v="0"/>
    <m/>
    <s v="Szigetszentmiklós"/>
    <d v="2026-03-22T00:00:00"/>
    <x v="299"/>
    <x v="0"/>
    <s v="Victory"/>
    <s v="utánpótlás"/>
    <s v="gyerek"/>
    <m/>
  </r>
  <r>
    <x v="3"/>
    <s v="3A"/>
    <n v="543"/>
    <s v="Kata"/>
    <s v="Kata, -, 0-100 kg, Gyerek 1. (9-10"/>
    <x v="21"/>
    <s v="18"/>
    <s v="32 fős egyenes kiesés"/>
    <s v="11-16"/>
    <s v="Tóth Máté"/>
    <s v="Bendiák Dojo"/>
    <s v="HUN"/>
    <n v="0"/>
    <m/>
    <s v="Szigetszentmiklós"/>
    <d v="2026-03-22T00:00:00"/>
    <x v="310"/>
    <x v="0"/>
    <s v="Bendiák Dojo"/>
    <s v="utánpótlás"/>
    <s v="gyerek"/>
    <m/>
  </r>
  <r>
    <x v="3"/>
    <s v="3A"/>
    <n v="544"/>
    <s v="Kata"/>
    <s v="Kata, -, 0-100 kg, Gyerek 1. (9-10"/>
    <x v="21"/>
    <s v="18"/>
    <s v="32 fős egyenes kiesés"/>
    <s v="11-16"/>
    <s v="Blokhin Alexei"/>
    <s v="Victory"/>
    <s v="HUN"/>
    <n v="0"/>
    <m/>
    <s v="Szigetszentmiklós"/>
    <d v="2026-03-22T00:00:00"/>
    <x v="301"/>
    <x v="0"/>
    <s v="Victory"/>
    <s v="utánpótlás"/>
    <s v="gyerek"/>
    <m/>
  </r>
  <r>
    <x v="3"/>
    <s v="3A"/>
    <n v="545"/>
    <s v="Kumite"/>
    <s v="Kumite, -, 0-30 kg, Gyerek 1. (9-10"/>
    <x v="22"/>
    <s v="2"/>
    <s v="2 fős egyenes kiesés"/>
    <s v="1"/>
    <s v="Lukács Ajsa"/>
    <s v="BHMSE"/>
    <s v="HUN"/>
    <n v="4"/>
    <m/>
    <s v="Szigetszentmiklós"/>
    <d v="2026-03-22T00:00:00"/>
    <x v="89"/>
    <x v="0"/>
    <s v="BHMSE"/>
    <s v="utánpótlás"/>
    <s v="gyerek"/>
    <m/>
  </r>
  <r>
    <x v="3"/>
    <s v="3A"/>
    <n v="546"/>
    <s v="Kumite"/>
    <s v="Kumite, -, 0-30 kg, Gyerek 1. (9-10"/>
    <x v="22"/>
    <s v="2"/>
    <s v="2 fős egyenes kiesés"/>
    <s v="2"/>
    <s v="Erdei Emília"/>
    <s v="Rokku KKSE"/>
    <s v="HUN"/>
    <n v="0"/>
    <m/>
    <s v="Szigetszentmiklós"/>
    <d v="2026-03-22T00:00:00"/>
    <x v="90"/>
    <x v="0"/>
    <s v="Rokku KKSE"/>
    <s v="utánpótlás"/>
    <s v="gyerek"/>
    <m/>
  </r>
  <r>
    <x v="3"/>
    <s v="3A"/>
    <n v="547"/>
    <s v="Kumite"/>
    <s v="Kumite, -, 30-35 kg, Gyerek 1. (9-10"/>
    <x v="23"/>
    <s v="5"/>
    <s v="5 fős körmérkőzés"/>
    <s v="1"/>
    <s v="Kámán Luca"/>
    <s v="Rakurai"/>
    <s v="HUN"/>
    <n v="10"/>
    <m/>
    <s v="Szigetszentmiklós"/>
    <d v="2026-03-22T00:00:00"/>
    <x v="91"/>
    <x v="0"/>
    <s v="Rakurai"/>
    <s v="utánpótlás"/>
    <s v="gyerek"/>
    <m/>
  </r>
  <r>
    <x v="3"/>
    <s v="3A"/>
    <n v="548"/>
    <s v="Kumite"/>
    <s v="Kumite, -, 30-35 kg, Gyerek 1. (9-10"/>
    <x v="23"/>
    <s v="5"/>
    <s v="5 fős körmérkőzés"/>
    <s v="2"/>
    <s v="Zeke Kata"/>
    <s v="Kelemen-Team"/>
    <s v="HUN"/>
    <n v="8"/>
    <m/>
    <s v="Szigetszentmiklós"/>
    <d v="2026-03-22T00:00:00"/>
    <x v="312"/>
    <x v="0"/>
    <s v="Kelemen-Team"/>
    <s v="utánpótlás"/>
    <s v="gyerek"/>
    <m/>
  </r>
  <r>
    <x v="3"/>
    <s v="3A"/>
    <n v="549"/>
    <s v="Kumite"/>
    <s v="Kumite, -, 30-35 kg, Gyerek 1. (9-10"/>
    <x v="23"/>
    <s v="5"/>
    <s v="5 fős körmérkőzés"/>
    <s v="3"/>
    <s v="Falus Dorottya"/>
    <s v="Rokku KKSE"/>
    <s v="HUN"/>
    <n v="6"/>
    <m/>
    <s v="Szigetszentmiklós"/>
    <d v="2026-03-22T00:00:00"/>
    <x v="92"/>
    <x v="0"/>
    <s v="Rokku KKSE"/>
    <s v="utánpótlás"/>
    <s v="gyerek"/>
    <m/>
  </r>
  <r>
    <x v="3"/>
    <s v="3A"/>
    <n v="550"/>
    <s v="Kumite"/>
    <s v="Kumite, -, 30-35 kg, Gyerek 1. (9-10"/>
    <x v="23"/>
    <s v="5"/>
    <s v="5 fős körmérkőzés"/>
    <s v="4"/>
    <s v="Bácsmegi Luca"/>
    <s v="Kelemen-Team"/>
    <s v="HUN"/>
    <n v="4"/>
    <m/>
    <s v="Szigetszentmiklós"/>
    <d v="2026-03-22T00:00:00"/>
    <x v="313"/>
    <x v="0"/>
    <s v="Kelemen-Team"/>
    <s v="utánpótlás"/>
    <s v="gyerek"/>
    <m/>
  </r>
  <r>
    <x v="3"/>
    <s v="3A"/>
    <n v="551"/>
    <s v="Kumite"/>
    <s v="Kumite, -, 30-35 kg, Gyerek 1. (9-10"/>
    <x v="23"/>
    <s v="5"/>
    <s v="5 fős körmérkőzés"/>
    <s v="5"/>
    <s v="Fekete Alíz"/>
    <s v="Shogun"/>
    <s v="HUN"/>
    <n v="0"/>
    <m/>
    <s v="Szigetszentmiklós"/>
    <d v="2026-03-22T00:00:00"/>
    <x v="314"/>
    <x v="0"/>
    <s v="Shogun"/>
    <s v="utánpótlás"/>
    <s v="gyerek"/>
    <m/>
  </r>
  <r>
    <x v="3"/>
    <s v="3A"/>
    <n v="552"/>
    <s v="Kumite"/>
    <s v="Kumite, -, 35-200 kg, Gyerek 1. (9-10"/>
    <x v="24"/>
    <s v="5"/>
    <s v="5 fős körmérkőzés"/>
    <s v="1"/>
    <s v="Németh Kitti"/>
    <s v="Meiyo dojo"/>
    <s v="HUN"/>
    <n v="10"/>
    <m/>
    <s v="Szigetszentmiklós"/>
    <d v="2026-03-22T00:00:00"/>
    <x v="93"/>
    <x v="0"/>
    <s v="Meiyo dojo"/>
    <s v="utánpótlás"/>
    <s v="gyerek"/>
    <m/>
  </r>
  <r>
    <x v="3"/>
    <s v="3A"/>
    <n v="553"/>
    <s v="Kumite"/>
    <s v="Kumite, -, 35-200 kg, Gyerek 1. (9-10"/>
    <x v="24"/>
    <s v="5"/>
    <s v="5 fős körmérkőzés"/>
    <s v="2"/>
    <s v="Balogh Zora"/>
    <s v="Meiyo dojo"/>
    <s v="HUN"/>
    <n v="8"/>
    <m/>
    <s v="Szigetszentmiklós"/>
    <d v="2026-03-22T00:00:00"/>
    <x v="95"/>
    <x v="0"/>
    <s v="Meiyo dojo"/>
    <s v="utánpótlás"/>
    <s v="gyerek"/>
    <m/>
  </r>
  <r>
    <x v="3"/>
    <s v="3A"/>
    <n v="554"/>
    <s v="Kumite"/>
    <s v="Kumite, -, 35-200 kg, Gyerek 1. (9-10"/>
    <x v="24"/>
    <s v="5"/>
    <s v="5 fős körmérkőzés"/>
    <s v="3"/>
    <s v="Nándori Leona"/>
    <s v="Kemecse SE"/>
    <s v="HUN"/>
    <n v="6"/>
    <m/>
    <s v="Szigetszentmiklós"/>
    <d v="2026-03-22T00:00:00"/>
    <x v="316"/>
    <x v="0"/>
    <s v="Kemecse SE"/>
    <s v="utánpótlás"/>
    <s v="gyerek"/>
    <m/>
  </r>
  <r>
    <x v="3"/>
    <s v="3A"/>
    <n v="555"/>
    <s v="Kumite"/>
    <s v="Kumite, -, 35-200 kg, Gyerek 1. (9-10"/>
    <x v="24"/>
    <s v="5"/>
    <s v="5 fős körmérkőzés"/>
    <s v="4"/>
    <s v="Buzás Anna"/>
    <s v="Meiyo dojo"/>
    <s v="HUN"/>
    <n v="4"/>
    <m/>
    <s v="Szigetszentmiklós"/>
    <d v="2026-03-22T00:00:00"/>
    <x v="94"/>
    <x v="0"/>
    <s v="Meiyo dojo"/>
    <s v="utánpótlás"/>
    <s v="gyerek"/>
    <m/>
  </r>
  <r>
    <x v="3"/>
    <s v="3A"/>
    <n v="556"/>
    <s v="Kumite"/>
    <s v="Kumite, -, 35-200 kg, Gyerek 1. (9-10"/>
    <x v="24"/>
    <s v="5"/>
    <s v="5 fős körmérkőzés"/>
    <s v="5"/>
    <s v="Vágenhoffer Maja"/>
    <s v="Meiyo dojo"/>
    <s v="HUN"/>
    <n v="0"/>
    <m/>
    <s v="Szigetszentmiklós"/>
    <d v="2026-03-22T00:00:00"/>
    <x v="490"/>
    <x v="0"/>
    <s v="Meiyo dojo"/>
    <s v="utánpótlás"/>
    <s v="gyerek"/>
    <m/>
  </r>
  <r>
    <x v="3"/>
    <s v="3A"/>
    <n v="557"/>
    <s v="Kata"/>
    <s v="Kata, -, 0-100 kg, Gyerek 1. (9-10"/>
    <x v="25"/>
    <s v="13"/>
    <s v="16 fős egyenes kiesés"/>
    <s v="1"/>
    <s v="Lukács Ajsa"/>
    <s v="BHMSE"/>
    <s v="HUN"/>
    <n v="8"/>
    <m/>
    <s v="Szigetszentmiklós"/>
    <d v="2026-03-22T00:00:00"/>
    <x v="89"/>
    <x v="0"/>
    <s v="BHMSE"/>
    <s v="utánpótlás"/>
    <s v="gyerek"/>
    <m/>
  </r>
  <r>
    <x v="3"/>
    <s v="3A"/>
    <n v="558"/>
    <s v="Kata"/>
    <s v="Kata, -, 0-100 kg, Gyerek 1. (9-10"/>
    <x v="25"/>
    <s v="13"/>
    <s v="16 fős egyenes kiesés"/>
    <s v="2"/>
    <s v="Buzás Anna"/>
    <s v="Meiyo dojo"/>
    <s v="HUN"/>
    <n v="6"/>
    <m/>
    <s v="Szigetszentmiklós"/>
    <d v="2026-03-22T00:00:00"/>
    <x v="94"/>
    <x v="0"/>
    <s v="Meiyo dojo"/>
    <s v="utánpótlás"/>
    <s v="gyerek"/>
    <m/>
  </r>
  <r>
    <x v="3"/>
    <s v="3A"/>
    <n v="559"/>
    <s v="Kata"/>
    <s v="Kata, -, 0-100 kg, Gyerek 1. (9-10"/>
    <x v="25"/>
    <s v="13"/>
    <s v="16 fős egyenes kiesés"/>
    <s v="3"/>
    <s v="Simor Szofi Anna"/>
    <s v="BHMSE"/>
    <s v="HUN"/>
    <n v="4"/>
    <m/>
    <s v="Szigetszentmiklós"/>
    <d v="2026-03-22T00:00:00"/>
    <x v="98"/>
    <x v="0"/>
    <s v="BHMSE"/>
    <s v="utánpótlás"/>
    <s v="gyerek"/>
    <m/>
  </r>
  <r>
    <x v="3"/>
    <s v="3A"/>
    <n v="560"/>
    <s v="Kata"/>
    <s v="Kata, -, 0-100 kg, Gyerek 1. (9-10"/>
    <x v="25"/>
    <s v="13"/>
    <s v="16 fős egyenes kiesés"/>
    <s v="3"/>
    <s v="Németh Kitti"/>
    <s v="Meiyo dojo"/>
    <s v="HUN"/>
    <n v="4"/>
    <m/>
    <s v="Szigetszentmiklós"/>
    <d v="2026-03-22T00:00:00"/>
    <x v="93"/>
    <x v="0"/>
    <s v="Meiyo dojo"/>
    <s v="utánpótlás"/>
    <s v="gyerek"/>
    <m/>
  </r>
  <r>
    <x v="3"/>
    <s v="3A"/>
    <n v="561"/>
    <s v="Kata"/>
    <s v="Kata, -, 0-100 kg, Gyerek 1. (9-10"/>
    <x v="25"/>
    <s v="13"/>
    <s v="16 fős egyenes kiesés"/>
    <s v="5"/>
    <s v="Nándori Leona"/>
    <s v="Kemecse SE"/>
    <s v="HUN"/>
    <n v="0"/>
    <s v="nem volt nyertes mérkőzése"/>
    <s v="Szigetszentmiklós"/>
    <d v="2026-03-22T00:00:00"/>
    <x v="316"/>
    <x v="0"/>
    <s v="Kemecse SE"/>
    <s v="utánpótlás"/>
    <s v="gyerek"/>
    <m/>
  </r>
  <r>
    <x v="3"/>
    <s v="3A"/>
    <n v="562"/>
    <s v="Kata"/>
    <s v="Kata, -, 0-100 kg, Gyerek 1. (9-10"/>
    <x v="25"/>
    <s v="13"/>
    <s v="16 fős egyenes kiesés"/>
    <s v="6"/>
    <s v="Banyák Léna"/>
    <s v="KYO Fighter SE"/>
    <s v="HUN"/>
    <n v="0"/>
    <s v="nem volt nyertes mérkőzése"/>
    <s v="Szigetszentmiklós"/>
    <d v="2026-03-22T00:00:00"/>
    <x v="315"/>
    <x v="0"/>
    <s v="KYO Fighter SE"/>
    <s v="utánpótlás"/>
    <s v="gyerek"/>
    <m/>
  </r>
  <r>
    <x v="3"/>
    <s v="3A"/>
    <n v="563"/>
    <s v="Kata"/>
    <s v="Kata, -, 0-100 kg, Gyerek 1. (9-10"/>
    <x v="25"/>
    <s v="13"/>
    <s v="16 fős egyenes kiesés"/>
    <s v="7-8"/>
    <s v="Varga Olivia"/>
    <s v="KSE Tarján"/>
    <s v="HUN"/>
    <n v="0"/>
    <s v="nem volt nyertes mérkőzése"/>
    <s v="Szigetszentmiklós"/>
    <d v="2026-03-22T00:00:00"/>
    <x v="96"/>
    <x v="0"/>
    <s v="KSE Tarján"/>
    <s v="utánpótlás"/>
    <s v="gyerek"/>
    <m/>
  </r>
  <r>
    <x v="3"/>
    <s v="3A"/>
    <n v="564"/>
    <s v="Kata"/>
    <s v="Kata, -, 0-100 kg, Gyerek 1. (9-10"/>
    <x v="25"/>
    <s v="13"/>
    <s v="16 fős egyenes kiesés"/>
    <s v="7-8"/>
    <s v="Tóth Csenge"/>
    <s v="Nagykátai Bushido SE"/>
    <s v="HUN"/>
    <n v="2"/>
    <m/>
    <s v="Szigetszentmiklós"/>
    <d v="2026-03-22T00:00:00"/>
    <x v="97"/>
    <x v="0"/>
    <s v="Nagykátai Bushido SE"/>
    <s v="utánpótlás"/>
    <s v="gyerek"/>
    <m/>
  </r>
  <r>
    <x v="3"/>
    <s v="3A"/>
    <n v="565"/>
    <s v="Kata"/>
    <s v="Kata, -, 0-100 kg, Gyerek 1. (9-10"/>
    <x v="25"/>
    <s v="13"/>
    <s v="16 fős egyenes kiesés"/>
    <s v="9"/>
    <s v="Fekete Alíz"/>
    <s v="Shogun"/>
    <s v="HUN"/>
    <n v="0"/>
    <m/>
    <s v="Szigetszentmiklós"/>
    <d v="2026-03-22T00:00:00"/>
    <x v="314"/>
    <x v="0"/>
    <s v="Shogun"/>
    <s v="utánpótlás"/>
    <s v="gyerek"/>
    <m/>
  </r>
  <r>
    <x v="3"/>
    <s v="3A"/>
    <n v="566"/>
    <s v="Kata"/>
    <s v="Kata, -, 0-100 kg, Gyerek 1. (9-10"/>
    <x v="25"/>
    <s v="13"/>
    <s v="16 fős egyenes kiesés"/>
    <s v="10"/>
    <s v="Falus Dorottya"/>
    <s v="Rokku KKSE"/>
    <s v="HUN"/>
    <n v="0"/>
    <m/>
    <s v="Szigetszentmiklós"/>
    <d v="2026-03-22T00:00:00"/>
    <x v="92"/>
    <x v="0"/>
    <s v="Rokku KKSE"/>
    <s v="utánpótlás"/>
    <s v="gyerek"/>
    <m/>
  </r>
  <r>
    <x v="3"/>
    <s v="3A"/>
    <n v="567"/>
    <s v="Kata"/>
    <s v="Kata, -, 0-100 kg, Gyerek 1. (9-10"/>
    <x v="25"/>
    <s v="13"/>
    <s v="16 fős egyenes kiesés"/>
    <s v="11-16"/>
    <s v="Erdei Emília"/>
    <s v="Rokku KKSE"/>
    <s v="HUN"/>
    <n v="0"/>
    <m/>
    <s v="Szigetszentmiklós"/>
    <d v="2026-03-22T00:00:00"/>
    <x v="90"/>
    <x v="0"/>
    <s v="Rokku KKSE"/>
    <s v="utánpótlás"/>
    <s v="gyerek"/>
    <m/>
  </r>
  <r>
    <x v="3"/>
    <s v="3A"/>
    <n v="568"/>
    <s v="Kata"/>
    <s v="Kata, -, 0-100 kg, Gyerek 1. (9-10"/>
    <x v="25"/>
    <s v="13"/>
    <s v="16 fős egyenes kiesés"/>
    <s v="11-16"/>
    <s v="Geiger Uzonyi Lilla"/>
    <s v="Kelemen-Team"/>
    <s v="HUN"/>
    <n v="0"/>
    <m/>
    <s v="Szigetszentmiklós"/>
    <d v="2026-03-22T00:00:00"/>
    <x v="317"/>
    <x v="0"/>
    <s v="Kelemen-Team"/>
    <s v="utánpótlás"/>
    <s v="gyerek"/>
    <m/>
  </r>
  <r>
    <x v="3"/>
    <s v="3A"/>
    <n v="569"/>
    <s v="Kata"/>
    <s v="Kata, -, 0-100 kg, Gyerek 1. (9-10"/>
    <x v="25"/>
    <s v="13"/>
    <s v="16 fős egyenes kiesés"/>
    <s v="11-16"/>
    <s v="Pista Nóra"/>
    <s v="Bendiák Dojo"/>
    <s v="HUN"/>
    <n v="0"/>
    <m/>
    <s v="Szigetszentmiklós"/>
    <d v="2026-03-22T00:00:00"/>
    <x v="369"/>
    <x v="0"/>
    <s v="Bendiák Dojo"/>
    <s v="utánpótlás"/>
    <s v="gyerek"/>
    <m/>
  </r>
  <r>
    <x v="3"/>
    <s v="3A"/>
    <n v="570"/>
    <s v="Kumite"/>
    <s v="Kumite, -, 0-35 kg, Gyerek 2. (11-12"/>
    <x v="26"/>
    <s v="21"/>
    <s v="32 fős egyenes kiesés"/>
    <s v="1"/>
    <s v="Szabó Alex Dominik"/>
    <s v="Shogun"/>
    <s v="HUN"/>
    <n v="13"/>
    <m/>
    <s v="Szigetszentmiklós"/>
    <d v="2026-03-22T00:00:00"/>
    <x v="318"/>
    <x v="0"/>
    <s v="Shogun"/>
    <s v="utánpótlás"/>
    <s v="gyerek"/>
    <m/>
  </r>
  <r>
    <x v="3"/>
    <s v="3A"/>
    <n v="571"/>
    <s v="Kumite"/>
    <s v="Kumite, -, 0-35 kg, Gyerek 2. (11-12"/>
    <x v="26"/>
    <s v="21"/>
    <s v="32 fős egyenes kiesés"/>
    <s v="2"/>
    <s v="Tarr Bence"/>
    <s v="Shogun"/>
    <s v="HUN"/>
    <n v="10"/>
    <m/>
    <s v="Szigetszentmiklós"/>
    <d v="2026-03-22T00:00:00"/>
    <x v="319"/>
    <x v="0"/>
    <s v="Shogun"/>
    <s v="utánpótlás"/>
    <s v="gyerek"/>
    <m/>
  </r>
  <r>
    <x v="3"/>
    <s v="3A"/>
    <n v="572"/>
    <s v="Kumite"/>
    <s v="Kumite, -, 0-35 kg, Gyerek 2. (11-12"/>
    <x v="26"/>
    <s v="21"/>
    <s v="32 fős egyenes kiesés"/>
    <s v="3"/>
    <s v="Hegedűs Vencel"/>
    <s v="Nagykátai Bushido SE"/>
    <s v="HUN"/>
    <n v="7"/>
    <m/>
    <s v="Szigetszentmiklós"/>
    <d v="2026-03-22T00:00:00"/>
    <x v="100"/>
    <x v="0"/>
    <s v="Nagykátai Bushido SE"/>
    <s v="utánpótlás"/>
    <s v="gyerek"/>
    <m/>
  </r>
  <r>
    <x v="3"/>
    <s v="3A"/>
    <n v="573"/>
    <s v="Kumite"/>
    <s v="Kumite, -, 0-35 kg, Gyerek 2. (11-12"/>
    <x v="26"/>
    <s v="21"/>
    <s v="32 fős egyenes kiesés"/>
    <s v="3"/>
    <s v="Boka Norman Eliot"/>
    <s v="Katana SE"/>
    <s v="HUN"/>
    <n v="7"/>
    <m/>
    <s v="Szigetszentmiklós"/>
    <d v="2026-03-22T00:00:00"/>
    <x v="99"/>
    <x v="0"/>
    <s v="Katana SE"/>
    <s v="utánpótlás"/>
    <s v="gyerek"/>
    <m/>
  </r>
  <r>
    <x v="3"/>
    <s v="3A"/>
    <n v="574"/>
    <s v="Kumite"/>
    <s v="Kumite, -, 0-35 kg, Gyerek 2. (11-12"/>
    <x v="26"/>
    <s v="21"/>
    <s v="32 fős egyenes kiesés"/>
    <s v="5"/>
    <s v="Szűcs Norbert"/>
    <s v="Shogun"/>
    <s v="HUN"/>
    <n v="4"/>
    <m/>
    <s v="Szigetszentmiklós"/>
    <d v="2026-03-22T00:00:00"/>
    <x v="320"/>
    <x v="0"/>
    <s v="Shogun"/>
    <s v="utánpótlás"/>
    <s v="gyerek"/>
    <m/>
  </r>
  <r>
    <x v="3"/>
    <s v="3A"/>
    <n v="575"/>
    <s v="Kumite"/>
    <s v="Kumite, -, 0-35 kg, Gyerek 2. (11-12"/>
    <x v="26"/>
    <s v="21"/>
    <s v="32 fős egyenes kiesés"/>
    <s v="6"/>
    <s v="Makai Mór"/>
    <s v="Victory"/>
    <s v="HUN"/>
    <n v="4"/>
    <m/>
    <s v="Szigetszentmiklós"/>
    <d v="2026-03-22T00:00:00"/>
    <x v="321"/>
    <x v="0"/>
    <s v="Victory"/>
    <s v="utánpótlás"/>
    <s v="gyerek"/>
    <m/>
  </r>
  <r>
    <x v="3"/>
    <s v="3A"/>
    <n v="576"/>
    <s v="Kumite"/>
    <s v="Kumite, -, 0-35 kg, Gyerek 2. (11-12"/>
    <x v="26"/>
    <s v="21"/>
    <s v="32 fős egyenes kiesés"/>
    <s v="7-8"/>
    <s v="Pajkos Dominik"/>
    <s v="Shogun"/>
    <s v="HUN"/>
    <n v="4"/>
    <m/>
    <s v="Szigetszentmiklós"/>
    <d v="2026-03-22T00:00:00"/>
    <x v="324"/>
    <x v="0"/>
    <s v="Shogun"/>
    <s v="utánpótlás"/>
    <s v="gyerek"/>
    <m/>
  </r>
  <r>
    <x v="3"/>
    <s v="3A"/>
    <n v="577"/>
    <s v="Kumite"/>
    <s v="Kumite, -, 0-35 kg, Gyerek 2. (11-12"/>
    <x v="26"/>
    <s v="21"/>
    <s v="32 fős egyenes kiesés"/>
    <s v="7-8"/>
    <s v="Berényi Milán"/>
    <s v="Shogun"/>
    <s v="HUN"/>
    <n v="4"/>
    <m/>
    <s v="Szigetszentmiklós"/>
    <d v="2026-03-22T00:00:00"/>
    <x v="323"/>
    <x v="0"/>
    <s v="Shogun"/>
    <s v="utánpótlás"/>
    <s v="gyerek"/>
    <m/>
  </r>
  <r>
    <x v="3"/>
    <s v="3A"/>
    <n v="578"/>
    <s v="Kumite"/>
    <s v="Kumite, -, 0-35 kg, Gyerek 2. (11-12"/>
    <x v="26"/>
    <s v="21"/>
    <s v="32 fős egyenes kiesés"/>
    <s v="9"/>
    <s v="Süller Zsombor"/>
    <s v="Katana SE"/>
    <s v="HUN"/>
    <n v="0"/>
    <m/>
    <s v="Szigetszentmiklós"/>
    <d v="2026-03-22T00:00:00"/>
    <x v="108"/>
    <x v="0"/>
    <s v="Katana SE"/>
    <s v="utánpótlás"/>
    <s v="gyerek"/>
    <m/>
  </r>
  <r>
    <x v="3"/>
    <s v="3A"/>
    <n v="579"/>
    <s v="Kumite"/>
    <s v="Kumite, -, 0-35 kg, Gyerek 2. (11-12"/>
    <x v="26"/>
    <s v="21"/>
    <s v="32 fős egyenes kiesés"/>
    <s v="10"/>
    <s v="Kalmár Ádám István"/>
    <s v="Castrum"/>
    <s v="HUN"/>
    <n v="0"/>
    <m/>
    <s v="Szigetszentmiklós"/>
    <d v="2026-03-22T00:00:00"/>
    <x v="109"/>
    <x v="0"/>
    <s v="Castrum"/>
    <s v="utánpótlás"/>
    <s v="gyerek"/>
    <m/>
  </r>
  <r>
    <x v="3"/>
    <s v="3A"/>
    <n v="580"/>
    <s v="Kumite"/>
    <s v="Kumite, -, 0-35 kg, Gyerek 2. (11-12"/>
    <x v="26"/>
    <s v="21"/>
    <s v="32 fős egyenes kiesés"/>
    <s v="11-16"/>
    <s v="Kovács Milán"/>
    <s v="Katana SE"/>
    <s v="HUN"/>
    <n v="0"/>
    <m/>
    <s v="Szigetszentmiklós"/>
    <d v="2026-03-22T00:00:00"/>
    <x v="105"/>
    <x v="0"/>
    <s v="Katana SE"/>
    <s v="utánpótlás"/>
    <s v="gyerek"/>
    <m/>
  </r>
  <r>
    <x v="3"/>
    <s v="3A"/>
    <n v="581"/>
    <s v="Kumite"/>
    <s v="Kumite, -, 0-35 kg, Gyerek 2. (11-12"/>
    <x v="26"/>
    <s v="21"/>
    <s v="32 fős egyenes kiesés"/>
    <s v="11-16"/>
    <s v="Török Márton Ignác"/>
    <s v="Kelemen-Team"/>
    <s v="HUN"/>
    <n v="0"/>
    <m/>
    <s v="Szigetszentmiklós"/>
    <d v="2026-03-22T00:00:00"/>
    <x v="326"/>
    <x v="0"/>
    <s v="Kelemen-Team"/>
    <s v="utánpótlás"/>
    <s v="gyerek"/>
    <m/>
  </r>
  <r>
    <x v="3"/>
    <s v="3A"/>
    <n v="582"/>
    <s v="Kumite"/>
    <s v="Kumite, -, 0-35 kg, Gyerek 2. (11-12"/>
    <x v="26"/>
    <s v="21"/>
    <s v="32 fős egyenes kiesés"/>
    <s v="11-16"/>
    <s v="Gordos Zalán"/>
    <s v="VTSE"/>
    <s v="HUN"/>
    <n v="0"/>
    <m/>
    <s v="Szigetszentmiklós"/>
    <d v="2026-03-22T00:00:00"/>
    <x v="102"/>
    <x v="1"/>
    <s v="VTSE"/>
    <s v="utánpótlás"/>
    <s v="gyerek"/>
    <m/>
  </r>
  <r>
    <x v="3"/>
    <s v="3A"/>
    <n v="583"/>
    <s v="Kumite"/>
    <s v="Kumite, -, 0-35 kg, Gyerek 2. (11-12"/>
    <x v="26"/>
    <s v="21"/>
    <s v="32 fős egyenes kiesés"/>
    <s v="11-16"/>
    <s v="Kis Olivér"/>
    <s v="KYO Fighter SE"/>
    <s v="HUN"/>
    <n v="0"/>
    <m/>
    <s v="Szigetszentmiklós"/>
    <d v="2026-03-22T00:00:00"/>
    <x v="322"/>
    <x v="0"/>
    <s v="KYO Fighter SE"/>
    <s v="utánpótlás"/>
    <s v="gyerek"/>
    <m/>
  </r>
  <r>
    <x v="3"/>
    <s v="3A"/>
    <n v="584"/>
    <s v="Kumite"/>
    <s v="Kumite, -, 0-35 kg, Gyerek 2. (11-12"/>
    <x v="26"/>
    <s v="21"/>
    <s v="32 fős egyenes kiesés"/>
    <s v="11-16"/>
    <s v="Nagy Zétény"/>
    <s v="BHMSE"/>
    <s v="HUN"/>
    <n v="0"/>
    <m/>
    <s v="Szigetszentmiklós"/>
    <d v="2026-03-22T00:00:00"/>
    <x v="104"/>
    <x v="0"/>
    <s v="BHMSE"/>
    <s v="utánpótlás"/>
    <s v="gyerek"/>
    <m/>
  </r>
  <r>
    <x v="3"/>
    <s v="3A"/>
    <n v="585"/>
    <s v="Kumite"/>
    <s v="Kumite, -, 0-35 kg, Gyerek 2. (11-12"/>
    <x v="26"/>
    <s v="21"/>
    <s v="32 fős egyenes kiesés"/>
    <s v="11-16"/>
    <s v="Ungai Csaba"/>
    <s v="Hajdúszoboszló"/>
    <s v="HUN"/>
    <n v="0"/>
    <m/>
    <s v="Szigetszentmiklós"/>
    <d v="2026-03-22T00:00:00"/>
    <x v="325"/>
    <x v="0"/>
    <s v="Hajdúszoboszló"/>
    <s v="utánpótlás"/>
    <s v="gyerek"/>
    <m/>
  </r>
  <r>
    <x v="3"/>
    <s v="3A"/>
    <n v="586"/>
    <s v="Kumite"/>
    <s v="Kumite, -, 35-40 kg, Gyerek 2. (11-12"/>
    <x v="27"/>
    <s v="12"/>
    <s v="16 fős egyenes kiesés"/>
    <s v="1"/>
    <s v="Kiss Adrián"/>
    <s v="Keizoku SE"/>
    <s v="HUN"/>
    <n v="10"/>
    <m/>
    <s v="Szigetszentmiklós"/>
    <d v="2026-03-22T00:00:00"/>
    <x v="332"/>
    <x v="0"/>
    <s v="Keizoku SE"/>
    <s v="utánpótlás"/>
    <s v="gyerek"/>
    <m/>
  </r>
  <r>
    <x v="3"/>
    <s v="3A"/>
    <n v="587"/>
    <s v="Kumite"/>
    <s v="Kumite, -, 35-40 kg, Gyerek 2. (11-12"/>
    <x v="27"/>
    <s v="12"/>
    <s v="16 fős egyenes kiesés"/>
    <s v="2"/>
    <s v="Sádt Zénó"/>
    <s v="Buke Reikon HRSE"/>
    <s v="HUN"/>
    <n v="8"/>
    <m/>
    <s v="Szigetszentmiklós"/>
    <d v="2026-03-22T00:00:00"/>
    <x v="329"/>
    <x v="0"/>
    <s v="Buke Reikon HRSE"/>
    <s v="utánpótlás"/>
    <s v="gyerek"/>
    <m/>
  </r>
  <r>
    <x v="3"/>
    <s v="3A"/>
    <n v="588"/>
    <s v="Kumite"/>
    <s v="Kumite, -, 35-40 kg, Gyerek 2. (11-12"/>
    <x v="27"/>
    <s v="12"/>
    <s v="16 fős egyenes kiesés"/>
    <s v="3"/>
    <s v="Szabó Áron Levente"/>
    <s v="Katana SE"/>
    <s v="HUN"/>
    <n v="6"/>
    <m/>
    <s v="Szigetszentmiklós"/>
    <d v="2026-03-22T00:00:00"/>
    <x v="111"/>
    <x v="0"/>
    <s v="Katana SE"/>
    <s v="utánpótlás"/>
    <s v="gyerek"/>
    <m/>
  </r>
  <r>
    <x v="3"/>
    <s v="3A"/>
    <n v="589"/>
    <s v="Kumite"/>
    <s v="Kumite, -, 35-40 kg, Gyerek 2. (11-12"/>
    <x v="27"/>
    <s v="12"/>
    <s v="16 fős egyenes kiesés"/>
    <s v="3"/>
    <s v="Balázs Dénes"/>
    <s v="Griff SE"/>
    <s v="HUN"/>
    <n v="6"/>
    <m/>
    <s v="Szigetszentmiklós"/>
    <d v="2026-03-22T00:00:00"/>
    <x v="115"/>
    <x v="0"/>
    <s v="Griff SE"/>
    <s v="utánpótlás"/>
    <s v="gyerek"/>
    <m/>
  </r>
  <r>
    <x v="3"/>
    <s v="3A"/>
    <n v="590"/>
    <s v="Kumite"/>
    <s v="Kumite, -, 35-40 kg, Gyerek 2. (11-12"/>
    <x v="27"/>
    <s v="12"/>
    <s v="16 fős egyenes kiesés"/>
    <s v="5"/>
    <s v="Szenner Valentin"/>
    <s v="Katana SE"/>
    <s v="HUN"/>
    <n v="0"/>
    <s v="nem volt nyertes mérkőzése"/>
    <s v="Szigetszentmiklós"/>
    <d v="2026-03-22T00:00:00"/>
    <x v="110"/>
    <x v="0"/>
    <s v="Katana SE"/>
    <s v="utánpótlás"/>
    <s v="gyerek"/>
    <m/>
  </r>
  <r>
    <x v="3"/>
    <s v="3A"/>
    <n v="591"/>
    <s v="Kumite"/>
    <s v="Kumite, -, 35-40 kg, Gyerek 2. (11-12"/>
    <x v="27"/>
    <s v="12"/>
    <s v="16 fős egyenes kiesés"/>
    <s v="6"/>
    <s v="Eszenyi Barnabás"/>
    <s v="Shogun"/>
    <s v="HUN"/>
    <n v="3"/>
    <m/>
    <s v="Szigetszentmiklós"/>
    <d v="2026-03-22T00:00:00"/>
    <x v="330"/>
    <x v="0"/>
    <s v="Shogun"/>
    <s v="utánpótlás"/>
    <s v="gyerek"/>
    <m/>
  </r>
  <r>
    <x v="3"/>
    <s v="3A"/>
    <n v="592"/>
    <s v="Kumite"/>
    <s v="Kumite, -, 35-40 kg, Gyerek 2. (11-12"/>
    <x v="27"/>
    <s v="12"/>
    <s v="16 fős egyenes kiesés"/>
    <s v="7-8"/>
    <s v="Benedek Barnabás"/>
    <s v="Nagykátai Bushido SE"/>
    <s v="HUN"/>
    <n v="3"/>
    <m/>
    <s v="Szigetszentmiklós"/>
    <d v="2026-03-22T00:00:00"/>
    <x v="114"/>
    <x v="0"/>
    <s v="Nagykátai Bushido SE"/>
    <s v="utánpótlás"/>
    <s v="gyerek"/>
    <m/>
  </r>
  <r>
    <x v="3"/>
    <s v="3A"/>
    <n v="593"/>
    <s v="Kumite"/>
    <s v="Kumite, -, 35-40 kg, Gyerek 2. (11-12"/>
    <x v="27"/>
    <s v="12"/>
    <s v="16 fős egyenes kiesés"/>
    <s v="7-8"/>
    <s v="Héder Patrik"/>
    <s v="Bátor KSE"/>
    <s v="HUN"/>
    <n v="0"/>
    <s v="nem volt nyertes mérkőzése"/>
    <s v="Szigetszentmiklós"/>
    <d v="2026-03-22T00:00:00"/>
    <x v="331"/>
    <x v="0"/>
    <s v="Bátor KSE"/>
    <s v="utánpótlás"/>
    <s v="gyerek"/>
    <m/>
  </r>
  <r>
    <x v="3"/>
    <s v="3A"/>
    <n v="594"/>
    <s v="Kumite"/>
    <s v="Kumite, -, 35-40 kg, Gyerek 2. (11-12"/>
    <x v="27"/>
    <s v="12"/>
    <s v="16 fős egyenes kiesés"/>
    <s v="9"/>
    <s v="Kárász Dániel"/>
    <s v="BHMSE"/>
    <s v="HUN"/>
    <n v="0"/>
    <m/>
    <s v="Szigetszentmiklós"/>
    <d v="2026-03-22T00:00:00"/>
    <x v="116"/>
    <x v="0"/>
    <s v="BHMSE"/>
    <s v="utánpótlás"/>
    <s v="gyerek"/>
    <m/>
  </r>
  <r>
    <x v="3"/>
    <s v="3A"/>
    <n v="595"/>
    <s v="Kumite"/>
    <s v="Kumite, -, 35-40 kg, Gyerek 2. (11-12"/>
    <x v="27"/>
    <s v="12"/>
    <s v="16 fős egyenes kiesés"/>
    <s v="11-16"/>
    <s v="Molnár I. Zétény"/>
    <s v="KKE - Spartacus"/>
    <s v="HUN"/>
    <n v="0"/>
    <m/>
    <s v="Szigetszentmiklós"/>
    <d v="2026-03-22T00:00:00"/>
    <x v="112"/>
    <x v="0"/>
    <s v="KKE - Spartacus"/>
    <s v="utánpótlás"/>
    <s v="gyerek"/>
    <m/>
  </r>
  <r>
    <x v="3"/>
    <s v="3A"/>
    <n v="596"/>
    <s v="Kumite"/>
    <s v="Kumite, -, 35-40 kg, Gyerek 2. (11-12"/>
    <x v="27"/>
    <s v="12"/>
    <s v="16 fős egyenes kiesés"/>
    <s v="11-16"/>
    <s v="Hidegh Krisztián"/>
    <s v="Rakurai"/>
    <s v="HUN"/>
    <n v="0"/>
    <m/>
    <s v="Szigetszentmiklós"/>
    <d v="2026-03-22T00:00:00"/>
    <x v="113"/>
    <x v="0"/>
    <s v="Rakurai"/>
    <s v="utánpótlás"/>
    <s v="gyerek"/>
    <m/>
  </r>
  <r>
    <x v="3"/>
    <s v="3A"/>
    <n v="597"/>
    <s v="Kumite"/>
    <s v="Kumite, -, 35-40 kg, Gyerek 2. (11-12"/>
    <x v="27"/>
    <s v="12"/>
    <s v="16 fős egyenes kiesés"/>
    <s v="11-16"/>
    <s v="Hegedűs Botond"/>
    <s v="Keizoku SE"/>
    <s v="HUN"/>
    <n v="0"/>
    <m/>
    <s v="Szigetszentmiklós"/>
    <d v="2026-03-22T00:00:00"/>
    <x v="333"/>
    <x v="0"/>
    <s v="Keizoku SE"/>
    <s v="utánpótlás"/>
    <s v="gyerek"/>
    <m/>
  </r>
  <r>
    <x v="3"/>
    <s v="3A"/>
    <n v="598"/>
    <s v="Kumite"/>
    <s v="Kumite, -, 40-45 kg, Gyerek 2. (11-12"/>
    <x v="28"/>
    <s v="4"/>
    <s v="4 fős körmérkőzés"/>
    <s v="1"/>
    <s v="Árendás Botond"/>
    <s v="KSE Tarján"/>
    <s v="HUN"/>
    <n v="8"/>
    <m/>
    <s v="Szigetszentmiklós"/>
    <d v="2026-03-22T00:00:00"/>
    <x v="117"/>
    <x v="0"/>
    <s v="KSE Tarján"/>
    <s v="utánpótlás"/>
    <s v="gyerek"/>
    <m/>
  </r>
  <r>
    <x v="3"/>
    <s v="3A"/>
    <n v="599"/>
    <s v="Kumite"/>
    <s v="Kumite, -, 40-45 kg, Gyerek 2. (11-12"/>
    <x v="28"/>
    <s v="4"/>
    <s v="4 fős körmérkőzés"/>
    <s v="2"/>
    <s v="Horváth Kristóf"/>
    <s v="Griff SE"/>
    <s v="HUN"/>
    <n v="6"/>
    <m/>
    <s v="Szigetszentmiklós"/>
    <d v="2026-03-22T00:00:00"/>
    <x v="118"/>
    <x v="0"/>
    <s v="Griff SE"/>
    <s v="utánpótlás"/>
    <s v="gyerek"/>
    <m/>
  </r>
  <r>
    <x v="3"/>
    <s v="3A"/>
    <n v="600"/>
    <s v="Kumite"/>
    <s v="Kumite, -, 40-45 kg, Gyerek 2. (11-12"/>
    <x v="28"/>
    <s v="4"/>
    <s v="4 fős körmérkőzés"/>
    <s v="3"/>
    <s v="Fekete Kristóf"/>
    <s v="Rokku KKSE"/>
    <s v="HUN"/>
    <n v="4"/>
    <m/>
    <s v="Szigetszentmiklós"/>
    <d v="2026-03-22T00:00:00"/>
    <x v="123"/>
    <x v="0"/>
    <s v="Rokku KKSE"/>
    <s v="utánpótlás"/>
    <s v="gyerek"/>
    <m/>
  </r>
  <r>
    <x v="3"/>
    <s v="3A"/>
    <n v="601"/>
    <s v="Kumite"/>
    <s v="Kumite, -, 40-45 kg, Gyerek 2. (11-12"/>
    <x v="28"/>
    <s v="4"/>
    <s v="4 fős körmérkőzés"/>
    <s v="4"/>
    <s v="Dani Andor"/>
    <s v="Kamikaze S"/>
    <s v="HUN"/>
    <n v="0"/>
    <m/>
    <s v="Szigetszentmiklós"/>
    <d v="2026-03-22T00:00:00"/>
    <x v="120"/>
    <x v="0"/>
    <s v="Kamikaze S"/>
    <s v="utánpótlás"/>
    <s v="gyerek"/>
    <m/>
  </r>
  <r>
    <x v="3"/>
    <s v="3A"/>
    <n v="602"/>
    <s v="Kumite"/>
    <s v="Kumite, -, 45-55 kg, Gyerek 2. (11-12"/>
    <x v="29"/>
    <s v="15"/>
    <s v="16 fős egyenes kiesés"/>
    <s v="1"/>
    <s v="Gombos-Weidinger Zsombor"/>
    <s v="BHMSE"/>
    <s v="HUN"/>
    <n v="10"/>
    <m/>
    <s v="Szigetszentmiklós"/>
    <d v="2026-03-22T00:00:00"/>
    <x v="124"/>
    <x v="0"/>
    <s v="BHMSE"/>
    <s v="utánpótlás"/>
    <s v="gyerek"/>
    <m/>
  </r>
  <r>
    <x v="3"/>
    <s v="3A"/>
    <n v="603"/>
    <s v="Kumite"/>
    <s v="Kumite, -, 45-55 kg, Gyerek 2. (11-12"/>
    <x v="29"/>
    <s v="15"/>
    <s v="16 fős egyenes kiesés"/>
    <s v="2"/>
    <s v="Zeke Dávid"/>
    <s v="Kelemen-Team"/>
    <s v="HUN"/>
    <n v="8"/>
    <m/>
    <s v="Szigetszentmiklós"/>
    <d v="2026-03-22T00:00:00"/>
    <x v="334"/>
    <x v="0"/>
    <s v="Kelemen-Team"/>
    <s v="utánpótlás"/>
    <s v="gyerek"/>
    <m/>
  </r>
  <r>
    <x v="3"/>
    <s v="3A"/>
    <n v="604"/>
    <s v="Kumite"/>
    <s v="Kumite, -, 45-55 kg, Gyerek 2. (11-12"/>
    <x v="29"/>
    <s v="15"/>
    <s v="16 fős egyenes kiesés"/>
    <s v="3"/>
    <s v="Vámosi Juhász Máté"/>
    <s v="Nagykátai Bushido SE"/>
    <s v="HUN"/>
    <n v="6"/>
    <m/>
    <s v="Szigetszentmiklós"/>
    <d v="2026-03-22T00:00:00"/>
    <x v="125"/>
    <x v="0"/>
    <s v="Nagykátai Bushido SE"/>
    <s v="utánpótlás"/>
    <s v="gyerek"/>
    <m/>
  </r>
  <r>
    <x v="3"/>
    <s v="3A"/>
    <n v="605"/>
    <s v="Kumite"/>
    <s v="Kumite, -, 45-55 kg, Gyerek 2. (11-12"/>
    <x v="29"/>
    <s v="15"/>
    <s v="16 fős egyenes kiesés"/>
    <s v="3"/>
    <s v="Némethy Balázs"/>
    <s v="Shogun"/>
    <s v="HUN"/>
    <n v="6"/>
    <m/>
    <s v="Szigetszentmiklós"/>
    <d v="2026-03-22T00:00:00"/>
    <x v="335"/>
    <x v="0"/>
    <s v="Shogun"/>
    <s v="utánpótlás"/>
    <s v="gyerek"/>
    <m/>
  </r>
  <r>
    <x v="3"/>
    <s v="3A"/>
    <n v="606"/>
    <s v="Kumite"/>
    <s v="Kumite, -, 45-55 kg, Gyerek 2. (11-12"/>
    <x v="29"/>
    <s v="15"/>
    <s v="16 fős egyenes kiesés"/>
    <s v="5"/>
    <s v="Kiss Levente"/>
    <s v="Derecske BUDO"/>
    <s v="HUN"/>
    <n v="3"/>
    <m/>
    <s v="Szigetszentmiklós"/>
    <d v="2026-03-22T00:00:00"/>
    <x v="341"/>
    <x v="0"/>
    <s v="Derecske BUDO"/>
    <s v="utánpótlás"/>
    <s v="gyerek"/>
    <m/>
  </r>
  <r>
    <x v="3"/>
    <s v="3A"/>
    <n v="607"/>
    <s v="Kumite"/>
    <s v="Kumite, -, 45-55 kg, Gyerek 2. (11-12"/>
    <x v="29"/>
    <s v="15"/>
    <s v="16 fős egyenes kiesés"/>
    <s v="6"/>
    <s v="Hernádi Bere"/>
    <s v="BHMSE"/>
    <s v="HUN"/>
    <n v="3"/>
    <m/>
    <s v="Szigetszentmiklós"/>
    <d v="2026-03-22T00:00:00"/>
    <x v="134"/>
    <x v="0"/>
    <s v="BHMSE"/>
    <s v="utánpótlás"/>
    <s v="gyerek"/>
    <m/>
  </r>
  <r>
    <x v="3"/>
    <s v="3A"/>
    <n v="608"/>
    <s v="Kumite"/>
    <s v="Kumite, -, 45-55 kg, Gyerek 2. (11-12"/>
    <x v="29"/>
    <s v="15"/>
    <s v="16 fős egyenes kiesés"/>
    <s v="7-8"/>
    <s v="Farkas Kristóf"/>
    <s v="Buke Reikon HRSE"/>
    <s v="HUN"/>
    <n v="3"/>
    <m/>
    <s v="Szigetszentmiklós"/>
    <d v="2026-03-22T00:00:00"/>
    <x v="336"/>
    <x v="0"/>
    <s v="Buke Reikon HRSE"/>
    <s v="utánpótlás"/>
    <s v="gyerek"/>
    <m/>
  </r>
  <r>
    <x v="3"/>
    <s v="3A"/>
    <n v="609"/>
    <s v="Kumite"/>
    <s v="Kumite, -, 45-55 kg, Gyerek 2. (11-12"/>
    <x v="29"/>
    <s v="15"/>
    <s v="16 fős egyenes kiesés"/>
    <s v="7-8"/>
    <s v="Simon Titusz"/>
    <s v="Buke Reikon HRSE"/>
    <s v="HUN"/>
    <n v="3"/>
    <m/>
    <s v="Szigetszentmiklós"/>
    <d v="2026-03-22T00:00:00"/>
    <x v="343"/>
    <x v="0"/>
    <s v="Buke Reikon HRSE"/>
    <s v="utánpótlás"/>
    <s v="gyerek"/>
    <m/>
  </r>
  <r>
    <x v="3"/>
    <s v="3A"/>
    <n v="610"/>
    <s v="Kumite"/>
    <s v="Kumite, -, 45-55 kg, Gyerek 2. (11-12"/>
    <x v="29"/>
    <s v="15"/>
    <s v="16 fős egyenes kiesés"/>
    <s v="9"/>
    <s v="Sztarek Benett"/>
    <s v="Buke Reikon HRSE"/>
    <s v="HUN"/>
    <n v="0"/>
    <m/>
    <s v="Szigetszentmiklós"/>
    <d v="2026-03-22T00:00:00"/>
    <x v="339"/>
    <x v="0"/>
    <s v="Buke Reikon HRSE"/>
    <s v="utánpótlás"/>
    <s v="gyerek"/>
    <m/>
  </r>
  <r>
    <x v="3"/>
    <s v="3A"/>
    <n v="611"/>
    <s v="Kumite"/>
    <s v="Kumite, -, 45-55 kg, Gyerek 2. (11-12"/>
    <x v="29"/>
    <s v="15"/>
    <s v="16 fős egyenes kiesés"/>
    <s v="10"/>
    <s v="Szabó Máté Péter"/>
    <s v="WARRIORS TEAM"/>
    <s v="HUN"/>
    <n v="0"/>
    <m/>
    <s v="Szigetszentmiklós"/>
    <d v="2026-03-22T00:00:00"/>
    <x v="126"/>
    <x v="0"/>
    <s v="WARRIORS TEAM"/>
    <s v="utánpótlás"/>
    <s v="gyerek"/>
    <m/>
  </r>
  <r>
    <x v="3"/>
    <s v="3A"/>
    <n v="612"/>
    <s v="Kumite"/>
    <s v="Kumite, -, 45-55 kg, Gyerek 2. (11-12"/>
    <x v="29"/>
    <s v="15"/>
    <s v="16 fős egyenes kiesés"/>
    <s v="11-16"/>
    <s v="Zádori Zénó "/>
    <s v="Buke Reikon HRSE"/>
    <s v="HUN"/>
    <n v="0"/>
    <m/>
    <s v="Szigetszentmiklós"/>
    <d v="2026-03-22T00:00:00"/>
    <x v="338"/>
    <x v="0"/>
    <s v="Buke Reikon HRSE"/>
    <s v="utánpótlás"/>
    <s v="gyerek"/>
    <m/>
  </r>
  <r>
    <x v="3"/>
    <s v="3A"/>
    <n v="613"/>
    <s v="Kumite"/>
    <s v="Kumite, -, 45-55 kg, Gyerek 2. (11-12"/>
    <x v="29"/>
    <s v="15"/>
    <s v="16 fős egyenes kiesés"/>
    <s v="11-16"/>
    <s v="Kiss István"/>
    <s v="Derecske BUDO"/>
    <s v="HUN"/>
    <n v="0"/>
    <m/>
    <s v="Szigetszentmiklós"/>
    <d v="2026-03-22T00:00:00"/>
    <x v="340"/>
    <x v="0"/>
    <s v="Derecske BUDO"/>
    <s v="utánpótlás"/>
    <s v="gyerek"/>
    <m/>
  </r>
  <r>
    <x v="3"/>
    <s v="3A"/>
    <n v="614"/>
    <s v="Kumite"/>
    <s v="Kumite, -, 45-55 kg, Gyerek 2. (11-12"/>
    <x v="29"/>
    <s v="15"/>
    <s v="16 fős egyenes kiesés"/>
    <s v="11-16"/>
    <s v="Szabó Zsombor"/>
    <s v="Buke Reikon HRSE"/>
    <s v="HUN"/>
    <n v="0"/>
    <m/>
    <s v="Szigetszentmiklós"/>
    <d v="2026-03-22T00:00:00"/>
    <x v="337"/>
    <x v="0"/>
    <s v="Buke Reikon HRSE"/>
    <s v="utánpótlás"/>
    <s v="gyerek"/>
    <m/>
  </r>
  <r>
    <x v="3"/>
    <s v="3A"/>
    <n v="615"/>
    <s v="Kumite"/>
    <s v="Kumite, -, 45-55 kg, Gyerek 2. (11-12"/>
    <x v="29"/>
    <s v="15"/>
    <s v="16 fős egyenes kiesés"/>
    <s v="11-16"/>
    <s v="Eszenyi Tamás Zsolt"/>
    <s v="Bátor KSE"/>
    <s v="HUN"/>
    <n v="0"/>
    <m/>
    <s v="Szigetszentmiklós"/>
    <d v="2026-03-22T00:00:00"/>
    <x v="344"/>
    <x v="0"/>
    <s v="Bátor KSE"/>
    <s v="utánpótlás"/>
    <s v="gyerek"/>
    <m/>
  </r>
  <r>
    <x v="3"/>
    <s v="3A"/>
    <n v="616"/>
    <s v="Kumite"/>
    <s v="Kumite, -, 55-999 kg, Gyerek 2. (11-12"/>
    <x v="30"/>
    <s v="12"/>
    <s v="16 fős egyenes kiesés"/>
    <s v="1"/>
    <s v="Tálas Csongor"/>
    <s v="Ippon KKSE"/>
    <s v="HUN"/>
    <n v="10"/>
    <m/>
    <s v="Szigetszentmiklós"/>
    <d v="2026-03-22T00:00:00"/>
    <x v="128"/>
    <x v="0"/>
    <s v="Ippon KKSE"/>
    <s v="utánpótlás"/>
    <s v="gyerek"/>
    <m/>
  </r>
  <r>
    <x v="3"/>
    <s v="3A"/>
    <n v="617"/>
    <s v="Kumite"/>
    <s v="Kumite, -, 55-999 kg, Gyerek 2. (11-12"/>
    <x v="30"/>
    <s v="12"/>
    <s v="16 fős egyenes kiesés"/>
    <s v="2"/>
    <s v="Szabó Bence"/>
    <s v="Shogun"/>
    <s v="HUN"/>
    <n v="8"/>
    <m/>
    <s v="Szigetszentmiklós"/>
    <d v="2026-03-22T00:00:00"/>
    <x v="33"/>
    <x v="0"/>
    <s v="Shogun"/>
    <s v="utánpótlás"/>
    <s v="gyerek"/>
    <m/>
  </r>
  <r>
    <x v="3"/>
    <s v="3A"/>
    <n v="618"/>
    <s v="Kumite"/>
    <s v="Kumite, -, 55-999 kg, Gyerek 2. (11-12"/>
    <x v="30"/>
    <s v="12"/>
    <s v="16 fős egyenes kiesés"/>
    <s v="3"/>
    <s v="Rajmon Tamás"/>
    <s v="Victory"/>
    <s v="HUN"/>
    <n v="6"/>
    <m/>
    <s v="Szigetszentmiklós"/>
    <d v="2026-03-22T00:00:00"/>
    <x v="345"/>
    <x v="0"/>
    <s v="Victory"/>
    <s v="utánpótlás"/>
    <s v="gyerek"/>
    <m/>
  </r>
  <r>
    <x v="3"/>
    <s v="3A"/>
    <n v="619"/>
    <s v="Kumite"/>
    <s v="Kumite, -, 55-999 kg, Gyerek 2. (11-12"/>
    <x v="30"/>
    <s v="12"/>
    <s v="16 fős egyenes kiesés"/>
    <s v="3"/>
    <s v="Gyuricska Benedek"/>
    <s v="Shogun"/>
    <s v="HUN"/>
    <n v="6"/>
    <m/>
    <s v="Szigetszentmiklós"/>
    <d v="2026-03-22T00:00:00"/>
    <x v="348"/>
    <x v="0"/>
    <s v="Shogun"/>
    <s v="utánpótlás"/>
    <s v="gyerek"/>
    <m/>
  </r>
  <r>
    <x v="3"/>
    <s v="3A"/>
    <n v="620"/>
    <s v="Kumite"/>
    <s v="Kumite, -, 55-999 kg, Gyerek 2. (11-12"/>
    <x v="30"/>
    <s v="12"/>
    <s v="16 fős egyenes kiesés"/>
    <s v="5"/>
    <s v="Bervanger Bálint"/>
    <s v="Shogun"/>
    <s v="HUN"/>
    <n v="3"/>
    <m/>
    <s v="Szigetszentmiklós"/>
    <d v="2026-03-22T00:00:00"/>
    <x v="347"/>
    <x v="0"/>
    <s v="Shogun"/>
    <s v="utánpótlás"/>
    <s v="gyerek"/>
    <m/>
  </r>
  <r>
    <x v="3"/>
    <s v="3A"/>
    <n v="621"/>
    <s v="Kumite"/>
    <s v="Kumite, -, 55-999 kg, Gyerek 2. (11-12"/>
    <x v="30"/>
    <s v="12"/>
    <s v="16 fős egyenes kiesés"/>
    <s v="6"/>
    <s v="Baky Kornél"/>
    <s v="BHMSE"/>
    <s v="HUN"/>
    <n v="0"/>
    <s v="nem volt nyertes mérkőzése"/>
    <s v="Szigetszentmiklós"/>
    <d v="2026-03-22T00:00:00"/>
    <x v="129"/>
    <x v="0"/>
    <s v="BHMSE"/>
    <s v="utánpótlás"/>
    <s v="gyerek"/>
    <m/>
  </r>
  <r>
    <x v="3"/>
    <s v="3A"/>
    <n v="622"/>
    <s v="Kumite"/>
    <s v="Kumite, -, 55-999 kg, Gyerek 2. (11-12"/>
    <x v="30"/>
    <s v="12"/>
    <s v="16 fős egyenes kiesés"/>
    <s v="7-8"/>
    <s v="Petróczki Farkas"/>
    <s v="Bátor KSE"/>
    <s v="HUN"/>
    <n v="0"/>
    <s v="nem volt nyertes mérkőzése"/>
    <s v="Szigetszentmiklós"/>
    <d v="2026-03-22T00:00:00"/>
    <x v="346"/>
    <x v="0"/>
    <s v="Bátor KSE"/>
    <s v="utánpótlás"/>
    <s v="gyerek"/>
    <m/>
  </r>
  <r>
    <x v="3"/>
    <s v="3A"/>
    <n v="623"/>
    <s v="Kumite"/>
    <s v="Kumite, -, 55-999 kg, Gyerek 2. (11-12"/>
    <x v="30"/>
    <s v="12"/>
    <s v="16 fős egyenes kiesés"/>
    <s v="7-8"/>
    <s v="Jagyugy Zalán"/>
    <s v="Kelemen-Team"/>
    <s v="HUN"/>
    <n v="3"/>
    <m/>
    <s v="Szigetszentmiklós"/>
    <d v="2026-03-22T00:00:00"/>
    <x v="351"/>
    <x v="0"/>
    <s v="Kelemen-Team"/>
    <s v="utánpótlás"/>
    <s v="gyerek"/>
    <m/>
  </r>
  <r>
    <x v="3"/>
    <s v="3A"/>
    <n v="624"/>
    <s v="Kumite"/>
    <s v="Kumite, -, 55-999 kg, Gyerek 2. (11-12"/>
    <x v="30"/>
    <s v="12"/>
    <s v="16 fős egyenes kiesés"/>
    <s v="10"/>
    <s v="Kurucz Árpád Soma"/>
    <s v="Victory"/>
    <s v="HUN"/>
    <n v="0"/>
    <m/>
    <s v="Szigetszentmiklós"/>
    <d v="2026-03-22T00:00:00"/>
    <x v="352"/>
    <x v="0"/>
    <s v="Victory"/>
    <s v="utánpótlás"/>
    <s v="gyerek"/>
    <m/>
  </r>
  <r>
    <x v="3"/>
    <s v="3A"/>
    <n v="625"/>
    <s v="Kumite"/>
    <s v="Kumite, -, 55-999 kg, Gyerek 2. (11-12"/>
    <x v="30"/>
    <s v="12"/>
    <s v="16 fős egyenes kiesés"/>
    <s v="11-16"/>
    <s v="Berki Tamás"/>
    <s v="Victory"/>
    <s v="HUN"/>
    <n v="0"/>
    <m/>
    <s v="Szigetszentmiklós"/>
    <d v="2026-03-22T00:00:00"/>
    <x v="349"/>
    <x v="0"/>
    <s v="Victory"/>
    <s v="utánpótlás"/>
    <s v="gyerek"/>
    <m/>
  </r>
  <r>
    <x v="3"/>
    <s v="3A"/>
    <n v="626"/>
    <s v="Kumite"/>
    <s v="Kumite, -, 55-999 kg, Gyerek 2. (11-12"/>
    <x v="30"/>
    <s v="12"/>
    <s v="16 fős egyenes kiesés"/>
    <s v="11-16"/>
    <s v="Odorics Zétény"/>
    <s v="Rakurai"/>
    <s v="HUN"/>
    <n v="0"/>
    <m/>
    <s v="Szigetszentmiklós"/>
    <d v="2026-03-22T00:00:00"/>
    <x v="491"/>
    <x v="0"/>
    <s v="Rakurai"/>
    <s v="utánpótlás"/>
    <s v="gyerek"/>
    <m/>
  </r>
  <r>
    <x v="3"/>
    <s v="3A"/>
    <n v="627"/>
    <s v="Kumite"/>
    <s v="Kumite, -, 55-999 kg, Gyerek 2. (11-12"/>
    <x v="30"/>
    <s v="12"/>
    <s v="16 fős egyenes kiesés"/>
    <s v="11-16"/>
    <s v="Tóth Marcell Kevin"/>
    <s v="Nozomu Dojo"/>
    <s v="HUN"/>
    <n v="0"/>
    <m/>
    <s v="Szigetszentmiklós"/>
    <d v="2026-03-22T00:00:00"/>
    <x v="350"/>
    <x v="0"/>
    <s v="Nozomu Dojo"/>
    <s v="utánpótlás"/>
    <s v="gyerek"/>
    <m/>
  </r>
  <r>
    <x v="3"/>
    <s v="3A"/>
    <n v="628"/>
    <s v="Kata"/>
    <s v="Kata, -, 0-100 kg, Gyerek 2. (11-12"/>
    <x v="31"/>
    <s v="18"/>
    <s v="32 fős egyenes kiesés"/>
    <s v="1"/>
    <s v="Hegedűs Botond"/>
    <s v="Keizoku SE"/>
    <s v="HUN"/>
    <n v="10"/>
    <m/>
    <s v="Szigetszentmiklós"/>
    <d v="2026-03-22T00:00:00"/>
    <x v="333"/>
    <x v="0"/>
    <s v="Keizoku SE"/>
    <s v="utánpótlás"/>
    <s v="gyerek"/>
    <m/>
  </r>
  <r>
    <x v="3"/>
    <s v="3A"/>
    <n v="629"/>
    <s v="Kata"/>
    <s v="Kata, -, 0-100 kg, Gyerek 2. (11-12"/>
    <x v="31"/>
    <s v="18"/>
    <s v="32 fős egyenes kiesés"/>
    <s v="2"/>
    <s v="Nagy Zétény"/>
    <s v="BHMSE"/>
    <s v="HUN"/>
    <n v="7"/>
    <m/>
    <s v="Szigetszentmiklós"/>
    <d v="2026-03-22T00:00:00"/>
    <x v="104"/>
    <x v="0"/>
    <s v="BHMSE"/>
    <s v="utánpótlás"/>
    <s v="gyerek"/>
    <m/>
  </r>
  <r>
    <x v="3"/>
    <s v="3A"/>
    <n v="630"/>
    <s v="Kata"/>
    <s v="Kata, -, 0-100 kg, Gyerek 2. (11-12"/>
    <x v="31"/>
    <s v="18"/>
    <s v="32 fős egyenes kiesés"/>
    <s v="3"/>
    <s v="Tarr Bence"/>
    <s v="Shogun"/>
    <s v="HUN"/>
    <n v="5"/>
    <m/>
    <s v="Szigetszentmiklós"/>
    <d v="2026-03-22T00:00:00"/>
    <x v="319"/>
    <x v="0"/>
    <s v="Shogun"/>
    <s v="utánpótlás"/>
    <s v="gyerek"/>
    <m/>
  </r>
  <r>
    <x v="3"/>
    <s v="3A"/>
    <n v="631"/>
    <s v="Kata"/>
    <s v="Kata, -, 0-100 kg, Gyerek 2. (11-12"/>
    <x v="31"/>
    <s v="18"/>
    <s v="32 fős egyenes kiesés"/>
    <s v="3"/>
    <s v="Eszenyi Barnabás"/>
    <s v="Shogun"/>
    <s v="HUN"/>
    <n v="5"/>
    <m/>
    <s v="Szigetszentmiklós"/>
    <d v="2026-03-22T00:00:00"/>
    <x v="330"/>
    <x v="0"/>
    <s v="Shogun"/>
    <s v="utánpótlás"/>
    <s v="gyerek"/>
    <m/>
  </r>
  <r>
    <x v="3"/>
    <s v="3A"/>
    <n v="632"/>
    <s v="Kata"/>
    <s v="Kata, -, 0-100 kg, Gyerek 2. (11-12"/>
    <x v="31"/>
    <s v="18"/>
    <s v="32 fős egyenes kiesés"/>
    <s v="5"/>
    <s v="Virág Oszkár"/>
    <s v="Rokku KKSE"/>
    <s v="HUN"/>
    <n v="3"/>
    <m/>
    <s v="Szigetszentmiklós"/>
    <d v="2026-03-22T00:00:00"/>
    <x v="133"/>
    <x v="0"/>
    <s v="Rokku KKSE"/>
    <s v="utánpótlás"/>
    <s v="gyerek"/>
    <m/>
  </r>
  <r>
    <x v="3"/>
    <s v="3A"/>
    <n v="633"/>
    <s v="Kata"/>
    <s v="Kata, -, 0-100 kg, Gyerek 2. (11-12"/>
    <x v="31"/>
    <s v="18"/>
    <s v="32 fős egyenes kiesés"/>
    <s v="6"/>
    <s v="Pajkos Dominik"/>
    <s v="Shogun"/>
    <s v="HUN"/>
    <n v="3"/>
    <m/>
    <s v="Szigetszentmiklós"/>
    <d v="2026-03-22T00:00:00"/>
    <x v="324"/>
    <x v="0"/>
    <s v="Shogun"/>
    <s v="utánpótlás"/>
    <s v="gyerek"/>
    <m/>
  </r>
  <r>
    <x v="3"/>
    <s v="3A"/>
    <n v="634"/>
    <s v="Kata"/>
    <s v="Kata, -, 0-100 kg, Gyerek 2. (11-12"/>
    <x v="31"/>
    <s v="18"/>
    <s v="32 fős egyenes kiesés"/>
    <s v="7-8"/>
    <s v="Eperjesi Dávid"/>
    <s v="BHMSE"/>
    <s v="HUN"/>
    <n v="3"/>
    <m/>
    <s v="Szigetszentmiklós"/>
    <d v="2026-03-22T00:00:00"/>
    <x v="132"/>
    <x v="0"/>
    <s v="BHMSE"/>
    <s v="utánpótlás"/>
    <s v="gyerek"/>
    <m/>
  </r>
  <r>
    <x v="3"/>
    <s v="3A"/>
    <n v="635"/>
    <s v="Kata"/>
    <s v="Kata, -, 0-100 kg, Gyerek 2. (11-12"/>
    <x v="31"/>
    <s v="18"/>
    <s v="32 fős egyenes kiesés"/>
    <s v="7-8"/>
    <s v="Kőszegfalvi Csanád"/>
    <s v="Shinkyo SE"/>
    <s v="HUN"/>
    <n v="3"/>
    <m/>
    <s v="Szigetszentmiklós"/>
    <d v="2026-03-22T00:00:00"/>
    <x v="131"/>
    <x v="0"/>
    <s v="Shinkyo SE"/>
    <s v="utánpótlás"/>
    <s v="gyerek"/>
    <m/>
  </r>
  <r>
    <x v="3"/>
    <s v="3A"/>
    <n v="636"/>
    <s v="Kata"/>
    <s v="Kata, -, 0-100 kg, Gyerek 2. (11-12"/>
    <x v="31"/>
    <s v="18"/>
    <s v="32 fős egyenes kiesés"/>
    <s v="9"/>
    <s v="Némethy Balázs"/>
    <s v="Shogun"/>
    <s v="HUN"/>
    <n v="0"/>
    <m/>
    <s v="Szigetszentmiklós"/>
    <d v="2026-03-22T00:00:00"/>
    <x v="335"/>
    <x v="0"/>
    <s v="Shogun"/>
    <s v="utánpótlás"/>
    <s v="gyerek"/>
    <m/>
  </r>
  <r>
    <x v="3"/>
    <s v="3A"/>
    <n v="637"/>
    <s v="Kata"/>
    <s v="Kata, -, 0-100 kg, Gyerek 2. (11-12"/>
    <x v="31"/>
    <s v="18"/>
    <s v="32 fős egyenes kiesés"/>
    <s v="10"/>
    <s v="Árendás Botond"/>
    <s v="KSE Tarján"/>
    <s v="HUN"/>
    <n v="0"/>
    <m/>
    <s v="Szigetszentmiklós"/>
    <d v="2026-03-22T00:00:00"/>
    <x v="117"/>
    <x v="0"/>
    <s v="KSE Tarján"/>
    <s v="utánpótlás"/>
    <s v="gyerek"/>
    <m/>
  </r>
  <r>
    <x v="3"/>
    <s v="3A"/>
    <n v="638"/>
    <s v="Kata"/>
    <s v="Kata, -, 0-100 kg, Gyerek 2. (11-12"/>
    <x v="31"/>
    <s v="18"/>
    <s v="32 fős egyenes kiesés"/>
    <s v="11-16"/>
    <s v="Kiss Adrián"/>
    <s v="Keizoku SE"/>
    <s v="HUN"/>
    <n v="0"/>
    <m/>
    <s v="Szigetszentmiklós"/>
    <d v="2026-03-22T00:00:00"/>
    <x v="332"/>
    <x v="0"/>
    <s v="Keizoku SE"/>
    <s v="utánpótlás"/>
    <s v="gyerek"/>
    <m/>
  </r>
  <r>
    <x v="3"/>
    <s v="3A"/>
    <n v="639"/>
    <s v="Kata"/>
    <s v="Kata, -, 0-100 kg, Gyerek 2. (11-12"/>
    <x v="31"/>
    <s v="18"/>
    <s v="32 fős egyenes kiesés"/>
    <s v="11-16"/>
    <s v="Kárász Dániel"/>
    <s v="BHMSE"/>
    <s v="HUN"/>
    <n v="0"/>
    <m/>
    <s v="Szigetszentmiklós"/>
    <d v="2026-03-22T00:00:00"/>
    <x v="116"/>
    <x v="0"/>
    <s v="BHMSE"/>
    <s v="utánpótlás"/>
    <s v="gyerek"/>
    <m/>
  </r>
  <r>
    <x v="3"/>
    <s v="3A"/>
    <n v="640"/>
    <s v="Kata"/>
    <s v="Kata, -, 0-100 kg, Gyerek 2. (11-12"/>
    <x v="31"/>
    <s v="18"/>
    <s v="32 fős egyenes kiesés"/>
    <s v="11-16"/>
    <s v="Hidegh Krisztián"/>
    <s v="Rakurai"/>
    <s v="HUN"/>
    <n v="0"/>
    <m/>
    <s v="Szigetszentmiklós"/>
    <d v="2026-03-22T00:00:00"/>
    <x v="113"/>
    <x v="0"/>
    <s v="Rakurai"/>
    <s v="utánpótlás"/>
    <s v="gyerek"/>
    <m/>
  </r>
  <r>
    <x v="3"/>
    <s v="3A"/>
    <n v="641"/>
    <s v="Kata"/>
    <s v="Kata, -, 0-100 kg, Gyerek 2. (11-12"/>
    <x v="31"/>
    <s v="18"/>
    <s v="32 fős egyenes kiesés"/>
    <s v="11-16"/>
    <s v="Hernádi Bere"/>
    <s v="BHMSE"/>
    <s v="HUN"/>
    <n v="0"/>
    <m/>
    <s v="Szigetszentmiklós"/>
    <d v="2026-03-22T00:00:00"/>
    <x v="134"/>
    <x v="0"/>
    <s v="BHMSE"/>
    <s v="utánpótlás"/>
    <s v="gyerek"/>
    <m/>
  </r>
  <r>
    <x v="3"/>
    <s v="3A"/>
    <n v="642"/>
    <s v="Kata"/>
    <s v="Kata, -, 0-100 kg, Gyerek 2. (11-12"/>
    <x v="31"/>
    <s v="18"/>
    <s v="32 fős egyenes kiesés"/>
    <s v="11-16"/>
    <s v="Gombos-Weidinger Zsombor"/>
    <s v="BHMSE"/>
    <s v="HUN"/>
    <n v="0"/>
    <m/>
    <s v="Szigetszentmiklós"/>
    <d v="2026-03-22T00:00:00"/>
    <x v="124"/>
    <x v="0"/>
    <s v="BHMSE"/>
    <s v="utánpótlás"/>
    <s v="gyerek"/>
    <m/>
  </r>
  <r>
    <x v="3"/>
    <s v="3A"/>
    <n v="643"/>
    <s v="Kata"/>
    <s v="Kata, -, 0-100 kg, Gyerek 2. (11-12"/>
    <x v="31"/>
    <s v="18"/>
    <s v="32 fős egyenes kiesés"/>
    <s v="11-16"/>
    <s v="Bervanger Bálint"/>
    <s v="Shogun"/>
    <s v="HUN"/>
    <n v="0"/>
    <m/>
    <s v="Szigetszentmiklós"/>
    <d v="2026-03-22T00:00:00"/>
    <x v="347"/>
    <x v="0"/>
    <s v="Shogun"/>
    <s v="utánpótlás"/>
    <s v="gyerek"/>
    <m/>
  </r>
  <r>
    <x v="3"/>
    <s v="3A"/>
    <n v="644"/>
    <s v="Kumite"/>
    <s v="Kumite, -, 0-35 kg, Gyerek 2. (11-12"/>
    <x v="32"/>
    <s v="11"/>
    <s v="16 fős egyenes kiesés"/>
    <s v="1"/>
    <s v="Jakubovics Nikolett"/>
    <s v="BHMSE"/>
    <s v="HUN"/>
    <n v="10"/>
    <m/>
    <s v="Szigetszentmiklós"/>
    <d v="2026-03-22T00:00:00"/>
    <x v="138"/>
    <x v="0"/>
    <s v="BHMSE"/>
    <s v="utánpótlás"/>
    <s v="gyerek"/>
    <m/>
  </r>
  <r>
    <x v="3"/>
    <s v="3A"/>
    <n v="645"/>
    <s v="Kumite"/>
    <s v="Kumite, -, 0-35 kg, Gyerek 2. (11-12"/>
    <x v="32"/>
    <s v="11"/>
    <s v="16 fős egyenes kiesés"/>
    <s v="2"/>
    <s v="Domján-Herbat Réka"/>
    <s v="BHMSE"/>
    <s v="HUN"/>
    <n v="8"/>
    <m/>
    <s v="Szigetszentmiklós"/>
    <d v="2026-03-22T00:00:00"/>
    <x v="151"/>
    <x v="0"/>
    <s v="BHMSE"/>
    <s v="utánpótlás"/>
    <s v="gyerek"/>
    <m/>
  </r>
  <r>
    <x v="3"/>
    <s v="3A"/>
    <n v="646"/>
    <s v="Kumite"/>
    <s v="Kumite, -, 0-35 kg, Gyerek 2. (11-12"/>
    <x v="32"/>
    <s v="11"/>
    <s v="16 fős egyenes kiesés"/>
    <s v="3"/>
    <s v="Fürjesi Eszter"/>
    <s v="Shogun"/>
    <s v="HUN"/>
    <n v="6"/>
    <m/>
    <s v="Szigetszentmiklós"/>
    <d v="2026-03-22T00:00:00"/>
    <x v="358"/>
    <x v="0"/>
    <s v="Shogun"/>
    <s v="utánpótlás"/>
    <s v="gyerek"/>
    <m/>
  </r>
  <r>
    <x v="3"/>
    <s v="3A"/>
    <n v="647"/>
    <s v="Kumite"/>
    <s v="Kumite, -, 0-35 kg, Gyerek 2. (11-12"/>
    <x v="32"/>
    <s v="11"/>
    <s v="16 fős egyenes kiesés"/>
    <s v="3"/>
    <s v="Horváth Boróka"/>
    <s v="Rakurai"/>
    <s v="HUN"/>
    <n v="6"/>
    <m/>
    <s v="Szigetszentmiklós"/>
    <d v="2026-03-22T00:00:00"/>
    <x v="140"/>
    <x v="0"/>
    <s v="Rakurai"/>
    <s v="utánpótlás"/>
    <s v="gyerek"/>
    <m/>
  </r>
  <r>
    <x v="3"/>
    <s v="3A"/>
    <n v="648"/>
    <s v="Kumite"/>
    <s v="Kumite, -, 0-35 kg, Gyerek 2. (11-12"/>
    <x v="32"/>
    <s v="11"/>
    <s v="16 fős egyenes kiesés"/>
    <s v="5"/>
    <s v="Rudi Noémi"/>
    <s v="Rakurai"/>
    <s v="HUN"/>
    <n v="3"/>
    <m/>
    <s v="Szigetszentmiklós"/>
    <d v="2026-03-22T00:00:00"/>
    <x v="152"/>
    <x v="0"/>
    <s v="Rakurai"/>
    <s v="utánpótlás"/>
    <s v="gyerek"/>
    <m/>
  </r>
  <r>
    <x v="3"/>
    <s v="3A"/>
    <n v="649"/>
    <s v="Kumite"/>
    <s v="Kumite, -, 0-35 kg, Gyerek 2. (11-12"/>
    <x v="32"/>
    <s v="11"/>
    <s v="16 fős egyenes kiesés"/>
    <s v="6"/>
    <s v="Ungai Eszter"/>
    <s v="Hajdúszoboszló"/>
    <s v="HUN"/>
    <n v="0"/>
    <s v="nem volt nyertes mérkőzése"/>
    <s v="Szigetszentmiklós"/>
    <d v="2026-03-22T00:00:00"/>
    <x v="356"/>
    <x v="0"/>
    <s v="Hajdúszoboszló"/>
    <s v="utánpótlás"/>
    <s v="gyerek"/>
    <m/>
  </r>
  <r>
    <x v="3"/>
    <s v="3A"/>
    <n v="650"/>
    <s v="Kumite"/>
    <s v="Kumite, -, 0-35 kg, Gyerek 2. (11-12"/>
    <x v="32"/>
    <s v="11"/>
    <s v="16 fős egyenes kiesés"/>
    <s v="7-8"/>
    <s v="Kigó Boróka"/>
    <s v="Victory"/>
    <s v="HUN"/>
    <n v="0"/>
    <s v="nem volt nyertes mérkőzése"/>
    <s v="Szigetszentmiklós"/>
    <d v="2026-03-22T00:00:00"/>
    <x v="357"/>
    <x v="0"/>
    <s v="Victory"/>
    <s v="utánpótlás"/>
    <s v="gyerek"/>
    <m/>
  </r>
  <r>
    <x v="3"/>
    <s v="3A"/>
    <n v="651"/>
    <s v="Kumite"/>
    <s v="Kumite, -, 0-35 kg, Gyerek 2. (11-12"/>
    <x v="32"/>
    <s v="11"/>
    <s v="16 fős egyenes kiesés"/>
    <s v="7-8"/>
    <s v="Pődör Panka"/>
    <s v="Griff SE"/>
    <s v="HUN"/>
    <n v="0"/>
    <s v="nem volt nyertes mérkőzése"/>
    <s v="Szigetszentmiklós"/>
    <d v="2026-03-22T00:00:00"/>
    <x v="139"/>
    <x v="0"/>
    <s v="Griff SE"/>
    <s v="utánpótlás"/>
    <s v="gyerek"/>
    <m/>
  </r>
  <r>
    <x v="3"/>
    <s v="3A"/>
    <n v="652"/>
    <s v="Kumite"/>
    <s v="Kumite, -, 0-35 kg, Gyerek 2. (11-12"/>
    <x v="32"/>
    <s v="11"/>
    <s v="16 fős egyenes kiesés"/>
    <s v="11-16"/>
    <s v="Varga Zoé"/>
    <s v="Kemecse SE"/>
    <s v="HUN"/>
    <n v="0"/>
    <m/>
    <s v="Szigetszentmiklós"/>
    <d v="2026-03-22T00:00:00"/>
    <x v="370"/>
    <x v="0"/>
    <s v="Kemecse SE"/>
    <s v="utánpótlás"/>
    <s v="gyerek"/>
    <m/>
  </r>
  <r>
    <x v="3"/>
    <s v="3A"/>
    <n v="653"/>
    <s v="Kumite"/>
    <s v="Kumite, -, 0-35 kg, Gyerek 2. (11-12"/>
    <x v="32"/>
    <s v="11"/>
    <s v="16 fős egyenes kiesés"/>
    <s v="11-16"/>
    <s v="Huszár Hanna"/>
    <s v="Kemecse SE"/>
    <s v="HUN"/>
    <n v="0"/>
    <m/>
    <s v="Szigetszentmiklós"/>
    <d v="2026-03-22T00:00:00"/>
    <x v="366"/>
    <x v="0"/>
    <s v="Kemecse SE"/>
    <s v="utánpótlás"/>
    <s v="gyerek"/>
    <m/>
  </r>
  <r>
    <x v="3"/>
    <s v="3A"/>
    <n v="654"/>
    <s v="Kumite"/>
    <s v="Kumite, -, 0-35 kg, Gyerek 2. (11-12"/>
    <x v="32"/>
    <s v="11"/>
    <s v="16 fős egyenes kiesés"/>
    <s v="11-16"/>
    <s v="Szőllősi Hanna"/>
    <s v="Kemecse SE"/>
    <s v="HUN"/>
    <n v="0"/>
    <m/>
    <s v="Szigetszentmiklós"/>
    <d v="2026-03-22T00:00:00"/>
    <x v="492"/>
    <x v="0"/>
    <s v="Kemecse SE"/>
    <s v="utánpótlás"/>
    <s v="gyerek"/>
    <m/>
  </r>
  <r>
    <x v="3"/>
    <s v="3A"/>
    <n v="655"/>
    <s v="Kumite"/>
    <s v="Kumite, -, 35-40 kg, Gyerek 2. (11-12"/>
    <x v="76"/>
    <s v="3"/>
    <s v="3 fős körmérkőzés"/>
    <s v="1"/>
    <s v="Fagbola Esther"/>
    <s v="Victory"/>
    <s v="HUN"/>
    <n v="0"/>
    <m/>
    <s v="Szigetszentmiklós"/>
    <d v="2026-03-22T00:00:00"/>
    <x v="359"/>
    <x v="0"/>
    <s v="Victory"/>
    <s v="utánpótlás"/>
    <s v="gyerek"/>
    <m/>
  </r>
  <r>
    <x v="3"/>
    <s v="3A"/>
    <n v="656"/>
    <s v="Kumite"/>
    <s v="Kumite, -, 35-40 kg, Gyerek 2. (11-12"/>
    <x v="76"/>
    <s v="3"/>
    <s v="3 fős körmérkőzés"/>
    <s v="2"/>
    <s v="Téglási Kamilla"/>
    <s v="Kisvárda KKDOSC"/>
    <s v="HUN"/>
    <n v="0"/>
    <m/>
    <s v="Szigetszentmiklós"/>
    <d v="2026-03-22T00:00:00"/>
    <x v="360"/>
    <x v="0"/>
    <s v="Kisvárda KKDOSC"/>
    <s v="utánpótlás"/>
    <s v="gyerek"/>
    <m/>
  </r>
  <r>
    <x v="3"/>
    <s v="3A"/>
    <n v="657"/>
    <s v="Kumite"/>
    <s v="Kumite, -, 35-40 kg, Gyerek 2. (11-12"/>
    <x v="76"/>
    <s v="3"/>
    <s v="3 fős körmérkőzés"/>
    <s v="3"/>
    <s v="Spanjevic Frida"/>
    <s v="BHMSE"/>
    <s v="HUN"/>
    <n v="0"/>
    <m/>
    <s v="Szigetszentmiklós"/>
    <d v="2026-03-22T00:00:00"/>
    <x v="146"/>
    <x v="0"/>
    <s v="BHMSE"/>
    <s v="utánpótlás"/>
    <s v="gyerek"/>
    <m/>
  </r>
  <r>
    <x v="3"/>
    <s v="3A"/>
    <n v="658"/>
    <s v="Kumite"/>
    <s v="Kumite, -, 45-200 kg, Gyerek 2. (11-12"/>
    <x v="33"/>
    <s v="11"/>
    <s v="16 fős egyenes kiesés"/>
    <s v="1"/>
    <s v="Marjai Boglárka"/>
    <s v="Kelemen-Team"/>
    <s v="HUN"/>
    <n v="10"/>
    <m/>
    <s v="Szigetszentmiklós"/>
    <d v="2026-03-22T00:00:00"/>
    <x v="361"/>
    <x v="0"/>
    <s v="Kelemen-Team"/>
    <s v="utánpótlás"/>
    <s v="gyerek"/>
    <m/>
  </r>
  <r>
    <x v="3"/>
    <s v="3A"/>
    <n v="659"/>
    <s v="Kumite"/>
    <s v="Kumite, -, 45-200 kg, Gyerek 2. (11-12"/>
    <x v="33"/>
    <s v="11"/>
    <s v="16 fős egyenes kiesés"/>
    <s v="2"/>
    <s v="Czekmeiszter Maja Lili"/>
    <s v="Bátor KSE"/>
    <s v="HUN"/>
    <n v="8"/>
    <m/>
    <s v="Szigetszentmiklós"/>
    <d v="2026-03-22T00:00:00"/>
    <x v="493"/>
    <x v="0"/>
    <s v="Bátor KSE"/>
    <s v="utánpótlás"/>
    <s v="gyerek"/>
    <m/>
  </r>
  <r>
    <x v="3"/>
    <s v="3A"/>
    <n v="660"/>
    <s v="Kumite"/>
    <s v="Kumite, -, 45-200 kg, Gyerek 2. (11-12"/>
    <x v="33"/>
    <s v="11"/>
    <s v="16 fős egyenes kiesés"/>
    <s v="3"/>
    <s v="Kocsis Angéla"/>
    <s v="Genbu dojo"/>
    <s v="HUN"/>
    <n v="6"/>
    <m/>
    <s v="Szigetszentmiklós"/>
    <d v="2026-03-22T00:00:00"/>
    <x v="142"/>
    <x v="1"/>
    <s v="Genbu dojo"/>
    <s v="utánpótlás"/>
    <s v="gyerek"/>
    <m/>
  </r>
  <r>
    <x v="3"/>
    <s v="3A"/>
    <n v="661"/>
    <s v="Kumite"/>
    <s v="Kumite, -, 45-200 kg, Gyerek 2. (11-12"/>
    <x v="33"/>
    <s v="11"/>
    <s v="16 fős egyenes kiesés"/>
    <s v="3"/>
    <s v="Janás Mia"/>
    <s v="Főnix Dojo"/>
    <s v="HUN"/>
    <n v="6"/>
    <m/>
    <s v="Szigetszentmiklós"/>
    <d v="2026-03-22T00:00:00"/>
    <x v="494"/>
    <x v="0"/>
    <s v="Főnix Dojo"/>
    <s v="utánpótlás"/>
    <s v="gyerek"/>
    <m/>
  </r>
  <r>
    <x v="3"/>
    <s v="3A"/>
    <n v="662"/>
    <s v="Kumite"/>
    <s v="Kumite, -, 45-200 kg, Gyerek 2. (11-12"/>
    <x v="33"/>
    <s v="11"/>
    <s v="16 fős egyenes kiesés"/>
    <s v="5"/>
    <s v="Barta-Gaál Adóra"/>
    <s v="BHMSE"/>
    <s v="HUN"/>
    <n v="0"/>
    <s v="nem volt nyertes mérkőzése"/>
    <s v="Szigetszentmiklós"/>
    <d v="2026-03-22T00:00:00"/>
    <x v="153"/>
    <x v="0"/>
    <s v="BHMSE"/>
    <s v="utánpótlás"/>
    <s v="gyerek"/>
    <m/>
  </r>
  <r>
    <x v="3"/>
    <s v="3A"/>
    <n v="663"/>
    <s v="Kumite"/>
    <s v="Kumite, -, 45-200 kg, Gyerek 2. (11-12"/>
    <x v="33"/>
    <s v="11"/>
    <s v="16 fős egyenes kiesés"/>
    <s v="6"/>
    <s v="Kocsis Nóra"/>
    <s v="Genbu dojo"/>
    <s v="HUN"/>
    <n v="0"/>
    <s v="nem volt nyertes mérkőzése"/>
    <s v="Szigetszentmiklós"/>
    <d v="2026-03-22T00:00:00"/>
    <x v="141"/>
    <x v="1"/>
    <s v="Genbu dojo"/>
    <s v="utánpótlás"/>
    <s v="gyerek"/>
    <m/>
  </r>
  <r>
    <x v="3"/>
    <s v="3A"/>
    <n v="664"/>
    <s v="Kumite"/>
    <s v="Kumite, -, 45-200 kg, Gyerek 2. (11-12"/>
    <x v="33"/>
    <s v="11"/>
    <s v="16 fős egyenes kiesés"/>
    <s v="7-8"/>
    <s v="Szabó Lilla"/>
    <s v="ShinzóDojo"/>
    <s v="HUN"/>
    <n v="3"/>
    <m/>
    <s v="Szigetszentmiklós"/>
    <d v="2026-03-22T00:00:00"/>
    <x v="362"/>
    <x v="0"/>
    <s v="ShinzóDojo"/>
    <s v="utánpótlás"/>
    <s v="gyerek"/>
    <m/>
  </r>
  <r>
    <x v="3"/>
    <s v="3A"/>
    <n v="665"/>
    <s v="Kumite"/>
    <s v="Kumite, -, 45-200 kg, Gyerek 2. (11-12"/>
    <x v="33"/>
    <s v="11"/>
    <s v="16 fős egyenes kiesés"/>
    <s v="7-8"/>
    <s v="Dászkál Dorottya"/>
    <s v="Shogun"/>
    <s v="HUN"/>
    <n v="3"/>
    <m/>
    <s v="Szigetszentmiklós"/>
    <d v="2026-03-22T00:00:00"/>
    <x v="363"/>
    <x v="0"/>
    <s v="Shogun"/>
    <s v="utánpótlás"/>
    <s v="gyerek"/>
    <m/>
  </r>
  <r>
    <x v="3"/>
    <s v="3A"/>
    <n v="666"/>
    <s v="Kumite"/>
    <s v="Kumite, -, 45-200 kg, Gyerek 2. (11-12"/>
    <x v="33"/>
    <s v="11"/>
    <s v="16 fős egyenes kiesés"/>
    <s v="10"/>
    <s v="Garamszegi Szófia"/>
    <s v="WARRIORS TEAM"/>
    <s v="HUN"/>
    <n v="0"/>
    <m/>
    <s v="Szigetszentmiklós"/>
    <d v="2026-03-22T00:00:00"/>
    <x v="143"/>
    <x v="0"/>
    <s v="WARRIORS TEAM"/>
    <s v="utánpótlás"/>
    <s v="gyerek"/>
    <m/>
  </r>
  <r>
    <x v="3"/>
    <s v="3A"/>
    <n v="667"/>
    <s v="Kumite"/>
    <s v="Kumite, -, 45-200 kg, Gyerek 2. (11-12"/>
    <x v="33"/>
    <s v="11"/>
    <s v="16 fős egyenes kiesés"/>
    <s v="11-16"/>
    <s v="Papp Dorottya"/>
    <s v="Rokku KKSE"/>
    <s v="HUN"/>
    <n v="0"/>
    <m/>
    <s v="Szigetszentmiklós"/>
    <d v="2026-03-22T00:00:00"/>
    <x v="495"/>
    <x v="0"/>
    <s v="Rokku KKSE"/>
    <s v="utánpótlás"/>
    <s v="gyerek"/>
    <m/>
  </r>
  <r>
    <x v="3"/>
    <s v="3A"/>
    <n v="668"/>
    <s v="Kumite"/>
    <s v="Kumite, -, 45-200 kg, Gyerek 2. (11-12"/>
    <x v="33"/>
    <s v="11"/>
    <s v="16 fős egyenes kiesés"/>
    <s v="11-16"/>
    <s v="Sajtos Luca"/>
    <s v="Kisvárda KKDOSC"/>
    <s v="HUN"/>
    <n v="0"/>
    <m/>
    <s v="Szigetszentmiklós"/>
    <d v="2026-03-22T00:00:00"/>
    <x v="496"/>
    <x v="0"/>
    <s v="Kisvárda KKDOSC"/>
    <s v="utánpótlás"/>
    <s v="gyerek"/>
    <m/>
  </r>
  <r>
    <x v="3"/>
    <s v="3A"/>
    <n v="669"/>
    <s v="Kumite"/>
    <s v="Kumite, -, 40-45 kg, Gyerek 2. (11-12"/>
    <x v="76"/>
    <s v="6"/>
    <s v="6 fős vegyes"/>
    <s v="1"/>
    <s v="MOLNÁR MINKA"/>
    <s v="Victory"/>
    <s v="HUN"/>
    <n v="0"/>
    <m/>
    <s v="Szigetszentmiklós"/>
    <d v="2026-03-22T00:00:00"/>
    <x v="365"/>
    <x v="0"/>
    <s v="Victory"/>
    <s v="utánpótlás"/>
    <s v="gyerek"/>
    <m/>
  </r>
  <r>
    <x v="3"/>
    <s v="3A"/>
    <n v="670"/>
    <s v="Kumite"/>
    <s v="Kumite, -, 40-45 kg, Gyerek 2. (11-12"/>
    <x v="76"/>
    <s v="6"/>
    <s v="6 fős vegyes"/>
    <s v="2"/>
    <s v="Baranya Lilla"/>
    <s v="KSE Tarján"/>
    <s v="HUN"/>
    <n v="0"/>
    <m/>
    <s v="Szigetszentmiklós"/>
    <d v="2026-03-22T00:00:00"/>
    <x v="150"/>
    <x v="0"/>
    <s v="KSE Tarján"/>
    <s v="utánpótlás"/>
    <s v="gyerek"/>
    <m/>
  </r>
  <r>
    <x v="3"/>
    <s v="3A"/>
    <n v="671"/>
    <s v="Kumite"/>
    <s v="Kumite, -, 40-45 kg, Gyerek 2. (11-12"/>
    <x v="76"/>
    <s v="6"/>
    <s v="6 fős vegyes"/>
    <s v="3"/>
    <s v="Vig Boglárka"/>
    <s v="VTSE"/>
    <s v="HUN"/>
    <n v="0"/>
    <m/>
    <s v="Szigetszentmiklós"/>
    <d v="2026-03-22T00:00:00"/>
    <x v="144"/>
    <x v="1"/>
    <s v="VTSE"/>
    <s v="utánpótlás"/>
    <s v="gyerek"/>
    <m/>
  </r>
  <r>
    <x v="3"/>
    <s v="3A"/>
    <n v="672"/>
    <s v="Kumite"/>
    <s v="Kumite, -, 40-45 kg, Gyerek 2. (11-12"/>
    <x v="76"/>
    <s v="6"/>
    <s v="6 fős vegyes"/>
    <s v="4"/>
    <s v="Tóth Arina Bejke"/>
    <s v="Nagykátai Bushido SE"/>
    <s v="HUN"/>
    <n v="0"/>
    <m/>
    <s v="Szigetszentmiklós"/>
    <d v="2026-03-22T00:00:00"/>
    <x v="145"/>
    <x v="0"/>
    <s v="Nagykátai Bushido SE"/>
    <s v="utánpótlás"/>
    <s v="gyerek"/>
    <m/>
  </r>
  <r>
    <x v="3"/>
    <s v="3A"/>
    <n v="673"/>
    <s v="Kumite"/>
    <s v="Kumite, -, 40-45 kg, Gyerek 2. (11-12"/>
    <x v="76"/>
    <s v="6"/>
    <s v="6 fős vegyes"/>
    <s v="5"/>
    <s v="Szombath Jázmin"/>
    <s v="Főnix Dojo"/>
    <s v="HUN"/>
    <n v="0"/>
    <m/>
    <s v="Szigetszentmiklós"/>
    <d v="2026-03-22T00:00:00"/>
    <x v="147"/>
    <x v="0"/>
    <s v="Főnix Dojo"/>
    <s v="utánpótlás"/>
    <s v="gyerek"/>
    <m/>
  </r>
  <r>
    <x v="3"/>
    <s v="3A"/>
    <n v="674"/>
    <s v="Kumite"/>
    <s v="Kumite, -, 40-45 kg, Gyerek 2. (11-12"/>
    <x v="76"/>
    <s v="6"/>
    <s v="6 fős vegyes"/>
    <s v="6"/>
    <s v="Rabi-Szita Emese"/>
    <s v="Meiyo dojo"/>
    <s v="HUN"/>
    <n v="0"/>
    <m/>
    <s v="Szigetszentmiklós"/>
    <d v="2026-03-22T00:00:00"/>
    <x v="149"/>
    <x v="0"/>
    <s v="Meiyo dojo"/>
    <s v="utánpótlás"/>
    <s v="gyerek"/>
    <m/>
  </r>
  <r>
    <x v="3"/>
    <s v="3A"/>
    <n v="675"/>
    <s v="Kata"/>
    <s v="Kata, -, 0-100 kg, Gyerek 2. (11-12"/>
    <x v="35"/>
    <s v="16"/>
    <s v="16 fős egyenes kiesés"/>
    <s v="1"/>
    <s v="MOLNÁR MINKA"/>
    <s v="Victory"/>
    <s v="HUN"/>
    <n v="8"/>
    <m/>
    <s v="Szigetszentmiklós"/>
    <d v="2026-03-22T00:00:00"/>
    <x v="365"/>
    <x v="0"/>
    <s v="Victory"/>
    <s v="utánpótlás"/>
    <s v="gyerek"/>
    <m/>
  </r>
  <r>
    <x v="3"/>
    <s v="3A"/>
    <n v="676"/>
    <s v="Kata"/>
    <s v="Kata, -, 0-100 kg, Gyerek 2. (11-12"/>
    <x v="35"/>
    <s v="16"/>
    <s v="16 fős egyenes kiesés"/>
    <s v="2"/>
    <s v="Fagbola Esther"/>
    <s v="Victory"/>
    <s v="HUN"/>
    <n v="6"/>
    <m/>
    <s v="Szigetszentmiklós"/>
    <d v="2026-03-22T00:00:00"/>
    <x v="359"/>
    <x v="0"/>
    <s v="Victory"/>
    <s v="utánpótlás"/>
    <s v="gyerek"/>
    <m/>
  </r>
  <r>
    <x v="3"/>
    <s v="3A"/>
    <n v="677"/>
    <s v="Kata"/>
    <s v="Kata, -, 0-100 kg, Gyerek 2. (11-12"/>
    <x v="35"/>
    <s v="16"/>
    <s v="16 fős egyenes kiesés"/>
    <s v="3"/>
    <s v="Damu Zsanett"/>
    <s v="Kagami"/>
    <s v="HUN"/>
    <n v="4"/>
    <m/>
    <s v="Szigetszentmiklós"/>
    <d v="2026-03-22T00:00:00"/>
    <x v="364"/>
    <x v="0"/>
    <s v="Kagami"/>
    <s v="utánpótlás"/>
    <s v="gyerek"/>
    <m/>
  </r>
  <r>
    <x v="3"/>
    <s v="3A"/>
    <n v="678"/>
    <s v="Kata"/>
    <s v="Kata, -, 0-100 kg, Gyerek 2. (11-12"/>
    <x v="35"/>
    <s v="16"/>
    <s v="16 fős egyenes kiesés"/>
    <s v="3"/>
    <s v="Jakubovics Nikolett"/>
    <s v="BHMSE"/>
    <s v="HUN"/>
    <n v="4"/>
    <m/>
    <s v="Szigetszentmiklós"/>
    <d v="2026-03-22T00:00:00"/>
    <x v="138"/>
    <x v="0"/>
    <s v="BHMSE"/>
    <s v="utánpótlás"/>
    <s v="gyerek"/>
    <m/>
  </r>
  <r>
    <x v="3"/>
    <s v="3A"/>
    <n v="679"/>
    <s v="Kata"/>
    <s v="Kata, -, 0-100 kg, Gyerek 2. (11-12"/>
    <x v="35"/>
    <s v="16"/>
    <s v="16 fős egyenes kiesés"/>
    <s v="5"/>
    <s v="Varga Zoé"/>
    <s v="Kemecse SE"/>
    <s v="HUN"/>
    <n v="2"/>
    <m/>
    <s v="Szigetszentmiklós"/>
    <d v="2026-03-22T00:00:00"/>
    <x v="370"/>
    <x v="0"/>
    <s v="Kemecse SE"/>
    <s v="utánpótlás"/>
    <s v="gyerek"/>
    <m/>
  </r>
  <r>
    <x v="3"/>
    <s v="3A"/>
    <n v="680"/>
    <s v="Kata"/>
    <s v="Kata, -, 0-100 kg, Gyerek 2. (11-12"/>
    <x v="35"/>
    <s v="16"/>
    <s v="16 fős egyenes kiesés"/>
    <s v="6"/>
    <s v="Domján-Herbat Réka"/>
    <s v="BHMSE"/>
    <s v="HUN"/>
    <n v="2"/>
    <m/>
    <s v="Szigetszentmiklós"/>
    <d v="2026-03-22T00:00:00"/>
    <x v="151"/>
    <x v="0"/>
    <s v="BHMSE"/>
    <s v="utánpótlás"/>
    <s v="gyerek"/>
    <m/>
  </r>
  <r>
    <x v="3"/>
    <s v="3A"/>
    <n v="681"/>
    <s v="Kata"/>
    <s v="Kata, -, 0-100 kg, Gyerek 2. (11-12"/>
    <x v="35"/>
    <s v="16"/>
    <s v="16 fős egyenes kiesés"/>
    <s v="7-8"/>
    <s v="Cserép Nóra"/>
    <s v="Kelemen-Team"/>
    <s v="HUN"/>
    <n v="2"/>
    <m/>
    <s v="Szigetszentmiklós"/>
    <d v="2026-03-22T00:00:00"/>
    <x v="368"/>
    <x v="0"/>
    <s v="Kelemen-Team"/>
    <s v="utánpótlás"/>
    <s v="gyerek"/>
    <m/>
  </r>
  <r>
    <x v="3"/>
    <s v="3A"/>
    <n v="682"/>
    <s v="Kata"/>
    <s v="Kata, -, 0-100 kg, Gyerek 2. (11-12"/>
    <x v="35"/>
    <s v="16"/>
    <s v="16 fős egyenes kiesés"/>
    <s v="7-8"/>
    <s v="Rabi-Szita Emese"/>
    <s v="Meiyo dojo"/>
    <s v="HUN"/>
    <n v="2"/>
    <m/>
    <s v="Szigetszentmiklós"/>
    <d v="2026-03-22T00:00:00"/>
    <x v="149"/>
    <x v="0"/>
    <s v="Meiyo dojo"/>
    <s v="utánpótlás"/>
    <s v="gyerek"/>
    <m/>
  </r>
  <r>
    <x v="3"/>
    <s v="3A"/>
    <n v="683"/>
    <s v="Kata"/>
    <s v="Kata, -, 0-100 kg, Gyerek 2. (11-12"/>
    <x v="35"/>
    <s v="16"/>
    <s v="16 fős egyenes kiesés"/>
    <s v="9"/>
    <s v="Téglási Kamilla"/>
    <s v="Kisvárda KKDOSC"/>
    <s v="HUN"/>
    <n v="0"/>
    <m/>
    <s v="Szigetszentmiklós"/>
    <d v="2026-03-22T00:00:00"/>
    <x v="360"/>
    <x v="0"/>
    <s v="Kisvárda KKDOSC"/>
    <s v="utánpótlás"/>
    <s v="gyerek"/>
    <m/>
  </r>
  <r>
    <x v="3"/>
    <s v="3A"/>
    <n v="684"/>
    <s v="Kata"/>
    <s v="Kata, -, 0-100 kg, Gyerek 2. (11-12"/>
    <x v="35"/>
    <s v="16"/>
    <s v="16 fős egyenes kiesés"/>
    <s v="10"/>
    <s v="Huszár Hanna"/>
    <s v="Kemecse SE"/>
    <s v="HUN"/>
    <n v="0"/>
    <m/>
    <s v="Szigetszentmiklós"/>
    <d v="2026-03-22T00:00:00"/>
    <x v="366"/>
    <x v="0"/>
    <s v="Kemecse SE"/>
    <s v="utánpótlás"/>
    <s v="gyerek"/>
    <m/>
  </r>
  <r>
    <x v="3"/>
    <s v="3A"/>
    <n v="685"/>
    <s v="Kata"/>
    <s v="Kata, -, 0-100 kg, Gyerek 2. (11-12"/>
    <x v="35"/>
    <s v="16"/>
    <s v="16 fős egyenes kiesés"/>
    <s v="11-16"/>
    <s v="Gergácz Izabella"/>
    <s v="Beledi KÉSZ SE"/>
    <s v="HUN"/>
    <n v="0"/>
    <m/>
    <s v="Szigetszentmiklós"/>
    <d v="2026-03-22T00:00:00"/>
    <x v="154"/>
    <x v="1"/>
    <s v="Beledi KÉSZ SE"/>
    <s v="utánpótlás"/>
    <s v="gyerek"/>
    <m/>
  </r>
  <r>
    <x v="3"/>
    <s v="3A"/>
    <n v="686"/>
    <s v="Kata"/>
    <s v="Kata, -, 0-100 kg, Gyerek 2. (11-12"/>
    <x v="35"/>
    <s v="16"/>
    <s v="16 fős egyenes kiesés"/>
    <s v="11-16"/>
    <s v="Fürjesi Eszter"/>
    <s v="Shogun"/>
    <s v="HUN"/>
    <n v="0"/>
    <m/>
    <s v="Szigetszentmiklós"/>
    <d v="2026-03-22T00:00:00"/>
    <x v="358"/>
    <x v="0"/>
    <s v="Shogun"/>
    <s v="utánpótlás"/>
    <s v="gyerek"/>
    <m/>
  </r>
  <r>
    <x v="3"/>
    <s v="3A"/>
    <n v="687"/>
    <s v="Kata"/>
    <s v="Kata, -, 0-100 kg, Gyerek 2. (11-12"/>
    <x v="35"/>
    <s v="16"/>
    <s v="16 fős egyenes kiesés"/>
    <s v="11-16"/>
    <s v="Rudi Noémi"/>
    <s v="Rakurai"/>
    <s v="HUN"/>
    <n v="0"/>
    <m/>
    <s v="Szigetszentmiklós"/>
    <d v="2026-03-22T00:00:00"/>
    <x v="152"/>
    <x v="0"/>
    <s v="Rakurai"/>
    <s v="utánpótlás"/>
    <s v="gyerek"/>
    <m/>
  </r>
  <r>
    <x v="3"/>
    <s v="3A"/>
    <n v="688"/>
    <s v="Kata"/>
    <s v="Kata, -, 0-100 kg, Gyerek 2. (11-12"/>
    <x v="35"/>
    <s v="16"/>
    <s v="16 fős egyenes kiesés"/>
    <s v="11-16"/>
    <s v="Spanjevic Frida"/>
    <s v="BHMSE"/>
    <s v="HUN"/>
    <n v="0"/>
    <m/>
    <s v="Szigetszentmiklós"/>
    <d v="2026-03-22T00:00:00"/>
    <x v="146"/>
    <x v="0"/>
    <s v="BHMSE"/>
    <s v="utánpótlás"/>
    <s v="gyerek"/>
    <m/>
  </r>
  <r>
    <x v="3"/>
    <s v="3A"/>
    <n v="689"/>
    <s v="Kata"/>
    <s v="Kata, -, 0-100 kg, Gyerek 2. (11-12"/>
    <x v="35"/>
    <s v="16"/>
    <s v="16 fős egyenes kiesés"/>
    <s v="11-16"/>
    <s v="Kis Emma"/>
    <s v="Shogun"/>
    <s v="HUN"/>
    <n v="0"/>
    <m/>
    <s v="Szigetszentmiklós"/>
    <d v="2026-03-22T00:00:00"/>
    <x v="367"/>
    <x v="0"/>
    <s v="Shogun"/>
    <s v="utánpótlás"/>
    <s v="gyerek"/>
    <m/>
  </r>
  <r>
    <x v="3"/>
    <s v="3A"/>
    <n v="690"/>
    <s v="Kata"/>
    <s v="Kata, -, 0-100 kg, Gyerek 2. (11-12"/>
    <x v="35"/>
    <s v="16"/>
    <s v="16 fős egyenes kiesés"/>
    <s v="11-16"/>
    <s v="Barta-Gaál Adóra"/>
    <s v="BHMSE"/>
    <s v="HUN"/>
    <n v="0"/>
    <m/>
    <s v="Szigetszentmiklós"/>
    <d v="2026-03-22T00:00:00"/>
    <x v="153"/>
    <x v="0"/>
    <s v="BHMSE"/>
    <s v="utánpótlás"/>
    <s v="gyerek"/>
    <m/>
  </r>
  <r>
    <x v="3"/>
    <s v="3A"/>
    <n v="691"/>
    <s v="Kumite"/>
    <s v="Kumite, -, 0-40 kg, Serdülő (13-14"/>
    <x v="36"/>
    <s v="7"/>
    <s v="8 fős egyenes kiesés"/>
    <s v="1"/>
    <s v="Veress Dávid"/>
    <s v="KHSE"/>
    <s v="HUN"/>
    <n v="8"/>
    <m/>
    <s v="Szigetszentmiklós"/>
    <d v="2026-03-22T00:00:00"/>
    <x v="372"/>
    <x v="0"/>
    <s v="KHSE"/>
    <s v="utánpótlás"/>
    <s v="serdülő"/>
    <m/>
  </r>
  <r>
    <x v="3"/>
    <s v="3A"/>
    <n v="692"/>
    <s v="Kumite"/>
    <s v="Kumite, -, 0-40 kg, Serdülő (13-14"/>
    <x v="36"/>
    <s v="7"/>
    <s v="8 fős egyenes kiesés"/>
    <s v="2"/>
    <s v="Melczner Márk"/>
    <s v="Victory"/>
    <s v="HUN"/>
    <n v="6"/>
    <m/>
    <s v="Szigetszentmiklós"/>
    <d v="2026-03-22T00:00:00"/>
    <x v="373"/>
    <x v="0"/>
    <s v="Victory"/>
    <s v="utánpótlás"/>
    <s v="serdülő"/>
    <m/>
  </r>
  <r>
    <x v="3"/>
    <s v="3A"/>
    <n v="693"/>
    <s v="Kumite"/>
    <s v="Kumite, -, 0-40 kg, Serdülő (13-14"/>
    <x v="36"/>
    <s v="7"/>
    <s v="8 fős egyenes kiesés"/>
    <s v="3"/>
    <s v="Kis Ádám Zsolt"/>
    <s v="KYO Fighter SE"/>
    <s v="HUN"/>
    <n v="4"/>
    <m/>
    <s v="Szigetszentmiklós"/>
    <d v="2026-03-22T00:00:00"/>
    <x v="374"/>
    <x v="0"/>
    <s v="KYO Fighter SE"/>
    <s v="utánpótlás"/>
    <s v="serdülő"/>
    <m/>
  </r>
  <r>
    <x v="3"/>
    <s v="3A"/>
    <n v="694"/>
    <s v="Kumite"/>
    <s v="Kumite, -, 0-40 kg, Serdülő (13-14"/>
    <x v="36"/>
    <s v="7"/>
    <s v="8 fős egyenes kiesés"/>
    <s v="3"/>
    <s v="Sövér Levente"/>
    <s v="BHMSE"/>
    <s v="HUN"/>
    <n v="0"/>
    <s v="nem volt nyertes mérkőzése"/>
    <s v="Szigetszentmiklós"/>
    <d v="2026-03-22T00:00:00"/>
    <x v="156"/>
    <x v="0"/>
    <s v="BHMSE"/>
    <s v="utánpótlás"/>
    <s v="serdülő"/>
    <m/>
  </r>
  <r>
    <x v="3"/>
    <s v="3A"/>
    <n v="695"/>
    <s v="Kumite"/>
    <s v="Kumite, -, 0-40 kg, Serdülő (13-14"/>
    <x v="36"/>
    <s v="7"/>
    <s v="8 fős egyenes kiesés"/>
    <s v="5"/>
    <s v="Ungai Ferenc"/>
    <s v="Hajdúszoboszló"/>
    <s v="HUN"/>
    <n v="0"/>
    <m/>
    <s v="Szigetszentmiklós"/>
    <d v="2026-03-22T00:00:00"/>
    <x v="497"/>
    <x v="0"/>
    <s v="Hajdúszoboszló"/>
    <s v="utánpótlás"/>
    <s v="serdülő"/>
    <m/>
  </r>
  <r>
    <x v="3"/>
    <s v="3A"/>
    <n v="696"/>
    <s v="Kumite"/>
    <s v="Kumite, -, 0-40 kg, Serdülő (13-14"/>
    <x v="36"/>
    <s v="7"/>
    <s v="8 fős egyenes kiesés"/>
    <s v="6"/>
    <s v="Andrési Balázs"/>
    <s v="KHSE"/>
    <s v="HUN"/>
    <n v="0"/>
    <m/>
    <s v="Szigetszentmiklós"/>
    <d v="2026-03-22T00:00:00"/>
    <x v="375"/>
    <x v="0"/>
    <s v="KHSE"/>
    <s v="utánpótlás"/>
    <s v="serdülő"/>
    <m/>
  </r>
  <r>
    <x v="3"/>
    <s v="3A"/>
    <n v="697"/>
    <s v="Kumite"/>
    <s v="Kumite, -, 0-40 kg, Serdülő (13-14"/>
    <x v="36"/>
    <s v="7"/>
    <s v="8 fős egyenes kiesés"/>
    <s v="7-8"/>
    <s v="Kleé Krisztián"/>
    <s v="Rakurai"/>
    <s v="HUN"/>
    <n v="0"/>
    <m/>
    <s v="Szigetszentmiklós"/>
    <d v="2026-03-22T00:00:00"/>
    <x v="189"/>
    <x v="0"/>
    <s v="Rakurai"/>
    <s v="utánpótlás"/>
    <s v="serdülő"/>
    <m/>
  </r>
  <r>
    <x v="3"/>
    <s v="3A"/>
    <n v="698"/>
    <s v="Kumite"/>
    <s v="Kumite, -, 40-45 kg, Serdülő (13-14"/>
    <x v="37"/>
    <s v="10"/>
    <s v="16 fős egyenes kiesés"/>
    <s v="1"/>
    <s v="Bárkovics Áron"/>
    <s v="KKE - Spartacus"/>
    <s v="HUN"/>
    <n v="10"/>
    <m/>
    <s v="Szigetszentmiklós"/>
    <d v="2026-03-22T00:00:00"/>
    <x v="158"/>
    <x v="0"/>
    <s v="KKE - Spartacus"/>
    <s v="utánpótlás"/>
    <s v="serdülő"/>
    <m/>
  </r>
  <r>
    <x v="3"/>
    <s v="3A"/>
    <n v="699"/>
    <s v="Kumite"/>
    <s v="Kumite, -, 40-45 kg, Serdülő (13-14"/>
    <x v="37"/>
    <s v="10"/>
    <s v="16 fős egyenes kiesés"/>
    <s v="2"/>
    <s v="Békési Nándor István"/>
    <s v="Shogun"/>
    <s v="HUN"/>
    <n v="8"/>
    <m/>
    <s v="Szigetszentmiklós"/>
    <d v="2026-03-22T00:00:00"/>
    <x v="376"/>
    <x v="0"/>
    <s v="Shogun"/>
    <s v="utánpótlás"/>
    <s v="serdülő"/>
    <m/>
  </r>
  <r>
    <x v="3"/>
    <s v="3A"/>
    <n v="700"/>
    <s v="Kumite"/>
    <s v="Kumite, -, 40-45 kg, Serdülő (13-14"/>
    <x v="37"/>
    <s v="10"/>
    <s v="16 fős egyenes kiesés"/>
    <s v="3"/>
    <s v="Takács Sárkány Balázs"/>
    <s v="KHSE"/>
    <s v="HUN"/>
    <n v="6"/>
    <m/>
    <s v="Szigetszentmiklós"/>
    <d v="2026-03-22T00:00:00"/>
    <x v="377"/>
    <x v="0"/>
    <s v="KHSE"/>
    <s v="utánpótlás"/>
    <s v="serdülő"/>
    <m/>
  </r>
  <r>
    <x v="3"/>
    <s v="3A"/>
    <n v="701"/>
    <s v="Kumite"/>
    <s v="Kumite, -, 40-45 kg, Serdülő (13-14"/>
    <x v="37"/>
    <s v="10"/>
    <s v="16 fős egyenes kiesés"/>
    <s v="3"/>
    <s v="Hidegh Flórián"/>
    <s v="Rakurai"/>
    <s v="HUN"/>
    <n v="6"/>
    <m/>
    <s v="Szigetszentmiklós"/>
    <d v="2026-03-22T00:00:00"/>
    <x v="159"/>
    <x v="0"/>
    <s v="Rakurai"/>
    <s v="utánpótlás"/>
    <s v="serdülő"/>
    <m/>
  </r>
  <r>
    <x v="3"/>
    <s v="3A"/>
    <n v="702"/>
    <s v="Kumite"/>
    <s v="Kumite, -, 40-45 kg, Serdülő (13-14"/>
    <x v="37"/>
    <s v="10"/>
    <s v="16 fős egyenes kiesés"/>
    <s v="5"/>
    <s v="Jankovics Marcell"/>
    <s v="Siófok KSE"/>
    <s v="HUN"/>
    <n v="0"/>
    <s v="nem volt nyertes mérkőzése"/>
    <s v="Szigetszentmiklós"/>
    <d v="2026-03-22T00:00:00"/>
    <x v="161"/>
    <x v="0"/>
    <s v="Siófok KSE"/>
    <s v="utánpótlás"/>
    <s v="serdülő"/>
    <m/>
  </r>
  <r>
    <x v="3"/>
    <s v="3A"/>
    <n v="703"/>
    <s v="Kumite"/>
    <s v="Kumite, -, 40-45 kg, Serdülő (13-14"/>
    <x v="37"/>
    <s v="10"/>
    <s v="16 fős egyenes kiesés"/>
    <s v="6"/>
    <s v="Rudi Gergő"/>
    <s v="Rakurai"/>
    <s v="HUN"/>
    <n v="0"/>
    <s v="nem volt nyertes mérkőzése"/>
    <s v="Szigetszentmiklós"/>
    <d v="2026-03-22T00:00:00"/>
    <x v="498"/>
    <x v="0"/>
    <s v="Rakurai"/>
    <s v="utánpótlás"/>
    <s v="serdülő"/>
    <m/>
  </r>
  <r>
    <x v="3"/>
    <s v="3A"/>
    <n v="704"/>
    <s v="Kumite"/>
    <s v="Kumite, -, 40-45 kg, Serdülő (13-14"/>
    <x v="37"/>
    <s v="10"/>
    <s v="16 fős egyenes kiesés"/>
    <s v="7-8"/>
    <s v="Kovács Marcell András"/>
    <s v="Victory"/>
    <s v="HUN"/>
    <n v="0"/>
    <s v="nem volt nyertes mérkőzése"/>
    <s v="Szigetszentmiklós"/>
    <d v="2026-03-22T00:00:00"/>
    <x v="499"/>
    <x v="0"/>
    <s v="Victory"/>
    <s v="utánpótlás"/>
    <s v="serdülő"/>
    <m/>
  </r>
  <r>
    <x v="3"/>
    <s v="3A"/>
    <n v="705"/>
    <s v="Kumite"/>
    <s v="Kumite, -, 40-45 kg, Serdülő (13-14"/>
    <x v="37"/>
    <s v="10"/>
    <s v="16 fős egyenes kiesés"/>
    <s v="7-8"/>
    <s v="Béres Bence"/>
    <s v="VTSE"/>
    <s v="HUN"/>
    <n v="0"/>
    <s v="nem volt nyertes mérkőzése"/>
    <s v="Szigetszentmiklós"/>
    <d v="2026-03-22T00:00:00"/>
    <x v="160"/>
    <x v="1"/>
    <s v="VTSE"/>
    <s v="utánpótlás"/>
    <s v="serdülő"/>
    <m/>
  </r>
  <r>
    <x v="3"/>
    <s v="3A"/>
    <n v="706"/>
    <s v="Kumite"/>
    <s v="Kumite, -, 45-50 kg, Serdülő (13-14"/>
    <x v="38"/>
    <s v="10"/>
    <s v="16 fős egyenes kiesés"/>
    <s v="1"/>
    <s v="Remenyik Dániel"/>
    <s v="Shogun"/>
    <s v="HUN"/>
    <n v="10"/>
    <m/>
    <s v="Szigetszentmiklós"/>
    <d v="2026-03-22T00:00:00"/>
    <x v="380"/>
    <x v="0"/>
    <s v="Shogun"/>
    <s v="utánpótlás"/>
    <s v="serdülő"/>
    <m/>
  </r>
  <r>
    <x v="3"/>
    <s v="3A"/>
    <n v="707"/>
    <s v="Kumite"/>
    <s v="Kumite, -, 45-50 kg, Serdülő (13-14"/>
    <x v="38"/>
    <s v="10"/>
    <s v="16 fős egyenes kiesés"/>
    <s v="2"/>
    <s v="Tóth Kornél"/>
    <s v="KKE - Spartacus"/>
    <s v="HUN"/>
    <n v="8"/>
    <m/>
    <s v="Szigetszentmiklós"/>
    <d v="2026-03-22T00:00:00"/>
    <x v="163"/>
    <x v="0"/>
    <s v="KKE - Spartacus"/>
    <s v="utánpótlás"/>
    <s v="serdülő"/>
    <m/>
  </r>
  <r>
    <x v="3"/>
    <s v="3A"/>
    <n v="708"/>
    <s v="Kumite"/>
    <s v="Kumite, -, 45-50 kg, Serdülő (13-14"/>
    <x v="38"/>
    <s v="10"/>
    <s v="16 fős egyenes kiesés"/>
    <s v="3"/>
    <s v="Antal Dániel Kristóf"/>
    <s v="KSE Tarján"/>
    <s v="HUN"/>
    <n v="6"/>
    <m/>
    <s v="Szigetszentmiklós"/>
    <d v="2026-03-22T00:00:00"/>
    <x v="162"/>
    <x v="0"/>
    <s v="KSE Tarján"/>
    <s v="utánpótlás"/>
    <s v="serdülő"/>
    <m/>
  </r>
  <r>
    <x v="3"/>
    <s v="3A"/>
    <n v="709"/>
    <s v="Kumite"/>
    <s v="Kumite, -, 45-50 kg, Serdülő (13-14"/>
    <x v="38"/>
    <s v="10"/>
    <s v="16 fős egyenes kiesés"/>
    <s v="3"/>
    <s v="Pista Áron"/>
    <s v="Bendiák Dojo"/>
    <s v="HUN"/>
    <n v="6"/>
    <m/>
    <s v="Szigetszentmiklós"/>
    <d v="2026-03-22T00:00:00"/>
    <x v="379"/>
    <x v="0"/>
    <s v="Bendiák Dojo"/>
    <s v="utánpótlás"/>
    <s v="serdülő"/>
    <m/>
  </r>
  <r>
    <x v="3"/>
    <s v="3A"/>
    <n v="710"/>
    <s v="Kumite"/>
    <s v="Kumite, -, 45-50 kg, Serdülő (13-14"/>
    <x v="38"/>
    <s v="10"/>
    <s v="16 fős egyenes kiesés"/>
    <s v="5"/>
    <s v="Szymon Fraczek"/>
    <s v="Bátor KSE"/>
    <s v="HUN"/>
    <n v="3"/>
    <m/>
    <s v="Szigetszentmiklós"/>
    <d v="2026-03-22T00:00:00"/>
    <x v="382"/>
    <x v="0"/>
    <s v="Bátor KSE"/>
    <s v="utánpótlás"/>
    <s v="serdülő"/>
    <m/>
  </r>
  <r>
    <x v="3"/>
    <s v="3A"/>
    <n v="711"/>
    <s v="Kumite"/>
    <s v="Kumite, -, 45-50 kg, Serdülő (13-14"/>
    <x v="38"/>
    <s v="10"/>
    <s v="16 fős egyenes kiesés"/>
    <s v="6"/>
    <s v="Turcsán Barnabás"/>
    <s v="Borza Dojo"/>
    <s v="HUN"/>
    <n v="3"/>
    <m/>
    <s v="Szigetszentmiklós"/>
    <d v="2026-03-22T00:00:00"/>
    <x v="381"/>
    <x v="1"/>
    <s v="Borza Dojo"/>
    <s v="utánpótlás"/>
    <s v="serdülő"/>
    <m/>
  </r>
  <r>
    <x v="3"/>
    <s v="3A"/>
    <n v="712"/>
    <s v="Kumite"/>
    <s v="Kumite, -, 45-50 kg, Serdülő (13-14"/>
    <x v="38"/>
    <s v="10"/>
    <s v="16 fős egyenes kiesés"/>
    <s v="7-8"/>
    <s v="Tóth Benedek"/>
    <s v="Ichiro Dojo"/>
    <s v="HUN"/>
    <n v="0"/>
    <s v="nem volt nyertes mérkőzése"/>
    <s v="Szigetszentmiklós"/>
    <d v="2026-03-22T00:00:00"/>
    <x v="167"/>
    <x v="1"/>
    <s v="Ichiro Dojo"/>
    <s v="utánpótlás"/>
    <s v="serdülő"/>
    <m/>
  </r>
  <r>
    <x v="3"/>
    <s v="3A"/>
    <n v="713"/>
    <s v="Kumite"/>
    <s v="Kumite, -, 45-50 kg, Serdülő (13-14"/>
    <x v="38"/>
    <s v="10"/>
    <s v="16 fős egyenes kiesés"/>
    <s v="7-8"/>
    <s v="Kámán Márton"/>
    <s v="Rakurai"/>
    <s v="HUN"/>
    <n v="0"/>
    <s v="nem volt nyertes mérkőzése"/>
    <s v="Szigetszentmiklós"/>
    <d v="2026-03-22T00:00:00"/>
    <x v="165"/>
    <x v="0"/>
    <s v="Rakurai"/>
    <s v="utánpótlás"/>
    <s v="serdülő"/>
    <m/>
  </r>
  <r>
    <x v="3"/>
    <s v="3A"/>
    <n v="714"/>
    <s v="Kumite"/>
    <s v="Kumite, -, 45-50 kg, Serdülő (13-14"/>
    <x v="38"/>
    <s v="10"/>
    <s v="16 fős egyenes kiesés"/>
    <s v="11-16"/>
    <s v="Tarjányi Zétény Ferenc"/>
    <s v="ARSC"/>
    <s v="HUN"/>
    <n v="0"/>
    <m/>
    <s v="Szigetszentmiklós"/>
    <d v="2026-03-22T00:00:00"/>
    <x v="166"/>
    <x v="0"/>
    <s v="ARSC"/>
    <s v="utánpótlás"/>
    <s v="serdülő"/>
    <m/>
  </r>
  <r>
    <x v="3"/>
    <s v="3A"/>
    <n v="715"/>
    <s v="Kumite"/>
    <s v="Kumite, -, 45-50 kg, Serdülő (13-14"/>
    <x v="38"/>
    <s v="10"/>
    <s v="16 fős egyenes kiesés"/>
    <s v="11-16"/>
    <s v="Halász Zente"/>
    <s v="Griff SE"/>
    <s v="HUN"/>
    <n v="0"/>
    <m/>
    <s v="Szigetszentmiklós"/>
    <d v="2026-03-22T00:00:00"/>
    <x v="168"/>
    <x v="0"/>
    <s v="Griff SE"/>
    <s v="utánpótlás"/>
    <s v="serdülő"/>
    <m/>
  </r>
  <r>
    <x v="3"/>
    <s v="3A"/>
    <n v="716"/>
    <s v="Kumite"/>
    <s v="Kumite, -, 50-60 kg, Serdülő (13-14"/>
    <x v="39"/>
    <s v="11"/>
    <s v="16 fős egyenes kiesés"/>
    <s v="1"/>
    <s v="Vig Bendegúz"/>
    <s v="VTSE"/>
    <s v="HUN"/>
    <n v="10"/>
    <m/>
    <s v="Szigetszentmiklós"/>
    <d v="2026-03-22T00:00:00"/>
    <x v="171"/>
    <x v="1"/>
    <s v="VTSE"/>
    <s v="utánpótlás"/>
    <s v="serdülő"/>
    <m/>
  </r>
  <r>
    <x v="3"/>
    <s v="3A"/>
    <n v="717"/>
    <s v="Kumite"/>
    <s v="Kumite, -, 50-60 kg, Serdülő (13-14"/>
    <x v="39"/>
    <s v="11"/>
    <s v="16 fős egyenes kiesés"/>
    <s v="2"/>
    <s v="Viszugyel Bálint"/>
    <s v="VTSE"/>
    <s v="HUN"/>
    <n v="8"/>
    <m/>
    <s v="Szigetszentmiklós"/>
    <d v="2026-03-22T00:00:00"/>
    <x v="170"/>
    <x v="1"/>
    <s v="VTSE"/>
    <s v="utánpótlás"/>
    <s v="serdülő"/>
    <m/>
  </r>
  <r>
    <x v="3"/>
    <s v="3A"/>
    <n v="718"/>
    <s v="Kumite"/>
    <s v="Kumite, -, 50-60 kg, Serdülő (13-14"/>
    <x v="39"/>
    <s v="11"/>
    <s v="16 fős egyenes kiesés"/>
    <s v="3"/>
    <s v="Tángyes Ricardo"/>
    <s v="Kisvárda KKDOSC"/>
    <s v="HUN"/>
    <n v="6"/>
    <m/>
    <s v="Szigetszentmiklós"/>
    <d v="2026-03-22T00:00:00"/>
    <x v="384"/>
    <x v="0"/>
    <s v="Kisvárda KKDOSC"/>
    <s v="utánpótlás"/>
    <s v="serdülő"/>
    <m/>
  </r>
  <r>
    <x v="3"/>
    <s v="3A"/>
    <n v="719"/>
    <s v="Kumite"/>
    <s v="Kumite, -, 50-60 kg, Serdülő (13-14"/>
    <x v="39"/>
    <s v="11"/>
    <s v="16 fős egyenes kiesés"/>
    <s v="3"/>
    <s v="Szabó Levente Botond"/>
    <s v="KSE Tarján"/>
    <s v="HUN"/>
    <n v="6"/>
    <m/>
    <s v="Szigetszentmiklós"/>
    <d v="2026-03-22T00:00:00"/>
    <x v="175"/>
    <x v="0"/>
    <s v="KSE Tarján"/>
    <s v="utánpótlás"/>
    <s v="serdülő"/>
    <m/>
  </r>
  <r>
    <x v="3"/>
    <s v="3A"/>
    <n v="720"/>
    <s v="Kumite"/>
    <s v="Kumite, -, 50-60 kg, Serdülő (13-14"/>
    <x v="39"/>
    <s v="11"/>
    <s v="16 fős egyenes kiesés"/>
    <s v="5"/>
    <s v="Ferenczhalmy Félix"/>
    <s v="BHMSE"/>
    <s v="HUN"/>
    <n v="0"/>
    <s v="nem volt nyertes mérkőzése"/>
    <s v="Szigetszentmiklós"/>
    <d v="2026-03-22T00:00:00"/>
    <x v="169"/>
    <x v="0"/>
    <s v="BHMSE"/>
    <s v="utánpótlás"/>
    <s v="serdülő"/>
    <m/>
  </r>
  <r>
    <x v="3"/>
    <s v="3A"/>
    <n v="721"/>
    <s v="Kumite"/>
    <s v="Kumite, -, 50-60 kg, Serdülő (13-14"/>
    <x v="39"/>
    <s v="11"/>
    <s v="16 fős egyenes kiesés"/>
    <s v="6"/>
    <s v="Szabó Dominik"/>
    <s v="Buke Reikon HRSE"/>
    <s v="HUN"/>
    <n v="3"/>
    <m/>
    <s v="Szigetszentmiklós"/>
    <d v="2026-03-22T00:00:00"/>
    <x v="500"/>
    <x v="0"/>
    <s v="Buke Reikon HRSE"/>
    <s v="utánpótlás"/>
    <s v="serdülő"/>
    <m/>
  </r>
  <r>
    <x v="3"/>
    <s v="3A"/>
    <n v="722"/>
    <s v="Kumite"/>
    <s v="Kumite, -, 50-60 kg, Serdülő (13-14"/>
    <x v="39"/>
    <s v="11"/>
    <s v="16 fős egyenes kiesés"/>
    <s v="7-8"/>
    <s v="Bánfi Botond"/>
    <s v="Rokku KKSE"/>
    <s v="HUN"/>
    <n v="3"/>
    <m/>
    <s v="Szigetszentmiklós"/>
    <d v="2026-03-22T00:00:00"/>
    <x v="172"/>
    <x v="0"/>
    <s v="Rokku KKSE"/>
    <s v="utánpótlás"/>
    <s v="serdülő"/>
    <m/>
  </r>
  <r>
    <x v="3"/>
    <s v="3A"/>
    <n v="723"/>
    <s v="Kumite"/>
    <s v="Kumite, -, 50-60 kg, Serdülő (13-14"/>
    <x v="39"/>
    <s v="11"/>
    <s v="16 fős egyenes kiesés"/>
    <s v="7-8"/>
    <s v="Sádt Zétény"/>
    <s v="Buke Reikon HRSE"/>
    <s v="HUN"/>
    <n v="0"/>
    <s v="nem volt nyertes mérkőzése"/>
    <s v="Szigetszentmiklós"/>
    <d v="2026-03-22T00:00:00"/>
    <x v="383"/>
    <x v="0"/>
    <s v="Buke Reikon HRSE"/>
    <s v="utánpótlás"/>
    <s v="serdülő"/>
    <m/>
  </r>
  <r>
    <x v="3"/>
    <s v="3A"/>
    <n v="724"/>
    <s v="Kumite"/>
    <s v="Kumite, -, 50-60 kg, Serdülő (13-14"/>
    <x v="39"/>
    <s v="11"/>
    <s v="16 fős egyenes kiesés"/>
    <s v="9"/>
    <s v="Munkácsi Ádám"/>
    <s v="Főnix Dojo"/>
    <s v="HUN"/>
    <n v="0"/>
    <m/>
    <s v="Szigetszentmiklós"/>
    <d v="2026-03-22T00:00:00"/>
    <x v="173"/>
    <x v="0"/>
    <s v="Főnix Dojo"/>
    <s v="utánpótlás"/>
    <s v="serdülő"/>
    <m/>
  </r>
  <r>
    <x v="3"/>
    <s v="3A"/>
    <n v="725"/>
    <s v="Kumite"/>
    <s v="Kumite, -, 50-60 kg, Serdülő (13-14"/>
    <x v="39"/>
    <s v="11"/>
    <s v="16 fős egyenes kiesés"/>
    <s v="11-16"/>
    <s v="Hadnagy Barnabás"/>
    <s v="Rokku KKSE"/>
    <s v="HUN"/>
    <n v="0"/>
    <m/>
    <s v="Szigetszentmiklós"/>
    <d v="2026-03-22T00:00:00"/>
    <x v="174"/>
    <x v="0"/>
    <s v="Rokku KKSE"/>
    <s v="utánpótlás"/>
    <s v="serdülő"/>
    <m/>
  </r>
  <r>
    <x v="3"/>
    <s v="3A"/>
    <n v="726"/>
    <s v="Kumite"/>
    <s v="Kumite, -, 50-60 kg, Serdülő (13-14"/>
    <x v="39"/>
    <s v="11"/>
    <s v="16 fős egyenes kiesés"/>
    <s v="11-16"/>
    <s v="Szutor Levente"/>
    <s v="Shogun"/>
    <s v="HUN"/>
    <n v="0"/>
    <m/>
    <s v="Szigetszentmiklós"/>
    <d v="2026-03-22T00:00:00"/>
    <x v="385"/>
    <x v="0"/>
    <s v="Shogun"/>
    <s v="utánpótlás"/>
    <s v="serdülő"/>
    <m/>
  </r>
  <r>
    <x v="3"/>
    <s v="3A"/>
    <n v="727"/>
    <s v="Kumite"/>
    <s v="Kumite, -, 70-999 kg, Serdülő (13-14"/>
    <x v="40"/>
    <s v="8"/>
    <s v="8 fős egyenes kiesés"/>
    <s v="1"/>
    <s v="Villasenor Babos Viktor Éliás"/>
    <s v="Rakurai"/>
    <s v="HUN"/>
    <n v="0"/>
    <m/>
    <s v="Szigetszentmiklós"/>
    <d v="2026-03-22T00:00:00"/>
    <x v="176"/>
    <x v="0"/>
    <s v="Rakurai"/>
    <s v="utánpótlás"/>
    <s v="serdülő"/>
    <m/>
  </r>
  <r>
    <x v="3"/>
    <s v="3A"/>
    <n v="728"/>
    <s v="Kumite"/>
    <s v="Kumite, -, 70-999 kg, Serdülő (13-14"/>
    <x v="40"/>
    <s v="8"/>
    <s v="8 fős egyenes kiesés"/>
    <s v="2"/>
    <s v="Riczu Bendegúz"/>
    <s v="Nozomu Dojo"/>
    <s v="HUN"/>
    <n v="0"/>
    <m/>
    <s v="Szigetszentmiklós"/>
    <d v="2026-03-22T00:00:00"/>
    <x v="387"/>
    <x v="0"/>
    <s v="Nozomu Dojo"/>
    <s v="utánpótlás"/>
    <s v="serdülő"/>
    <m/>
  </r>
  <r>
    <x v="3"/>
    <s v="3A"/>
    <n v="729"/>
    <s v="Kumite"/>
    <s v="Kumite, -, 70-999 kg, Serdülő (13-14"/>
    <x v="40"/>
    <s v="8"/>
    <s v="8 fős egyenes kiesés"/>
    <s v="3"/>
    <s v="Salga Márton"/>
    <s v="Rokku KKSE"/>
    <s v="HUN"/>
    <n v="0"/>
    <m/>
    <s v="Szigetszentmiklós"/>
    <d v="2026-03-22T00:00:00"/>
    <x v="177"/>
    <x v="0"/>
    <s v="Rokku KKSE"/>
    <s v="utánpótlás"/>
    <s v="serdülő"/>
    <m/>
  </r>
  <r>
    <x v="3"/>
    <s v="3A"/>
    <n v="730"/>
    <s v="Kumite"/>
    <s v="Kumite, -, 70-999 kg, Serdülő (13-14"/>
    <x v="40"/>
    <s v="8"/>
    <s v="8 fős egyenes kiesés"/>
    <s v="3"/>
    <s v="Virág Marcell Máté"/>
    <s v="KHSE"/>
    <s v="HUN"/>
    <n v="4"/>
    <m/>
    <s v="Szigetszentmiklós"/>
    <d v="2026-03-22T00:00:00"/>
    <x v="388"/>
    <x v="0"/>
    <s v="KHSE"/>
    <s v="utánpótlás"/>
    <s v="serdülő"/>
    <m/>
  </r>
  <r>
    <x v="3"/>
    <s v="3A"/>
    <n v="731"/>
    <s v="Kumite"/>
    <s v="Kumite, -, 70-999 kg, Serdülő (13-14"/>
    <x v="40"/>
    <s v="8"/>
    <s v="8 fős egyenes kiesés"/>
    <s v="5"/>
    <s v="Simon Timon"/>
    <s v="Buke Reikon HRSE"/>
    <s v="HUN"/>
    <n v="0"/>
    <m/>
    <s v="Szigetszentmiklós"/>
    <d v="2026-03-22T00:00:00"/>
    <x v="501"/>
    <x v="0"/>
    <s v="Buke Reikon HRSE"/>
    <s v="utánpótlás"/>
    <s v="serdülő"/>
    <m/>
  </r>
  <r>
    <x v="3"/>
    <s v="3A"/>
    <n v="732"/>
    <s v="Kumite"/>
    <s v="Kumite, -, 70-999 kg, Serdülő (13-14"/>
    <x v="40"/>
    <s v="8"/>
    <s v="8 fős egyenes kiesés"/>
    <s v="6"/>
    <s v="Finta Csanád"/>
    <s v="Rakurai"/>
    <s v="HUN"/>
    <n v="0"/>
    <m/>
    <s v="Szigetszentmiklós"/>
    <d v="2026-03-22T00:00:00"/>
    <x v="178"/>
    <x v="0"/>
    <s v="Rakurai"/>
    <s v="utánpótlás"/>
    <s v="serdülő"/>
    <m/>
  </r>
  <r>
    <x v="3"/>
    <s v="3A"/>
    <n v="733"/>
    <s v="Kumite"/>
    <s v="Kumite, -, 70-999 kg, Serdülő (13-14"/>
    <x v="40"/>
    <s v="8"/>
    <s v="8 fős egyenes kiesés"/>
    <s v="7-8"/>
    <s v="Gaál-Vajai Tamás"/>
    <s v="Főnix Dojo"/>
    <s v="HUN"/>
    <n v="0"/>
    <m/>
    <s v="Szigetszentmiklós"/>
    <d v="2026-03-22T00:00:00"/>
    <x v="179"/>
    <x v="0"/>
    <s v="Főnix Dojo"/>
    <s v="utánpótlás"/>
    <s v="serdülő"/>
    <m/>
  </r>
  <r>
    <x v="3"/>
    <s v="3A"/>
    <n v="734"/>
    <s v="Kumite"/>
    <s v="Kumite, -, 70-999 kg, Serdülő (13-14"/>
    <x v="40"/>
    <s v="8"/>
    <s v="8 fős egyenes kiesés"/>
    <s v="7-8"/>
    <s v="Nagy Nimród"/>
    <s v="Rakurai"/>
    <s v="HUN"/>
    <n v="0"/>
    <m/>
    <s v="Szigetszentmiklós"/>
    <d v="2026-03-22T00:00:00"/>
    <x v="502"/>
    <x v="0"/>
    <s v="Rakurai"/>
    <s v="utánpótlás"/>
    <s v="serdülő"/>
    <m/>
  </r>
  <r>
    <x v="3"/>
    <s v="3A"/>
    <n v="735"/>
    <s v="Kumite"/>
    <s v="Kumite, -, 60-70 kg, Serdülő (13-14"/>
    <x v="41"/>
    <s v="10"/>
    <s v="16 fős egyenes kiesés"/>
    <s v="1"/>
    <s v="Száraz Zsombor"/>
    <s v="Derecske BUDO"/>
    <s v="HUN"/>
    <n v="10"/>
    <m/>
    <s v="Szigetszentmiklós"/>
    <d v="2026-03-22T00:00:00"/>
    <x v="389"/>
    <x v="0"/>
    <s v="Derecske BUDO"/>
    <s v="utánpótlás"/>
    <s v="serdülő"/>
    <m/>
  </r>
  <r>
    <x v="3"/>
    <s v="3A"/>
    <n v="736"/>
    <s v="Kumite"/>
    <s v="Kumite, -, 60-70 kg, Serdülő (13-14"/>
    <x v="41"/>
    <s v="10"/>
    <s v="16 fős egyenes kiesés"/>
    <s v="2"/>
    <s v="Tokaji Bocsárd Norbert"/>
    <s v="KHSE"/>
    <s v="HUN"/>
    <n v="8"/>
    <m/>
    <s v="Szigetszentmiklós"/>
    <d v="2026-03-22T00:00:00"/>
    <x v="391"/>
    <x v="0"/>
    <s v="KHSE"/>
    <s v="utánpótlás"/>
    <s v="serdülő"/>
    <m/>
  </r>
  <r>
    <x v="3"/>
    <s v="3A"/>
    <n v="737"/>
    <s v="Kumite"/>
    <s v="Kumite, -, 60-70 kg, Serdülő (13-14"/>
    <x v="41"/>
    <s v="10"/>
    <s v="16 fős egyenes kiesés"/>
    <s v="3"/>
    <s v="Kárpáti Bence"/>
    <s v="Cs.S.E."/>
    <s v="HUN"/>
    <n v="6"/>
    <m/>
    <s v="Szigetszentmiklós"/>
    <d v="2026-03-22T00:00:00"/>
    <x v="182"/>
    <x v="0"/>
    <s v="Cs.S.E."/>
    <s v="utánpótlás"/>
    <s v="serdülő"/>
    <m/>
  </r>
  <r>
    <x v="3"/>
    <s v="3A"/>
    <n v="738"/>
    <s v="Kumite"/>
    <s v="Kumite, -, 60-70 kg, Serdülő (13-14"/>
    <x v="41"/>
    <s v="10"/>
    <s v="16 fős egyenes kiesés"/>
    <s v="3"/>
    <s v="Farkas Álmos"/>
    <s v="KYO Fighter SE"/>
    <s v="HUN"/>
    <n v="6"/>
    <m/>
    <s v="Szigetszentmiklós"/>
    <d v="2026-03-22T00:00:00"/>
    <x v="392"/>
    <x v="0"/>
    <s v="KYO Fighter SE"/>
    <s v="utánpótlás"/>
    <s v="serdülő"/>
    <m/>
  </r>
  <r>
    <x v="3"/>
    <s v="3A"/>
    <n v="739"/>
    <s v="Kumite"/>
    <s v="Kumite, -, 60-70 kg, Serdülő (13-14"/>
    <x v="41"/>
    <s v="10"/>
    <s v="16 fős egyenes kiesés"/>
    <s v="5"/>
    <s v="Reinhofer Patrik"/>
    <s v="Rokku KKSE"/>
    <s v="HUN"/>
    <n v="0"/>
    <s v="nem volt nyertes mérkőzése"/>
    <s v="Szigetszentmiklós"/>
    <d v="2026-03-22T00:00:00"/>
    <x v="184"/>
    <x v="0"/>
    <s v="Rokku KKSE"/>
    <s v="utánpótlás"/>
    <s v="serdülő"/>
    <m/>
  </r>
  <r>
    <x v="3"/>
    <s v="3A"/>
    <n v="740"/>
    <s v="Kumite"/>
    <s v="Kumite, -, 60-70 kg, Serdülő (13-14"/>
    <x v="41"/>
    <s v="10"/>
    <s v="16 fős egyenes kiesés"/>
    <s v="6"/>
    <s v="Adámi Áron"/>
    <s v="Ichiro Dojo"/>
    <s v="HUN"/>
    <n v="0"/>
    <s v="nem volt nyertes mérkőzése"/>
    <s v="Szigetszentmiklós"/>
    <d v="2026-03-22T00:00:00"/>
    <x v="180"/>
    <x v="1"/>
    <s v="Ichiro Dojo"/>
    <s v="utánpótlás"/>
    <s v="serdülő"/>
    <m/>
  </r>
  <r>
    <x v="3"/>
    <s v="3A"/>
    <n v="741"/>
    <s v="Kumite"/>
    <s v="Kumite, -, 60-70 kg, Serdülő (13-14"/>
    <x v="41"/>
    <s v="10"/>
    <s v="16 fős egyenes kiesés"/>
    <s v="7-8"/>
    <s v="Kovács Máté Noel"/>
    <s v="Bátor KSE"/>
    <s v="HUN"/>
    <n v="0"/>
    <s v="nem volt nyertes mérkőzése"/>
    <s v="Szigetszentmiklós"/>
    <d v="2026-03-22T00:00:00"/>
    <x v="390"/>
    <x v="0"/>
    <s v="Bátor KSE"/>
    <s v="utánpótlás"/>
    <s v="serdülő"/>
    <m/>
  </r>
  <r>
    <x v="3"/>
    <s v="3A"/>
    <n v="742"/>
    <s v="Kumite"/>
    <s v="Kumite, -, 60-70 kg, Serdülő (13-14"/>
    <x v="41"/>
    <s v="10"/>
    <s v="16 fős egyenes kiesés"/>
    <s v="7-8"/>
    <s v="Urszuly Noel"/>
    <s v="Rokku KKSE"/>
    <s v="HUN"/>
    <n v="0"/>
    <s v="nem volt nyertes mérkőzése"/>
    <s v="Szigetszentmiklós"/>
    <d v="2026-03-22T00:00:00"/>
    <x v="181"/>
    <x v="0"/>
    <s v="Rokku KKSE"/>
    <s v="utánpótlás"/>
    <s v="serdülő"/>
    <m/>
  </r>
  <r>
    <x v="3"/>
    <s v="3A"/>
    <n v="743"/>
    <s v="Kumite"/>
    <s v="Kumite, -, 60-70 kg, Serdülő (13-14"/>
    <x v="41"/>
    <s v="10"/>
    <s v="16 fős egyenes kiesés"/>
    <s v="11-16"/>
    <s v="Horváth Bence László"/>
    <s v="Rakurai"/>
    <s v="HUN"/>
    <n v="0"/>
    <m/>
    <s v="Szigetszentmiklós"/>
    <d v="2026-03-22T00:00:00"/>
    <x v="185"/>
    <x v="0"/>
    <s v="Rakurai"/>
    <s v="utánpótlás"/>
    <s v="serdülő"/>
    <m/>
  </r>
  <r>
    <x v="3"/>
    <s v="3A"/>
    <n v="744"/>
    <s v="Kumite"/>
    <s v="Kumite, -, 60-70 kg, Serdülő (13-14"/>
    <x v="41"/>
    <s v="10"/>
    <s v="16 fős egyenes kiesés"/>
    <s v="11-16"/>
    <s v="Varga Bence"/>
    <s v="KSE Tarján"/>
    <s v="HUN"/>
    <n v="0"/>
    <m/>
    <s v="Szigetszentmiklós"/>
    <d v="2026-03-22T00:00:00"/>
    <x v="183"/>
    <x v="0"/>
    <s v="KSE Tarján"/>
    <s v="utánpótlás"/>
    <s v="serdülő"/>
    <m/>
  </r>
  <r>
    <x v="3"/>
    <s v="3A"/>
    <n v="745"/>
    <s v="Kata"/>
    <s v="Kata, -, 0-150 kg, Serdülő (13-14"/>
    <x v="42"/>
    <s v="17"/>
    <s v="32 fős egyenes kiesés"/>
    <s v="1"/>
    <s v="Maklaga Norbert"/>
    <s v="Kagami"/>
    <s v="HUN"/>
    <n v="10"/>
    <m/>
    <s v="Szigetszentmiklós"/>
    <d v="2026-03-22T00:00:00"/>
    <x v="396"/>
    <x v="0"/>
    <s v="Kagami"/>
    <s v="utánpótlás"/>
    <s v="serdülő"/>
    <m/>
  </r>
  <r>
    <x v="3"/>
    <s v="3A"/>
    <n v="746"/>
    <s v="Kata"/>
    <s v="Kata, -, 0-150 kg, Serdülő (13-14"/>
    <x v="42"/>
    <s v="17"/>
    <s v="32 fős egyenes kiesés"/>
    <s v="2"/>
    <s v="Kis Ádám Zsolt"/>
    <s v="KYO Fighter SE"/>
    <s v="HUN"/>
    <n v="7"/>
    <m/>
    <s v="Szigetszentmiklós"/>
    <d v="2026-03-22T00:00:00"/>
    <x v="374"/>
    <x v="0"/>
    <s v="KYO Fighter SE"/>
    <s v="utánpótlás"/>
    <s v="serdülő"/>
    <m/>
  </r>
  <r>
    <x v="3"/>
    <s v="3A"/>
    <n v="747"/>
    <s v="Kata"/>
    <s v="Kata, -, 0-150 kg, Serdülő (13-14"/>
    <x v="42"/>
    <s v="17"/>
    <s v="32 fős egyenes kiesés"/>
    <s v="3"/>
    <s v="Moosbauer Kevin"/>
    <s v="KSE Tarján"/>
    <s v="HUN"/>
    <n v="5"/>
    <m/>
    <s v="Szigetszentmiklós"/>
    <d v="2026-03-22T00:00:00"/>
    <x v="188"/>
    <x v="0"/>
    <s v="KSE Tarján"/>
    <s v="utánpótlás"/>
    <s v="serdülő"/>
    <m/>
  </r>
  <r>
    <x v="3"/>
    <s v="3A"/>
    <n v="748"/>
    <s v="Kata"/>
    <s v="Kata, -, 0-150 kg, Serdülő (13-14"/>
    <x v="42"/>
    <s v="17"/>
    <s v="32 fős egyenes kiesés"/>
    <s v="3"/>
    <s v="Remenyik Dániel"/>
    <s v="Shogun"/>
    <s v="HUN"/>
    <n v="5"/>
    <m/>
    <s v="Szigetszentmiklós"/>
    <d v="2026-03-22T00:00:00"/>
    <x v="380"/>
    <x v="0"/>
    <s v="Shogun"/>
    <s v="utánpótlás"/>
    <s v="serdülő"/>
    <m/>
  </r>
  <r>
    <x v="3"/>
    <s v="3A"/>
    <n v="749"/>
    <s v="Kata"/>
    <s v="Kata, -, 0-150 kg, Serdülő (13-14"/>
    <x v="42"/>
    <s v="17"/>
    <s v="32 fős egyenes kiesés"/>
    <s v="5"/>
    <s v="Berényi Bence"/>
    <s v="Shogun"/>
    <s v="HUN"/>
    <n v="3"/>
    <m/>
    <s v="Szigetszentmiklós"/>
    <d v="2026-03-22T00:00:00"/>
    <x v="395"/>
    <x v="0"/>
    <s v="Shogun"/>
    <s v="utánpótlás"/>
    <s v="serdülő"/>
    <m/>
  </r>
  <r>
    <x v="3"/>
    <s v="3A"/>
    <n v="750"/>
    <s v="Kata"/>
    <s v="Kata, -, 0-150 kg, Serdülő (13-14"/>
    <x v="42"/>
    <s v="17"/>
    <s v="32 fős egyenes kiesés"/>
    <s v="6"/>
    <s v="Kovács Mihály Ágoston"/>
    <s v="Borza Dojo"/>
    <s v="HUN"/>
    <n v="3"/>
    <m/>
    <s v="Szigetszentmiklós"/>
    <d v="2026-03-22T00:00:00"/>
    <x v="399"/>
    <x v="1"/>
    <s v="Borza Dojo"/>
    <s v="utánpótlás"/>
    <s v="serdülő"/>
    <m/>
  </r>
  <r>
    <x v="3"/>
    <s v="3A"/>
    <n v="751"/>
    <s v="Kata"/>
    <s v="Kata, -, 0-150 kg, Serdülő (13-14"/>
    <x v="42"/>
    <s v="17"/>
    <s v="32 fős egyenes kiesés"/>
    <s v="7-8"/>
    <s v="Jankovics Marcell"/>
    <s v="Siófok KSE"/>
    <s v="HUN"/>
    <n v="3"/>
    <m/>
    <s v="Szigetszentmiklós"/>
    <d v="2026-03-22T00:00:00"/>
    <x v="161"/>
    <x v="0"/>
    <s v="Siófok KSE"/>
    <s v="utánpótlás"/>
    <s v="serdülő"/>
    <m/>
  </r>
  <r>
    <x v="3"/>
    <s v="3A"/>
    <n v="752"/>
    <s v="Kata"/>
    <s v="Kata, -, 0-150 kg, Serdülő (13-14"/>
    <x v="42"/>
    <s v="17"/>
    <s v="32 fős egyenes kiesés"/>
    <s v="7-8"/>
    <s v="Avramov Dávid"/>
    <s v="TADASHII "/>
    <s v="HUN"/>
    <n v="3"/>
    <m/>
    <s v="Szigetszentmiklós"/>
    <d v="2026-03-22T00:00:00"/>
    <x v="393"/>
    <x v="1"/>
    <s v="TADASHII "/>
    <s v="utánpótlás"/>
    <s v="serdülő"/>
    <m/>
  </r>
  <r>
    <x v="3"/>
    <s v="3A"/>
    <n v="753"/>
    <s v="Kata"/>
    <s v="Kata, -, 0-150 kg, Serdülő (13-14"/>
    <x v="42"/>
    <s v="17"/>
    <s v="32 fős egyenes kiesés"/>
    <s v="9"/>
    <s v="Kárpáti Bence"/>
    <s v="Cs.S.E."/>
    <s v="HUN"/>
    <n v="0"/>
    <m/>
    <s v="Szigetszentmiklós"/>
    <d v="2026-03-22T00:00:00"/>
    <x v="182"/>
    <x v="0"/>
    <s v="Cs.S.E."/>
    <s v="utánpótlás"/>
    <s v="serdülő"/>
    <m/>
  </r>
  <r>
    <x v="3"/>
    <s v="3A"/>
    <n v="754"/>
    <s v="Kata"/>
    <s v="Kata, -, 0-150 kg, Serdülő (13-14"/>
    <x v="42"/>
    <s v="17"/>
    <s v="32 fős egyenes kiesés"/>
    <s v="10"/>
    <s v="Tarjányi Zétény Ferenc"/>
    <s v="ARSC"/>
    <s v="HUN"/>
    <n v="0"/>
    <m/>
    <s v="Szigetszentmiklós"/>
    <d v="2026-03-22T00:00:00"/>
    <x v="166"/>
    <x v="0"/>
    <s v="ARSC"/>
    <s v="utánpótlás"/>
    <s v="serdülő"/>
    <m/>
  </r>
  <r>
    <x v="3"/>
    <s v="3A"/>
    <n v="755"/>
    <s v="Kata"/>
    <s v="Kata, -, 0-150 kg, Serdülő (13-14"/>
    <x v="42"/>
    <s v="17"/>
    <s v="32 fős egyenes kiesés"/>
    <s v="11-16"/>
    <s v="Kleé Krisztián"/>
    <s v="Rakurai"/>
    <s v="HUN"/>
    <n v="0"/>
    <m/>
    <s v="Szigetszentmiklós"/>
    <d v="2026-03-22T00:00:00"/>
    <x v="189"/>
    <x v="0"/>
    <s v="Rakurai"/>
    <s v="utánpótlás"/>
    <s v="serdülő"/>
    <m/>
  </r>
  <r>
    <x v="3"/>
    <s v="3A"/>
    <n v="756"/>
    <s v="Kata"/>
    <s v="Kata, -, 0-150 kg, Serdülő (13-14"/>
    <x v="42"/>
    <s v="17"/>
    <s v="32 fős egyenes kiesés"/>
    <s v="11-16"/>
    <s v="Patai Dávid"/>
    <s v="ShinzóDojo"/>
    <s v="HUN"/>
    <n v="0"/>
    <m/>
    <s v="Szigetszentmiklós"/>
    <d v="2026-03-22T00:00:00"/>
    <x v="397"/>
    <x v="0"/>
    <s v="ShinzóDojo"/>
    <s v="utánpótlás"/>
    <s v="serdülő"/>
    <m/>
  </r>
  <r>
    <x v="3"/>
    <s v="3A"/>
    <n v="757"/>
    <s v="Kata"/>
    <s v="Kata, -, 0-150 kg, Serdülő (13-14"/>
    <x v="42"/>
    <s v="17"/>
    <s v="32 fős egyenes kiesés"/>
    <s v="11-16"/>
    <s v="Sövér Levente"/>
    <s v="BHMSE"/>
    <s v="HUN"/>
    <n v="0"/>
    <m/>
    <s v="Szigetszentmiklós"/>
    <d v="2026-03-22T00:00:00"/>
    <x v="156"/>
    <x v="0"/>
    <s v="BHMSE"/>
    <s v="utánpótlás"/>
    <s v="serdülő"/>
    <m/>
  </r>
  <r>
    <x v="3"/>
    <s v="3A"/>
    <n v="758"/>
    <s v="Kata"/>
    <s v="Kata, -, 0-150 kg, Serdülő (13-14"/>
    <x v="42"/>
    <s v="17"/>
    <s v="32 fős egyenes kiesés"/>
    <s v="11-16"/>
    <s v="Székely Lázár"/>
    <s v="KYO Fighter SE"/>
    <s v="HUN"/>
    <n v="0"/>
    <m/>
    <s v="Szigetszentmiklós"/>
    <d v="2026-03-22T00:00:00"/>
    <x v="394"/>
    <x v="0"/>
    <s v="KYO Fighter SE"/>
    <s v="utánpótlás"/>
    <s v="serdülő"/>
    <m/>
  </r>
  <r>
    <x v="3"/>
    <s v="3A"/>
    <n v="759"/>
    <s v="Kata"/>
    <s v="Kata, -, 0-150 kg, Serdülő (13-14"/>
    <x v="42"/>
    <s v="17"/>
    <s v="32 fős egyenes kiesés"/>
    <s v="11-16"/>
    <s v="Turcsán Barnabás"/>
    <s v="Borza Dojo"/>
    <s v="HUN"/>
    <n v="0"/>
    <m/>
    <s v="Szigetszentmiklós"/>
    <d v="2026-03-22T00:00:00"/>
    <x v="381"/>
    <x v="1"/>
    <s v="Borza Dojo"/>
    <s v="utánpótlás"/>
    <s v="serdülő"/>
    <m/>
  </r>
  <r>
    <x v="3"/>
    <s v="3A"/>
    <n v="760"/>
    <s v="Kata"/>
    <s v="Kata, -, 0-150 kg, Serdülő (13-14"/>
    <x v="42"/>
    <s v="17"/>
    <s v="32 fős egyenes kiesés"/>
    <s v="11-16"/>
    <s v="Ferenczhalmy Félix"/>
    <s v="BHMSE"/>
    <s v="HUN"/>
    <n v="0"/>
    <m/>
    <s v="Szigetszentmiklós"/>
    <d v="2026-03-22T00:00:00"/>
    <x v="169"/>
    <x v="0"/>
    <s v="BHMSE"/>
    <s v="utánpótlás"/>
    <s v="serdülő"/>
    <m/>
  </r>
  <r>
    <x v="3"/>
    <s v="3A"/>
    <n v="761"/>
    <s v="Kumite"/>
    <s v="Kumite, -, 0-40 kg, Serdülő (13-14"/>
    <x v="43"/>
    <s v="3"/>
    <s v="3 fős körmérkőzés"/>
    <s v="1"/>
    <s v="Bogdán Szonja Boróka"/>
    <s v="Rakurai"/>
    <s v="HUN"/>
    <n v="6"/>
    <m/>
    <s v="Szigetszentmiklós"/>
    <d v="2026-03-22T00:00:00"/>
    <x v="193"/>
    <x v="0"/>
    <s v="Rakurai"/>
    <s v="utánpótlás"/>
    <s v="serdülő"/>
    <m/>
  </r>
  <r>
    <x v="3"/>
    <s v="3A"/>
    <n v="762"/>
    <s v="Kumite"/>
    <s v="Kumite, -, 0-40 kg, Serdülő (13-14"/>
    <x v="43"/>
    <s v="3"/>
    <s v="3 fős körmérkőzés"/>
    <s v="2"/>
    <s v="Koszorus Brigitta"/>
    <s v="SONGOKU SE"/>
    <s v="HUN"/>
    <n v="4"/>
    <m/>
    <s v="Szigetszentmiklós"/>
    <d v="2026-03-22T00:00:00"/>
    <x v="406"/>
    <x v="0"/>
    <s v="SONGOKU SE"/>
    <s v="utánpótlás"/>
    <s v="serdülő"/>
    <m/>
  </r>
  <r>
    <x v="3"/>
    <s v="3A"/>
    <n v="763"/>
    <s v="Kumite"/>
    <s v="Kumite, -, 0-40 kg, Serdülő (13-14"/>
    <x v="43"/>
    <s v="3"/>
    <s v="3 fős körmérkőzés"/>
    <s v="3"/>
    <s v="Rékai Bianka"/>
    <s v="Siófok KSE"/>
    <s v="HUN"/>
    <n v="0"/>
    <m/>
    <s v="Szigetszentmiklós"/>
    <d v="2026-03-22T00:00:00"/>
    <x v="194"/>
    <x v="0"/>
    <s v="Siófok KSE"/>
    <s v="utánpótlás"/>
    <s v="serdülő"/>
    <m/>
  </r>
  <r>
    <x v="3"/>
    <s v="3A"/>
    <n v="764"/>
    <s v="Kumite"/>
    <s v="Kumite, -, 45-55 kg, Serdülő (13-14"/>
    <x v="44"/>
    <s v="16"/>
    <s v="16 fős egyenes kiesés"/>
    <s v="1"/>
    <s v="Reichert Hanna "/>
    <s v="VTSE"/>
    <s v="HUN"/>
    <n v="10"/>
    <m/>
    <s v="Szigetszentmiklós"/>
    <d v="2026-03-22T00:00:00"/>
    <x v="195"/>
    <x v="1"/>
    <s v="VTSE"/>
    <s v="utánpótlás"/>
    <s v="serdülő"/>
    <m/>
  </r>
  <r>
    <x v="3"/>
    <s v="3A"/>
    <n v="765"/>
    <s v="Kumite"/>
    <s v="Kumite, -, 45-55 kg, Serdülő (13-14"/>
    <x v="44"/>
    <s v="16"/>
    <s v="16 fős egyenes kiesés"/>
    <s v="2"/>
    <s v="Sóskuti Lili"/>
    <s v="Keizoku SE"/>
    <s v="HUN"/>
    <n v="8"/>
    <m/>
    <s v="Szigetszentmiklós"/>
    <d v="2026-03-22T00:00:00"/>
    <x v="400"/>
    <x v="0"/>
    <s v="Keizoku SE"/>
    <s v="utánpótlás"/>
    <s v="serdülő"/>
    <m/>
  </r>
  <r>
    <x v="3"/>
    <s v="3A"/>
    <n v="766"/>
    <s v="Kumite"/>
    <s v="Kumite, -, 45-55 kg, Serdülő (13-14"/>
    <x v="44"/>
    <s v="16"/>
    <s v="16 fős egyenes kiesés"/>
    <s v="3"/>
    <s v="Radnóti Lilla"/>
    <s v="POWER SE."/>
    <s v="HUN"/>
    <n v="6"/>
    <m/>
    <s v="Szigetszentmiklós"/>
    <d v="2026-03-22T00:00:00"/>
    <x v="198"/>
    <x v="0"/>
    <s v="POWER SE."/>
    <s v="utánpótlás"/>
    <s v="serdülő"/>
    <m/>
  </r>
  <r>
    <x v="3"/>
    <s v="3A"/>
    <n v="767"/>
    <s v="Kumite"/>
    <s v="Kumite, -, 45-55 kg, Serdülő (13-14"/>
    <x v="44"/>
    <s v="16"/>
    <s v="16 fős egyenes kiesés"/>
    <s v="3"/>
    <s v="Villasenor Babos Natália "/>
    <s v="Rakurai"/>
    <s v="HUN"/>
    <n v="6"/>
    <m/>
    <s v="Szigetszentmiklós"/>
    <d v="2026-03-22T00:00:00"/>
    <x v="199"/>
    <x v="0"/>
    <s v="Rakurai"/>
    <s v="utánpótlás"/>
    <s v="serdülő"/>
    <m/>
  </r>
  <r>
    <x v="3"/>
    <s v="3A"/>
    <n v="768"/>
    <s v="Kumite"/>
    <s v="Kumite, -, 45-55 kg, Serdülő (13-14"/>
    <x v="44"/>
    <s v="16"/>
    <s v="16 fős egyenes kiesés"/>
    <s v="5"/>
    <s v="Papp Gréta"/>
    <s v="Castrum"/>
    <s v="HUN"/>
    <n v="3"/>
    <m/>
    <s v="Szigetszentmiklós"/>
    <d v="2026-03-22T00:00:00"/>
    <x v="197"/>
    <x v="0"/>
    <s v="Castrum"/>
    <s v="utánpótlás"/>
    <s v="serdülő"/>
    <m/>
  </r>
  <r>
    <x v="3"/>
    <s v="3A"/>
    <n v="769"/>
    <s v="Kumite"/>
    <s v="Kumite, -, 45-55 kg, Serdülő (13-14"/>
    <x v="44"/>
    <s v="16"/>
    <s v="16 fős egyenes kiesés"/>
    <s v="6"/>
    <s v="Nagy Anna"/>
    <s v="Főnix Dojo"/>
    <s v="HUN"/>
    <n v="3"/>
    <m/>
    <s v="Szigetszentmiklós"/>
    <d v="2026-03-22T00:00:00"/>
    <x v="202"/>
    <x v="0"/>
    <s v="Főnix Dojo"/>
    <s v="utánpótlás"/>
    <s v="serdülő"/>
    <m/>
  </r>
  <r>
    <x v="3"/>
    <s v="3A"/>
    <n v="770"/>
    <s v="Kumite"/>
    <s v="Kumite, -, 45-55 kg, Serdülő (13-14"/>
    <x v="44"/>
    <s v="16"/>
    <s v="16 fős egyenes kiesés"/>
    <s v="7-8"/>
    <s v="Gaál-Vajai Tamara"/>
    <s v="Főnix Dojo"/>
    <s v="HUN"/>
    <n v="3"/>
    <m/>
    <s v="Szigetszentmiklós"/>
    <d v="2026-03-22T00:00:00"/>
    <x v="196"/>
    <x v="0"/>
    <s v="Főnix Dojo"/>
    <s v="utánpótlás"/>
    <s v="serdülő"/>
    <m/>
  </r>
  <r>
    <x v="3"/>
    <s v="3A"/>
    <n v="771"/>
    <s v="Kumite"/>
    <s v="Kumite, -, 45-55 kg, Serdülő (13-14"/>
    <x v="44"/>
    <s v="16"/>
    <s v="16 fős egyenes kiesés"/>
    <s v="7-8"/>
    <s v="Volenszki Adél"/>
    <s v="WARRIORS TEAM"/>
    <s v="HUN"/>
    <n v="3"/>
    <m/>
    <s v="Szigetszentmiklós"/>
    <d v="2026-03-22T00:00:00"/>
    <x v="205"/>
    <x v="0"/>
    <s v="WARRIORS TEAM"/>
    <s v="utánpótlás"/>
    <s v="serdülő"/>
    <m/>
  </r>
  <r>
    <x v="3"/>
    <s v="3A"/>
    <n v="772"/>
    <s v="Kumite"/>
    <s v="Kumite, -, 45-55 kg, Serdülő (13-14"/>
    <x v="44"/>
    <s v="16"/>
    <s v="16 fős egyenes kiesés"/>
    <s v="9"/>
    <s v="Volenszki Mira"/>
    <s v="WARRIORS TEAM"/>
    <s v="HUN"/>
    <n v="0"/>
    <m/>
    <s v="Szigetszentmiklós"/>
    <d v="2026-03-22T00:00:00"/>
    <x v="203"/>
    <x v="0"/>
    <s v="WARRIORS TEAM"/>
    <s v="utánpótlás"/>
    <s v="serdülő"/>
    <m/>
  </r>
  <r>
    <x v="3"/>
    <s v="3A"/>
    <n v="773"/>
    <s v="Kumite"/>
    <s v="Kumite, -, 45-55 kg, Serdülő (13-14"/>
    <x v="44"/>
    <s v="16"/>
    <s v="16 fős egyenes kiesés"/>
    <s v="10"/>
    <s v="Solymári Orsolya Dalma"/>
    <s v="WARRIORS TEAM"/>
    <s v="HUN"/>
    <n v="0"/>
    <m/>
    <s v="Szigetszentmiklós"/>
    <d v="2026-03-22T00:00:00"/>
    <x v="204"/>
    <x v="0"/>
    <s v="WARRIORS TEAM"/>
    <s v="utánpótlás"/>
    <s v="serdülő"/>
    <m/>
  </r>
  <r>
    <x v="3"/>
    <s v="3A"/>
    <n v="774"/>
    <s v="Kumite"/>
    <s v="Kumite, -, 45-55 kg, Serdülő (13-14"/>
    <x v="44"/>
    <s v="16"/>
    <s v="16 fős egyenes kiesés"/>
    <s v="11-16"/>
    <s v="Szabó Lili"/>
    <s v="Kisvárda KKDOSC"/>
    <s v="HUN"/>
    <n v="0"/>
    <m/>
    <s v="Szigetszentmiklós"/>
    <d v="2026-03-22T00:00:00"/>
    <x v="503"/>
    <x v="0"/>
    <s v="Kisvárda KKDOSC"/>
    <s v="utánpótlás"/>
    <s v="serdülő"/>
    <m/>
  </r>
  <r>
    <x v="3"/>
    <s v="3A"/>
    <n v="775"/>
    <s v="Kumite"/>
    <s v="Kumite, -, 45-55 kg, Serdülő (13-14"/>
    <x v="44"/>
    <s v="16"/>
    <s v="16 fős egyenes kiesés"/>
    <s v="11-16"/>
    <s v="Gazdag Csinszka"/>
    <s v="ASE Bulldog KKSZCS"/>
    <s v="HUN"/>
    <n v="0"/>
    <m/>
    <s v="Szigetszentmiklós"/>
    <d v="2026-03-22T00:00:00"/>
    <x v="201"/>
    <x v="0"/>
    <s v="ASE Bulldog KKSZCS"/>
    <s v="utánpótlás"/>
    <s v="serdülő"/>
    <m/>
  </r>
  <r>
    <x v="3"/>
    <s v="3A"/>
    <n v="776"/>
    <s v="Kumite"/>
    <s v="Kumite, -, 45-55 kg, Serdülő (13-14"/>
    <x v="44"/>
    <s v="16"/>
    <s v="16 fős egyenes kiesés"/>
    <s v="11-16"/>
    <s v="Farkas Luca"/>
    <s v="KYO Fighter SE"/>
    <s v="HUN"/>
    <n v="0"/>
    <m/>
    <s v="Szigetszentmiklós"/>
    <d v="2026-03-22T00:00:00"/>
    <x v="504"/>
    <x v="0"/>
    <s v="KYO Fighter SE"/>
    <s v="utánpótlás"/>
    <s v="serdülő"/>
    <m/>
  </r>
  <r>
    <x v="3"/>
    <s v="3A"/>
    <n v="777"/>
    <s v="Kumite"/>
    <s v="Kumite, -, 45-55 kg, Serdülő (13-14"/>
    <x v="44"/>
    <s v="16"/>
    <s v="16 fős egyenes kiesés"/>
    <s v="11-16"/>
    <s v="Vida Zora"/>
    <s v="Buke Reikon HRSE"/>
    <s v="HUN"/>
    <n v="0"/>
    <m/>
    <s v="Szigetszentmiklós"/>
    <d v="2026-03-22T00:00:00"/>
    <x v="505"/>
    <x v="0"/>
    <s v="Buke Reikon HRSE"/>
    <s v="utánpótlás"/>
    <s v="serdülő"/>
    <m/>
  </r>
  <r>
    <x v="3"/>
    <s v="3A"/>
    <n v="778"/>
    <s v="Kumite"/>
    <s v="Kumite, -, 45-55 kg, Serdülő (13-14"/>
    <x v="44"/>
    <s v="16"/>
    <s v="16 fős egyenes kiesés"/>
    <s v="11-16"/>
    <s v="Gonda Lea"/>
    <s v="Kelemen-Team"/>
    <s v="HUN"/>
    <n v="0"/>
    <m/>
    <s v="Szigetszentmiklós"/>
    <d v="2026-03-22T00:00:00"/>
    <x v="402"/>
    <x v="0"/>
    <s v="Kelemen-Team"/>
    <s v="utánpótlás"/>
    <s v="serdülő"/>
    <m/>
  </r>
  <r>
    <x v="3"/>
    <s v="3A"/>
    <n v="779"/>
    <s v="Kumite"/>
    <s v="Kumite, -, 45-55 kg, Serdülő (13-14"/>
    <x v="44"/>
    <s v="16"/>
    <s v="16 fős egyenes kiesés"/>
    <s v="11-16"/>
    <s v="Ványi Amira"/>
    <s v="POWER SE."/>
    <s v="HUN"/>
    <n v="0"/>
    <m/>
    <s v="Szigetszentmiklós"/>
    <d v="2026-03-22T00:00:00"/>
    <x v="200"/>
    <x v="0"/>
    <s v="POWER SE."/>
    <s v="utánpótlás"/>
    <s v="serdülő"/>
    <m/>
  </r>
  <r>
    <x v="3"/>
    <s v="3A"/>
    <n v="780"/>
    <s v="Kumite"/>
    <s v="Kumite, -, 55-65 kg, Serdülő (13-14"/>
    <x v="45"/>
    <s v="8"/>
    <s v="8 fős egyenes kiesés"/>
    <s v="1"/>
    <s v="Bennárik Bella"/>
    <s v="WARRIORS TEAM"/>
    <s v="HUN"/>
    <n v="8"/>
    <m/>
    <s v="Szigetszentmiklós"/>
    <d v="2026-03-22T00:00:00"/>
    <x v="206"/>
    <x v="0"/>
    <s v="WARRIORS TEAM"/>
    <s v="utánpótlás"/>
    <s v="serdülő"/>
    <m/>
  </r>
  <r>
    <x v="3"/>
    <s v="3A"/>
    <n v="781"/>
    <s v="Kumite"/>
    <s v="Kumite, -, 55-65 kg, Serdülő (13-14"/>
    <x v="45"/>
    <s v="8"/>
    <s v="8 fős egyenes kiesés"/>
    <s v="2"/>
    <s v="Nándori Emma"/>
    <s v="Kemecse SE"/>
    <s v="HUN"/>
    <n v="6"/>
    <m/>
    <s v="Szigetszentmiklós"/>
    <d v="2026-03-22T00:00:00"/>
    <x v="403"/>
    <x v="0"/>
    <s v="Kemecse SE"/>
    <s v="utánpótlás"/>
    <s v="serdülő"/>
    <m/>
  </r>
  <r>
    <x v="3"/>
    <s v="3A"/>
    <n v="782"/>
    <s v="Kumite"/>
    <s v="Kumite, -, 55-65 kg, Serdülő (13-14"/>
    <x v="45"/>
    <s v="8"/>
    <s v="8 fős egyenes kiesés"/>
    <s v="3"/>
    <s v="Mészáros Lili Dóra"/>
    <s v="KSE Tarján"/>
    <s v="HUN"/>
    <n v="4"/>
    <m/>
    <s v="Szigetszentmiklós"/>
    <d v="2026-03-22T00:00:00"/>
    <x v="216"/>
    <x v="0"/>
    <s v="KSE Tarján"/>
    <s v="utánpótlás"/>
    <s v="serdülő"/>
    <m/>
  </r>
  <r>
    <x v="3"/>
    <s v="3A"/>
    <n v="783"/>
    <s v="Kumite"/>
    <s v="Kumite, -, 55-65 kg, Serdülő (13-14"/>
    <x v="45"/>
    <s v="8"/>
    <s v="8 fős egyenes kiesés"/>
    <s v="3"/>
    <s v="Szabó Zsófi"/>
    <s v="ShinzóDojo"/>
    <s v="HUN"/>
    <n v="4"/>
    <m/>
    <s v="Szigetszentmiklós"/>
    <d v="2026-03-22T00:00:00"/>
    <x v="404"/>
    <x v="0"/>
    <s v="ShinzóDojo"/>
    <s v="utánpótlás"/>
    <s v="serdülő"/>
    <m/>
  </r>
  <r>
    <x v="3"/>
    <s v="3A"/>
    <n v="784"/>
    <s v="Kumite"/>
    <s v="Kumite, -, 55-65 kg, Serdülő (13-14"/>
    <x v="45"/>
    <s v="8"/>
    <s v="8 fős egyenes kiesés"/>
    <s v="5"/>
    <s v="Horváth Réka"/>
    <s v="Castrum"/>
    <s v="HUN"/>
    <n v="0"/>
    <m/>
    <s v="Szigetszentmiklós"/>
    <d v="2026-03-22T00:00:00"/>
    <x v="506"/>
    <x v="0"/>
    <s v="Castrum"/>
    <s v="utánpótlás"/>
    <s v="serdülő"/>
    <m/>
  </r>
  <r>
    <x v="3"/>
    <s v="3A"/>
    <n v="785"/>
    <s v="Kumite"/>
    <s v="Kumite, -, 55-65 kg, Serdülő (13-14"/>
    <x v="45"/>
    <s v="8"/>
    <s v="8 fős egyenes kiesés"/>
    <s v="6"/>
    <s v="Kovács Maja"/>
    <s v="Katana SE"/>
    <s v="HUN"/>
    <n v="0"/>
    <m/>
    <s v="Szigetszentmiklós"/>
    <d v="2026-03-22T00:00:00"/>
    <x v="221"/>
    <x v="0"/>
    <s v="Katana SE"/>
    <s v="utánpótlás"/>
    <s v="serdülő"/>
    <m/>
  </r>
  <r>
    <x v="3"/>
    <s v="3A"/>
    <n v="786"/>
    <s v="Kumite"/>
    <s v="Kumite, -, 55-65 kg, Serdülő (13-14"/>
    <x v="45"/>
    <s v="8"/>
    <s v="8 fős egyenes kiesés"/>
    <s v="7-8"/>
    <s v="Szabó Anna Tímea"/>
    <s v="Katana SE"/>
    <s v="HUN"/>
    <n v="0"/>
    <m/>
    <s v="Szigetszentmiklós"/>
    <d v="2026-03-22T00:00:00"/>
    <x v="207"/>
    <x v="0"/>
    <s v="Katana SE"/>
    <s v="utánpótlás"/>
    <s v="serdülő"/>
    <m/>
  </r>
  <r>
    <x v="3"/>
    <s v="3A"/>
    <n v="787"/>
    <s v="Kumite"/>
    <s v="Kumite, -, 55-65 kg, Serdülő (13-14"/>
    <x v="45"/>
    <s v="8"/>
    <s v="8 fős egyenes kiesés"/>
    <s v="7-8"/>
    <s v="Abou Hussein Maya"/>
    <s v="Ippon KKSE"/>
    <s v="HUN"/>
    <n v="0"/>
    <m/>
    <s v="Szigetszentmiklós"/>
    <d v="2026-03-22T00:00:00"/>
    <x v="208"/>
    <x v="0"/>
    <s v="Ippon KKSE"/>
    <s v="utánpótlás"/>
    <s v="serdülő"/>
    <m/>
  </r>
  <r>
    <x v="3"/>
    <s v="3A"/>
    <n v="788"/>
    <s v="Kumite"/>
    <s v="Kumite, -, 65-150 kg, Serdülő (13-14"/>
    <x v="46"/>
    <s v="2"/>
    <s v="2 fős egyenes kiesés"/>
    <s v="1"/>
    <s v="Bota Sára"/>
    <s v="Rakurai"/>
    <s v="HUN"/>
    <n v="4"/>
    <m/>
    <s v="Szigetszentmiklós"/>
    <d v="2026-03-22T00:00:00"/>
    <x v="211"/>
    <x v="0"/>
    <s v="Rakurai"/>
    <s v="utánpótlás"/>
    <s v="serdülő"/>
    <m/>
  </r>
  <r>
    <x v="3"/>
    <s v="3A"/>
    <n v="789"/>
    <s v="Kumite"/>
    <s v="Kumite, -, 65-150 kg, Serdülő (13-14"/>
    <x v="46"/>
    <s v="2"/>
    <s v="2 fős egyenes kiesés"/>
    <s v="2"/>
    <s v="Lukácsi Réka"/>
    <s v="Ippon KKSE"/>
    <s v="HUN"/>
    <n v="0"/>
    <m/>
    <s v="Szigetszentmiklós"/>
    <d v="2026-03-22T00:00:00"/>
    <x v="210"/>
    <x v="0"/>
    <s v="Ippon KKSE"/>
    <s v="utánpótlás"/>
    <s v="serdülő"/>
    <m/>
  </r>
  <r>
    <x v="3"/>
    <s v="3A"/>
    <n v="790"/>
    <s v="Kumite"/>
    <s v="Kumite, -, 40-45 kg, Serdülő (13-14"/>
    <x v="47"/>
    <s v="5"/>
    <s v="5 fős körmérkőzés"/>
    <s v="1"/>
    <s v="Csató Réka"/>
    <s v="Keizoku SE"/>
    <s v="HUN"/>
    <n v="10"/>
    <m/>
    <s v="Szigetszentmiklós"/>
    <d v="2026-03-22T00:00:00"/>
    <x v="405"/>
    <x v="0"/>
    <s v="Keizoku SE"/>
    <s v="utánpótlás"/>
    <s v="serdülő"/>
    <m/>
  </r>
  <r>
    <x v="3"/>
    <s v="3A"/>
    <n v="791"/>
    <s v="Kumite"/>
    <s v="Kumite, -, 40-45 kg, Serdülő (13-14"/>
    <x v="47"/>
    <s v="5"/>
    <s v="5 fős körmérkőzés"/>
    <s v="2"/>
    <s v="Almási Petra"/>
    <s v="KHSE"/>
    <s v="HUN"/>
    <n v="8"/>
    <m/>
    <s v="Szigetszentmiklós"/>
    <d v="2026-03-22T00:00:00"/>
    <x v="407"/>
    <x v="0"/>
    <s v="KHSE"/>
    <s v="utánpótlás"/>
    <s v="serdülő"/>
    <m/>
  </r>
  <r>
    <x v="3"/>
    <s v="3A"/>
    <n v="792"/>
    <s v="Kumite"/>
    <s v="Kumite, -, 40-45 kg, Serdülő (13-14"/>
    <x v="47"/>
    <s v="5"/>
    <s v="5 fős körmérkőzés"/>
    <s v="3"/>
    <s v="Mihályi Tünde"/>
    <s v="BHMSE"/>
    <s v="HUN"/>
    <n v="6"/>
    <m/>
    <s v="Szigetszentmiklós"/>
    <d v="2026-03-22T00:00:00"/>
    <x v="213"/>
    <x v="0"/>
    <s v="BHMSE"/>
    <s v="utánpótlás"/>
    <s v="serdülő"/>
    <m/>
  </r>
  <r>
    <x v="3"/>
    <s v="3A"/>
    <n v="793"/>
    <s v="Kumite"/>
    <s v="Kumite, -, 40-45 kg, Serdülő (13-14"/>
    <x v="47"/>
    <s v="5"/>
    <s v="5 fős körmérkőzés"/>
    <s v="4"/>
    <s v="Horváth Liliána"/>
    <s v="Kamikaze S"/>
    <s v="HUN"/>
    <n v="4"/>
    <m/>
    <s v="Szigetszentmiklós"/>
    <d v="2026-03-22T00:00:00"/>
    <x v="212"/>
    <x v="0"/>
    <s v="Kamikaze S"/>
    <s v="utánpótlás"/>
    <s v="serdülő"/>
    <m/>
  </r>
  <r>
    <x v="3"/>
    <s v="3A"/>
    <n v="794"/>
    <s v="Kumite"/>
    <s v="Kumite, -, 40-45 kg, Serdülő (13-14"/>
    <x v="47"/>
    <s v="5"/>
    <s v="5 fős körmérkőzés"/>
    <s v="5"/>
    <s v="Hegyesi Mia"/>
    <s v="Derecske BUDO"/>
    <s v="HUN"/>
    <n v="3"/>
    <m/>
    <s v="Szigetszentmiklós"/>
    <d v="2026-03-22T00:00:00"/>
    <x v="507"/>
    <x v="0"/>
    <s v="Derecske BUDO"/>
    <s v="utánpótlás"/>
    <s v="serdülő"/>
    <m/>
  </r>
  <r>
    <x v="3"/>
    <s v="3A"/>
    <n v="795"/>
    <s v="Kata"/>
    <s v="Kata, -, 0-150 kg, Serdülő (13-14"/>
    <x v="48"/>
    <s v="18"/>
    <s v="32 fős egyenes kiesés"/>
    <s v="1"/>
    <s v="Nándori Emma"/>
    <s v="Kemecse SE"/>
    <s v="HUN"/>
    <n v="10"/>
    <m/>
    <s v="Szigetszentmiklós"/>
    <d v="2026-03-22T00:00:00"/>
    <x v="403"/>
    <x v="0"/>
    <s v="Kemecse SE"/>
    <s v="utánpótlás"/>
    <s v="serdülő"/>
    <m/>
  </r>
  <r>
    <x v="3"/>
    <s v="3A"/>
    <n v="796"/>
    <s v="Kata"/>
    <s v="Kata, -, 0-150 kg, Serdülő (13-14"/>
    <x v="48"/>
    <s v="18"/>
    <s v="32 fős egyenes kiesés"/>
    <s v="2"/>
    <s v="Szabó Zsófi"/>
    <s v="ShinzóDojo"/>
    <s v="HUN"/>
    <n v="7"/>
    <m/>
    <s v="Szigetszentmiklós"/>
    <d v="2026-03-22T00:00:00"/>
    <x v="404"/>
    <x v="0"/>
    <s v="ShinzóDojo"/>
    <s v="utánpótlás"/>
    <s v="serdülő"/>
    <m/>
  </r>
  <r>
    <x v="3"/>
    <s v="3A"/>
    <n v="797"/>
    <s v="Kata"/>
    <s v="Kata, -, 0-150 kg, Serdülő (13-14"/>
    <x v="48"/>
    <s v="18"/>
    <s v="32 fős egyenes kiesés"/>
    <s v="3"/>
    <s v="Csató Réka"/>
    <s v="Keizoku SE"/>
    <s v="HUN"/>
    <n v="5"/>
    <m/>
    <s v="Szigetszentmiklós"/>
    <d v="2026-03-22T00:00:00"/>
    <x v="405"/>
    <x v="0"/>
    <s v="Keizoku SE"/>
    <s v="utánpótlás"/>
    <s v="serdülő"/>
    <m/>
  </r>
  <r>
    <x v="3"/>
    <s v="3A"/>
    <n v="798"/>
    <s v="Kata"/>
    <s v="Kata, -, 0-150 kg, Serdülő (13-14"/>
    <x v="48"/>
    <s v="18"/>
    <s v="32 fős egyenes kiesés"/>
    <s v="3"/>
    <s v="Szabó Anna Tímea"/>
    <s v="Katana SE"/>
    <s v="HUN"/>
    <n v="5"/>
    <m/>
    <s v="Szigetszentmiklós"/>
    <d v="2026-03-22T00:00:00"/>
    <x v="207"/>
    <x v="0"/>
    <s v="Katana SE"/>
    <s v="utánpótlás"/>
    <s v="serdülő"/>
    <m/>
  </r>
  <r>
    <x v="3"/>
    <s v="3A"/>
    <n v="799"/>
    <s v="Kata"/>
    <s v="Kata, -, 0-150 kg, Serdülő (13-14"/>
    <x v="48"/>
    <s v="18"/>
    <s v="32 fős egyenes kiesés"/>
    <s v="5"/>
    <s v="Mészáros Lili Dóra"/>
    <s v="KSE Tarján"/>
    <s v="HUN"/>
    <n v="3"/>
    <m/>
    <s v="Szigetszentmiklós"/>
    <d v="2026-03-22T00:00:00"/>
    <x v="216"/>
    <x v="0"/>
    <s v="KSE Tarján"/>
    <s v="utánpótlás"/>
    <s v="serdülő"/>
    <m/>
  </r>
  <r>
    <x v="3"/>
    <s v="3A"/>
    <n v="800"/>
    <s v="Kata"/>
    <s v="Kata, -, 0-150 kg, Serdülő (13-14"/>
    <x v="48"/>
    <s v="18"/>
    <s v="32 fős egyenes kiesés"/>
    <s v="6"/>
    <s v="Novák Noémi"/>
    <s v="Bendiák Dojo"/>
    <s v="HUN"/>
    <n v="3"/>
    <m/>
    <s v="Szigetszentmiklós"/>
    <d v="2026-03-22T00:00:00"/>
    <x v="409"/>
    <x v="0"/>
    <s v="Bendiák Dojo"/>
    <s v="utánpótlás"/>
    <s v="serdülő"/>
    <m/>
  </r>
  <r>
    <x v="3"/>
    <s v="3A"/>
    <n v="801"/>
    <s v="Kata"/>
    <s v="Kata, -, 0-150 kg, Serdülő (13-14"/>
    <x v="48"/>
    <s v="18"/>
    <s v="32 fős egyenes kiesés"/>
    <s v="7-8"/>
    <s v="Szűcs Anna"/>
    <s v="Ichiro Dojo"/>
    <s v="HUN"/>
    <n v="3"/>
    <m/>
    <s v="Szigetszentmiklós"/>
    <d v="2026-03-22T00:00:00"/>
    <x v="217"/>
    <x v="1"/>
    <s v="Ichiro Dojo"/>
    <s v="utánpótlás"/>
    <s v="serdülő"/>
    <m/>
  </r>
  <r>
    <x v="3"/>
    <s v="3A"/>
    <n v="802"/>
    <s v="Kata"/>
    <s v="Kata, -, 0-150 kg, Serdülő (13-14"/>
    <x v="48"/>
    <s v="18"/>
    <s v="32 fős egyenes kiesés"/>
    <s v="7-8"/>
    <s v="Radnóti Lilla"/>
    <s v="POWER SE."/>
    <s v="HUN"/>
    <n v="3"/>
    <m/>
    <s v="Szigetszentmiklós"/>
    <d v="2026-03-22T00:00:00"/>
    <x v="198"/>
    <x v="0"/>
    <s v="POWER SE."/>
    <s v="utánpótlás"/>
    <s v="serdülő"/>
    <m/>
  </r>
  <r>
    <x v="3"/>
    <s v="3A"/>
    <n v="803"/>
    <s v="Kata"/>
    <s v="Kata, -, 0-150 kg, Serdülő (13-14"/>
    <x v="48"/>
    <s v="18"/>
    <s v="32 fős egyenes kiesés"/>
    <s v="9"/>
    <s v="Kovács Linett"/>
    <s v="RDKKSE"/>
    <s v="HUN"/>
    <n v="0"/>
    <m/>
    <s v="Szigetszentmiklós"/>
    <d v="2026-03-22T00:00:00"/>
    <x v="218"/>
    <x v="0"/>
    <s v="RDKKSE"/>
    <s v="utánpótlás"/>
    <s v="serdülő"/>
    <m/>
  </r>
  <r>
    <x v="3"/>
    <s v="3A"/>
    <n v="804"/>
    <s v="Kata"/>
    <s v="Kata, -, 0-150 kg, Serdülő (13-14"/>
    <x v="48"/>
    <s v="18"/>
    <s v="32 fős egyenes kiesés"/>
    <s v="10"/>
    <s v="Mihályi Tünde"/>
    <s v="BHMSE"/>
    <s v="HUN"/>
    <n v="0"/>
    <m/>
    <s v="Szigetszentmiklós"/>
    <d v="2026-03-22T00:00:00"/>
    <x v="213"/>
    <x v="0"/>
    <s v="BHMSE"/>
    <s v="utánpótlás"/>
    <s v="serdülő"/>
    <m/>
  </r>
  <r>
    <x v="3"/>
    <s v="3A"/>
    <n v="805"/>
    <s v="Kata"/>
    <s v="Kata, -, 0-150 kg, Serdülő (13-14"/>
    <x v="48"/>
    <s v="18"/>
    <s v="32 fős egyenes kiesés"/>
    <s v="11-16"/>
    <s v="Orosz Elizabett"/>
    <s v="KSE Tarján"/>
    <s v="HUN"/>
    <n v="0"/>
    <m/>
    <s v="Szigetszentmiklós"/>
    <d v="2026-03-22T00:00:00"/>
    <x v="220"/>
    <x v="0"/>
    <s v="KSE Tarján"/>
    <s v="utánpótlás"/>
    <s v="serdülő"/>
    <m/>
  </r>
  <r>
    <x v="3"/>
    <s v="3A"/>
    <n v="806"/>
    <s v="Kata"/>
    <s v="Kata, -, 0-150 kg, Serdülő (13-14"/>
    <x v="48"/>
    <s v="18"/>
    <s v="32 fős egyenes kiesés"/>
    <s v="11-16"/>
    <s v="Horváth Dóra Lili"/>
    <s v="BHMSE"/>
    <s v="HUN"/>
    <n v="0"/>
    <m/>
    <s v="Szigetszentmiklós"/>
    <d v="2026-03-22T00:00:00"/>
    <x v="215"/>
    <x v="0"/>
    <s v="BHMSE"/>
    <s v="utánpótlás"/>
    <s v="serdülő"/>
    <m/>
  </r>
  <r>
    <x v="3"/>
    <s v="3A"/>
    <n v="807"/>
    <s v="Kata"/>
    <s v="Kata, -, 0-150 kg, Serdülő (13-14"/>
    <x v="48"/>
    <s v="18"/>
    <s v="32 fős egyenes kiesés"/>
    <s v="11-16"/>
    <s v="Gál Petra Andrea"/>
    <s v="Fitt KKSE"/>
    <s v="HUN"/>
    <n v="0"/>
    <m/>
    <s v="Szigetszentmiklós"/>
    <d v="2026-03-22T00:00:00"/>
    <x v="219"/>
    <x v="0"/>
    <s v="Fitt KKSE"/>
    <s v="utánpótlás"/>
    <s v="serdülő"/>
    <m/>
  </r>
  <r>
    <x v="3"/>
    <s v="3A"/>
    <n v="808"/>
    <s v="Kata"/>
    <s v="Kata, -, 0-150 kg, Serdülő (13-14"/>
    <x v="48"/>
    <s v="18"/>
    <s v="32 fős egyenes kiesés"/>
    <s v="11-16"/>
    <s v="Kiss Jázmin"/>
    <s v="TADASHII "/>
    <s v="HUN"/>
    <n v="0"/>
    <m/>
    <s v="Szigetszentmiklós"/>
    <d v="2026-03-22T00:00:00"/>
    <x v="408"/>
    <x v="1"/>
    <s v="TADASHII "/>
    <s v="utánpótlás"/>
    <s v="serdülő"/>
    <m/>
  </r>
  <r>
    <x v="3"/>
    <s v="3A"/>
    <n v="809"/>
    <s v="Kata"/>
    <s v="Kata, -, 0-150 kg, Serdülő (13-14"/>
    <x v="48"/>
    <s v="18"/>
    <s v="32 fős egyenes kiesés"/>
    <s v="11-16"/>
    <s v="Gaál-Vajai Tamara"/>
    <s v="Főnix Dojo"/>
    <s v="HUN"/>
    <n v="0"/>
    <m/>
    <s v="Szigetszentmiklós"/>
    <d v="2026-03-22T00:00:00"/>
    <x v="196"/>
    <x v="0"/>
    <s v="Főnix Dojo"/>
    <s v="utánpótlás"/>
    <s v="serdülő"/>
    <m/>
  </r>
  <r>
    <x v="3"/>
    <s v="3A"/>
    <n v="810"/>
    <s v="Kata"/>
    <s v="Kata, -, 0-150 kg, Serdülő (13-14"/>
    <x v="48"/>
    <s v="18"/>
    <s v="32 fős egyenes kiesés"/>
    <s v="11-16"/>
    <s v="Tóth-Krisó Míra"/>
    <s v="Katana SE"/>
    <s v="HUN"/>
    <n v="0"/>
    <m/>
    <s v="Szigetszentmiklós"/>
    <d v="2026-03-22T00:00:00"/>
    <x v="214"/>
    <x v="0"/>
    <s v="Katana SE"/>
    <s v="utánpótlás"/>
    <s v="serdülő"/>
    <m/>
  </r>
  <r>
    <x v="3"/>
    <s v="3A"/>
    <n v="811"/>
    <s v="Kumite"/>
    <s v="Kumite, -, 0-50 kg, Ifjúsági (15-16"/>
    <x v="49"/>
    <s v="10"/>
    <s v="16 fős egyenes kiesés"/>
    <s v="1"/>
    <s v="Gombos-Weidinger Barnabás"/>
    <s v="BHMSE"/>
    <s v="HUN"/>
    <n v="10"/>
    <m/>
    <s v="Szigetszentmiklós"/>
    <d v="2026-03-22T00:00:00"/>
    <x v="223"/>
    <x v="0"/>
    <s v="BHMSE"/>
    <s v="utánpótlás"/>
    <s v="ifjúsági"/>
    <m/>
  </r>
  <r>
    <x v="3"/>
    <s v="3A"/>
    <n v="812"/>
    <s v="Kumite"/>
    <s v="Kumite, -, 0-50 kg, Ifjúsági (15-16"/>
    <x v="49"/>
    <s v="10"/>
    <s v="16 fős egyenes kiesés"/>
    <s v="2"/>
    <s v="Bollók Zalán"/>
    <s v="VTSE"/>
    <s v="HUN"/>
    <n v="8"/>
    <m/>
    <s v="Szigetszentmiklós"/>
    <d v="2026-03-22T00:00:00"/>
    <x v="224"/>
    <x v="1"/>
    <s v="VTSE"/>
    <s v="utánpótlás"/>
    <s v="ifjúsági"/>
    <m/>
  </r>
  <r>
    <x v="3"/>
    <s v="3A"/>
    <n v="813"/>
    <s v="Kumite"/>
    <s v="Kumite, -, 0-50 kg, Ifjúsági (15-16"/>
    <x v="49"/>
    <s v="10"/>
    <s v="16 fős egyenes kiesés"/>
    <s v="3"/>
    <s v="Stoffán Ádám Vilmos"/>
    <s v="Victory"/>
    <s v="HUN"/>
    <n v="6"/>
    <m/>
    <s v="Szigetszentmiklós"/>
    <d v="2026-03-22T00:00:00"/>
    <x v="413"/>
    <x v="0"/>
    <s v="Victory"/>
    <s v="utánpótlás"/>
    <s v="ifjúsági"/>
    <m/>
  </r>
  <r>
    <x v="3"/>
    <s v="3A"/>
    <n v="814"/>
    <s v="Kumite"/>
    <s v="Kumite, -, 0-50 kg, Ifjúsági (15-16"/>
    <x v="49"/>
    <s v="10"/>
    <s v="16 fős egyenes kiesés"/>
    <s v="3"/>
    <s v="Dorka Zalán"/>
    <s v="KHSE"/>
    <s v="HUN"/>
    <n v="6"/>
    <m/>
    <s v="Szigetszentmiklós"/>
    <d v="2026-03-22T00:00:00"/>
    <x v="412"/>
    <x v="0"/>
    <s v="KHSE"/>
    <s v="utánpótlás"/>
    <s v="ifjúsági"/>
    <m/>
  </r>
  <r>
    <x v="3"/>
    <s v="3A"/>
    <n v="815"/>
    <s v="Kumite"/>
    <s v="Kumite, -, 0-50 kg, Ifjúsági (15-16"/>
    <x v="49"/>
    <s v="10"/>
    <s v="16 fős egyenes kiesés"/>
    <s v="5"/>
    <s v="Nagy Hunor"/>
    <s v="Derecske BUDO"/>
    <s v="HUN"/>
    <n v="0"/>
    <s v="nem volt nyertes mérkőzése"/>
    <s v="Szigetszentmiklós"/>
    <d v="2026-03-22T00:00:00"/>
    <x v="508"/>
    <x v="0"/>
    <s v="Derecske BUDO"/>
    <s v="utánpótlás"/>
    <s v="ifjúsági"/>
    <m/>
  </r>
  <r>
    <x v="3"/>
    <s v="3A"/>
    <n v="816"/>
    <s v="Kumite"/>
    <s v="Kumite, -, 0-50 kg, Ifjúsági (15-16"/>
    <x v="49"/>
    <s v="10"/>
    <s v="16 fős egyenes kiesés"/>
    <s v="6"/>
    <s v="Zhang Dávid"/>
    <s v="KHSE"/>
    <s v="HUN"/>
    <n v="3"/>
    <m/>
    <s v="Szigetszentmiklós"/>
    <d v="2026-03-22T00:00:00"/>
    <x v="414"/>
    <x v="0"/>
    <s v="KHSE"/>
    <s v="utánpótlás"/>
    <s v="ifjúsági"/>
    <m/>
  </r>
  <r>
    <x v="3"/>
    <s v="3A"/>
    <n v="817"/>
    <s v="Kumite"/>
    <s v="Kumite, -, 0-50 kg, Ifjúsági (15-16"/>
    <x v="49"/>
    <s v="10"/>
    <s v="16 fős egyenes kiesés"/>
    <s v="7-8"/>
    <s v="MOLNÁR MARCELL"/>
    <s v="Victory"/>
    <s v="HUN"/>
    <n v="0"/>
    <s v="nem volt nyertes mérkőzése"/>
    <s v="Szigetszentmiklós"/>
    <d v="2026-03-22T00:00:00"/>
    <x v="436"/>
    <x v="0"/>
    <s v="Victory"/>
    <s v="utánpótlás"/>
    <s v="ifjúsági"/>
    <m/>
  </r>
  <r>
    <x v="3"/>
    <s v="3A"/>
    <n v="818"/>
    <s v="Kumite"/>
    <s v="Kumite, -, 0-50 kg, Ifjúsági (15-16"/>
    <x v="49"/>
    <s v="10"/>
    <s v="16 fős egyenes kiesés"/>
    <s v="7-8"/>
    <s v="Papp Dávid"/>
    <s v="Nyíradonyi KKE"/>
    <s v="HUN"/>
    <n v="3"/>
    <m/>
    <s v="Szigetszentmiklós"/>
    <d v="2026-03-22T00:00:00"/>
    <x v="509"/>
    <x v="0"/>
    <s v="Nyíradonyi KKE"/>
    <s v="utánpótlás"/>
    <s v="ifjúsági"/>
    <m/>
  </r>
  <r>
    <x v="3"/>
    <s v="3A"/>
    <n v="819"/>
    <s v="Kumite"/>
    <s v="Kumite, -, 0-50 kg, Ifjúsági (15-16"/>
    <x v="49"/>
    <s v="10"/>
    <s v="16 fős egyenes kiesés"/>
    <s v="11-16"/>
    <s v="Gáncs Arnold"/>
    <s v="Griff SE"/>
    <s v="HUN"/>
    <n v="0"/>
    <m/>
    <s v="Szigetszentmiklós"/>
    <d v="2026-03-22T00:00:00"/>
    <x v="510"/>
    <x v="0"/>
    <s v="Griff SE"/>
    <s v="utánpótlás"/>
    <s v="ifjúsági"/>
    <m/>
  </r>
  <r>
    <x v="3"/>
    <s v="3A"/>
    <n v="820"/>
    <s v="Kumite"/>
    <s v="Kumite, -, 0-50 kg, Ifjúsági (15-16"/>
    <x v="49"/>
    <s v="10"/>
    <s v="16 fős egyenes kiesés"/>
    <s v="11-16"/>
    <s v="Lukács Filip"/>
    <s v="BHMSE"/>
    <s v="HUN"/>
    <n v="0"/>
    <m/>
    <s v="Szigetszentmiklós"/>
    <d v="2026-03-22T00:00:00"/>
    <x v="225"/>
    <x v="0"/>
    <s v="BHMSE"/>
    <s v="utánpótlás"/>
    <s v="ifjúsági"/>
    <m/>
  </r>
  <r>
    <x v="3"/>
    <s v="3A"/>
    <n v="821"/>
    <s v="Kumite"/>
    <s v="Kumite, -, 50-55 kg, Ifjúsági (15-16"/>
    <x v="50"/>
    <s v="4"/>
    <s v="4 fős körmérkőzés"/>
    <s v="1"/>
    <s v="Berényi Imre Márk"/>
    <s v="Shogun"/>
    <s v="HUN"/>
    <n v="8"/>
    <m/>
    <s v="Szigetszentmiklós"/>
    <d v="2026-03-22T00:00:00"/>
    <x v="415"/>
    <x v="0"/>
    <s v="Shogun"/>
    <s v="utánpótlás"/>
    <s v="ifjúsági"/>
    <m/>
  </r>
  <r>
    <x v="3"/>
    <s v="3A"/>
    <n v="822"/>
    <s v="Kumite"/>
    <s v="Kumite, -, 50-55 kg, Ifjúsági (15-16"/>
    <x v="50"/>
    <s v="4"/>
    <s v="4 fős körmérkőzés"/>
    <s v="2"/>
    <s v="Szőke Zalán"/>
    <s v="VTSE"/>
    <s v="HUN"/>
    <n v="6"/>
    <m/>
    <s v="Szigetszentmiklós"/>
    <d v="2026-03-22T00:00:00"/>
    <x v="226"/>
    <x v="1"/>
    <s v="VTSE"/>
    <s v="utánpótlás"/>
    <s v="ifjúsági"/>
    <m/>
  </r>
  <r>
    <x v="3"/>
    <s v="3A"/>
    <n v="823"/>
    <s v="Kumite"/>
    <s v="Kumite, -, 50-55 kg, Ifjúsági (15-16"/>
    <x v="50"/>
    <s v="4"/>
    <s v="4 fős körmérkőzés"/>
    <s v="3"/>
    <s v="Balázs Máté"/>
    <s v="KHSE"/>
    <s v="HUN"/>
    <n v="4"/>
    <m/>
    <s v="Szigetszentmiklós"/>
    <d v="2026-03-22T00:00:00"/>
    <x v="416"/>
    <x v="0"/>
    <s v="KHSE"/>
    <s v="utánpótlás"/>
    <s v="ifjúsági"/>
    <m/>
  </r>
  <r>
    <x v="3"/>
    <s v="3A"/>
    <n v="824"/>
    <s v="Kumite"/>
    <s v="Kumite, -, 50-55 kg, Ifjúsági (15-16"/>
    <x v="50"/>
    <s v="4"/>
    <s v="4 fős körmérkőzés"/>
    <s v="4"/>
    <s v="Dürgő Máté"/>
    <s v="Victory"/>
    <s v="HUN"/>
    <n v="0"/>
    <m/>
    <s v="Szigetszentmiklós"/>
    <d v="2026-03-22T00:00:00"/>
    <x v="418"/>
    <x v="0"/>
    <s v="Victory"/>
    <s v="utánpótlás"/>
    <s v="ifjúsági"/>
    <m/>
  </r>
  <r>
    <x v="3"/>
    <s v="3A"/>
    <n v="825"/>
    <s v="Kumite"/>
    <s v="Kumite, -, 55-60 kg, Ifjúsági (15-16"/>
    <x v="51"/>
    <s v="5"/>
    <s v="5 fős körmérkőzés"/>
    <s v="1"/>
    <s v="Ménes Milán"/>
    <s v="KHSE"/>
    <s v="HUN"/>
    <n v="10"/>
    <m/>
    <s v="Szigetszentmiklós"/>
    <d v="2026-03-22T00:00:00"/>
    <x v="419"/>
    <x v="0"/>
    <s v="KHSE"/>
    <s v="utánpótlás"/>
    <s v="ifjúsági"/>
    <m/>
  </r>
  <r>
    <x v="3"/>
    <s v="3A"/>
    <n v="826"/>
    <s v="Kumite"/>
    <s v="Kumite, -, 55-60 kg, Ifjúsági (15-16"/>
    <x v="51"/>
    <s v="5"/>
    <s v="5 fős körmérkőzés"/>
    <s v="2"/>
    <s v="Tóth Gergely"/>
    <s v="Ichiro Dojo"/>
    <s v="HUN"/>
    <n v="8"/>
    <m/>
    <s v="Szigetszentmiklós"/>
    <d v="2026-03-22T00:00:00"/>
    <x v="228"/>
    <x v="1"/>
    <s v="Ichiro Dojo"/>
    <s v="utánpótlás"/>
    <s v="ifjúsági"/>
    <m/>
  </r>
  <r>
    <x v="3"/>
    <s v="3A"/>
    <n v="827"/>
    <s v="Kumite"/>
    <s v="Kumite, -, 55-60 kg, Ifjúsági (15-16"/>
    <x v="51"/>
    <s v="5"/>
    <s v="5 fős körmérkőzés"/>
    <s v="3"/>
    <s v="Flaisz Attila"/>
    <s v="TADASHII "/>
    <s v="HUN"/>
    <n v="6"/>
    <m/>
    <s v="Szigetszentmiklós"/>
    <d v="2026-03-22T00:00:00"/>
    <x v="511"/>
    <x v="1"/>
    <s v="TADASHII "/>
    <s v="utánpótlás"/>
    <s v="ifjúsági"/>
    <m/>
  </r>
  <r>
    <x v="3"/>
    <s v="3A"/>
    <n v="828"/>
    <s v="Kumite"/>
    <s v="Kumite, -, 55-60 kg, Ifjúsági (15-16"/>
    <x v="51"/>
    <s v="5"/>
    <s v="5 fős körmérkőzés"/>
    <s v="4"/>
    <s v="Banka Boldizsár"/>
    <s v="KYO Fighter SE"/>
    <s v="HUN"/>
    <n v="4"/>
    <m/>
    <s v="Szigetszentmiklós"/>
    <d v="2026-03-22T00:00:00"/>
    <x v="420"/>
    <x v="0"/>
    <s v="KYO Fighter SE"/>
    <s v="utánpótlás"/>
    <s v="ifjúsági"/>
    <m/>
  </r>
  <r>
    <x v="3"/>
    <s v="3A"/>
    <n v="829"/>
    <s v="Kumite"/>
    <s v="Kumite, -, 55-60 kg, Ifjúsági (15-16"/>
    <x v="51"/>
    <s v="5"/>
    <s v="5 fős körmérkőzés"/>
    <s v="5"/>
    <s v="Kovács Vajk Zoltán"/>
    <s v="Katana SE"/>
    <s v="HUN"/>
    <n v="3"/>
    <m/>
    <s v="Szigetszentmiklós"/>
    <d v="2026-03-22T00:00:00"/>
    <x v="229"/>
    <x v="0"/>
    <s v="Katana SE"/>
    <s v="utánpótlás"/>
    <s v="ifjúsági"/>
    <m/>
  </r>
  <r>
    <x v="3"/>
    <s v="3A"/>
    <n v="830"/>
    <s v="Kumite"/>
    <s v="Kumite, -, 60-65 kg, Ifjúsági (15-16"/>
    <x v="52"/>
    <s v="10"/>
    <s v="16 fős egyenes kiesés"/>
    <s v="1"/>
    <s v="Farkas Áron Péter"/>
    <s v="Ichiro Dojo"/>
    <s v="HUN"/>
    <n v="10"/>
    <m/>
    <s v="Szigetszentmiklós"/>
    <d v="2026-03-22T00:00:00"/>
    <x v="231"/>
    <x v="1"/>
    <s v="Ichiro Dojo"/>
    <s v="utánpótlás"/>
    <s v="ifjúsági"/>
    <m/>
  </r>
  <r>
    <x v="3"/>
    <s v="3A"/>
    <n v="831"/>
    <s v="Kumite"/>
    <s v="Kumite, -, 60-65 kg, Ifjúsági (15-16"/>
    <x v="52"/>
    <s v="10"/>
    <s v="16 fős egyenes kiesés"/>
    <s v="2"/>
    <s v="Magasi Attila"/>
    <s v="Főnix Dojo"/>
    <s v="HUN"/>
    <n v="8"/>
    <m/>
    <s v="Szigetszentmiklós"/>
    <d v="2026-03-22T00:00:00"/>
    <x v="230"/>
    <x v="0"/>
    <s v="Főnix Dojo"/>
    <s v="utánpótlás"/>
    <s v="ifjúsági"/>
    <m/>
  </r>
  <r>
    <x v="3"/>
    <s v="3A"/>
    <n v="832"/>
    <s v="Kumite"/>
    <s v="Kumite, -, 60-65 kg, Ifjúsági (15-16"/>
    <x v="52"/>
    <s v="10"/>
    <s v="16 fős egyenes kiesés"/>
    <s v="3"/>
    <s v="Tarsoly Norbert"/>
    <s v="Nintai KKSE"/>
    <s v="HUN"/>
    <n v="6"/>
    <m/>
    <s v="Szigetszentmiklós"/>
    <d v="2026-03-22T00:00:00"/>
    <x v="423"/>
    <x v="1"/>
    <s v="Nintai KKSE"/>
    <s v="utánpótlás"/>
    <s v="ifjúsági"/>
    <m/>
  </r>
  <r>
    <x v="3"/>
    <s v="3A"/>
    <n v="833"/>
    <s v="Kumite"/>
    <s v="Kumite, -, 60-65 kg, Ifjúsági (15-16"/>
    <x v="52"/>
    <s v="10"/>
    <s v="16 fős egyenes kiesés"/>
    <s v="3"/>
    <s v="Tutor Barnabás "/>
    <s v="Derecske BUDO"/>
    <s v="HUN"/>
    <n v="6"/>
    <m/>
    <s v="Szigetszentmiklós"/>
    <d v="2026-03-22T00:00:00"/>
    <x v="424"/>
    <x v="0"/>
    <s v="Derecske BUDO"/>
    <s v="utánpótlás"/>
    <s v="ifjúsági"/>
    <m/>
  </r>
  <r>
    <x v="3"/>
    <s v="3A"/>
    <n v="834"/>
    <s v="Kumite"/>
    <s v="Kumite, -, 60-65 kg, Ifjúsági (15-16"/>
    <x v="52"/>
    <s v="10"/>
    <s v="16 fős egyenes kiesés"/>
    <s v="5"/>
    <s v="Bagó Balázs"/>
    <s v="VTSE"/>
    <s v="HUN"/>
    <n v="3"/>
    <m/>
    <s v="Szigetszentmiklós"/>
    <d v="2026-03-22T00:00:00"/>
    <x v="233"/>
    <x v="1"/>
    <s v="VTSE"/>
    <s v="utánpótlás"/>
    <s v="ifjúsági"/>
    <m/>
  </r>
  <r>
    <x v="3"/>
    <s v="3A"/>
    <n v="835"/>
    <s v="Kumite"/>
    <s v="Kumite, -, 60-65 kg, Ifjúsági (15-16"/>
    <x v="52"/>
    <s v="10"/>
    <s v="16 fős egyenes kiesés"/>
    <s v="6"/>
    <s v="Molnár Bence Noel"/>
    <s v="WARRIORS TEAM"/>
    <s v="HUN"/>
    <n v="0"/>
    <s v="nem volt nyertes mérkőzése"/>
    <s v="Szigetszentmiklós"/>
    <d v="2026-03-22T00:00:00"/>
    <x v="232"/>
    <x v="0"/>
    <s v="WARRIORS TEAM"/>
    <s v="utánpótlás"/>
    <s v="ifjúsági"/>
    <m/>
  </r>
  <r>
    <x v="3"/>
    <s v="3A"/>
    <n v="836"/>
    <s v="Kumite"/>
    <s v="Kumite, -, 60-65 kg, Ifjúsági (15-16"/>
    <x v="52"/>
    <s v="10"/>
    <s v="16 fős egyenes kiesés"/>
    <s v="7-8"/>
    <s v="Balogh Levente"/>
    <s v="Wheelmaker dojo SE"/>
    <s v="HUN"/>
    <n v="0"/>
    <s v="nem volt nyertes mérkőzése"/>
    <s v="Szigetszentmiklós"/>
    <d v="2026-03-22T00:00:00"/>
    <x v="422"/>
    <x v="1"/>
    <s v="Wheelmaker dojo SE"/>
    <s v="utánpótlás"/>
    <s v="ifjúsági"/>
    <m/>
  </r>
  <r>
    <x v="3"/>
    <s v="3A"/>
    <n v="837"/>
    <s v="Kumite"/>
    <s v="Kumite, -, 60-65 kg, Ifjúsági (15-16"/>
    <x v="52"/>
    <s v="10"/>
    <s v="16 fős egyenes kiesés"/>
    <s v="7-8"/>
    <s v="Alkaddour Ali Áron"/>
    <s v="BHMSE"/>
    <s v="HUN"/>
    <n v="3"/>
    <m/>
    <s v="Szigetszentmiklós"/>
    <d v="2026-03-22T00:00:00"/>
    <x v="234"/>
    <x v="0"/>
    <s v="BHMSE"/>
    <s v="utánpótlás"/>
    <s v="ifjúsági"/>
    <m/>
  </r>
  <r>
    <x v="3"/>
    <s v="3A"/>
    <n v="838"/>
    <s v="Kumite"/>
    <s v="Kumite, -, 60-65 kg, Ifjúsági (15-16"/>
    <x v="52"/>
    <s v="10"/>
    <s v="16 fős egyenes kiesés"/>
    <s v="11-16"/>
    <s v="Fekete Szilárd"/>
    <s v="POWER SE."/>
    <s v="HUN"/>
    <n v="0"/>
    <m/>
    <s v="Szigetszentmiklós"/>
    <d v="2026-03-22T00:00:00"/>
    <x v="235"/>
    <x v="0"/>
    <s v="POWER SE."/>
    <s v="utánpótlás"/>
    <s v="ifjúsági"/>
    <m/>
  </r>
  <r>
    <x v="3"/>
    <s v="3A"/>
    <n v="839"/>
    <s v="Kumite"/>
    <s v="Kumite, -, 60-65 kg, Ifjúsági (15-16"/>
    <x v="52"/>
    <s v="10"/>
    <s v="16 fős egyenes kiesés"/>
    <s v="11-16"/>
    <s v="Baranyi Tibor"/>
    <s v="POWER SE."/>
    <s v="HUN"/>
    <n v="0"/>
    <m/>
    <s v="Szigetszentmiklós"/>
    <d v="2026-03-22T00:00:00"/>
    <x v="236"/>
    <x v="0"/>
    <s v="POWER SE."/>
    <s v="utánpótlás"/>
    <s v="ifjúsági"/>
    <m/>
  </r>
  <r>
    <x v="3"/>
    <s v="3A"/>
    <n v="840"/>
    <s v="Kumite"/>
    <s v="Kumite, -, 65-70 kg, Ifjúsági (15-16"/>
    <x v="70"/>
    <s v="3"/>
    <s v="3 fős körmérkőzés"/>
    <s v="1"/>
    <s v="Dezső Norbert"/>
    <s v="Magna Dojo"/>
    <s v="HUN"/>
    <n v="6"/>
    <m/>
    <s v="Szigetszentmiklós"/>
    <d v="2026-03-22T00:00:00"/>
    <x v="426"/>
    <x v="0"/>
    <s v="Magna Dojo"/>
    <s v="utánpótlás"/>
    <s v="ifjúsági"/>
    <m/>
  </r>
  <r>
    <x v="3"/>
    <s v="3A"/>
    <n v="841"/>
    <s v="Kumite"/>
    <s v="Kumite, -, 65-70 kg, Ifjúsági (15-16"/>
    <x v="70"/>
    <s v="3"/>
    <s v="3 fős körmérkőzés"/>
    <s v="2"/>
    <s v="Kurucz Gergő"/>
    <s v="Victory"/>
    <s v="HUN"/>
    <n v="4"/>
    <m/>
    <s v="Szigetszentmiklós"/>
    <d v="2026-03-22T00:00:00"/>
    <x v="425"/>
    <x v="0"/>
    <s v="Victory"/>
    <s v="utánpótlás"/>
    <s v="ifjúsági"/>
    <m/>
  </r>
  <r>
    <x v="3"/>
    <s v="3A"/>
    <n v="842"/>
    <s v="Kumite"/>
    <s v="Kumite, -, 65-70 kg, Ifjúsági (15-16"/>
    <x v="70"/>
    <s v="3"/>
    <s v="3 fős körmérkőzés"/>
    <s v="3"/>
    <s v="Novák Balázs"/>
    <s v="Bendiák Dojo"/>
    <s v="HUN"/>
    <n v="0"/>
    <m/>
    <s v="Szigetszentmiklós"/>
    <d v="2026-03-22T00:00:00"/>
    <x v="427"/>
    <x v="0"/>
    <s v="Bendiák Dojo"/>
    <s v="utánpótlás"/>
    <s v="ifjúsági"/>
    <m/>
  </r>
  <r>
    <x v="3"/>
    <s v="3A"/>
    <n v="843"/>
    <s v="Kumite"/>
    <s v="Kumite, -, 70-75 kg, Ifjúsági (15-16"/>
    <x v="53"/>
    <s v="7"/>
    <s v="8 fős egyenes kiesés"/>
    <s v="1"/>
    <s v="Szabó Levente"/>
    <s v="WARRIORS TEAM"/>
    <s v="HUN"/>
    <n v="8"/>
    <m/>
    <s v="Szigetszentmiklós"/>
    <d v="2026-03-22T00:00:00"/>
    <x v="238"/>
    <x v="0"/>
    <s v="WARRIORS TEAM"/>
    <s v="utánpótlás"/>
    <s v="ifjúsági"/>
    <m/>
  </r>
  <r>
    <x v="3"/>
    <s v="3A"/>
    <n v="844"/>
    <s v="Kumite"/>
    <s v="Kumite, -, 70-75 kg, Ifjúsági (15-16"/>
    <x v="53"/>
    <s v="7"/>
    <s v="8 fős egyenes kiesés"/>
    <s v="2"/>
    <s v="Csonka Máté"/>
    <s v="Kamikaze S"/>
    <s v="HUN"/>
    <n v="6"/>
    <m/>
    <s v="Szigetszentmiklós"/>
    <d v="2026-03-22T00:00:00"/>
    <x v="237"/>
    <x v="0"/>
    <s v="Kamikaze S"/>
    <s v="utánpótlás"/>
    <s v="ifjúsági"/>
    <m/>
  </r>
  <r>
    <x v="3"/>
    <s v="3A"/>
    <n v="845"/>
    <s v="Kumite"/>
    <s v="Kumite, -, 70-75 kg, Ifjúsági (15-16"/>
    <x v="53"/>
    <s v="7"/>
    <s v="8 fős egyenes kiesés"/>
    <s v="3"/>
    <s v="Vass Noel"/>
    <s v="KHSE"/>
    <s v="HUN"/>
    <n v="4"/>
    <m/>
    <s v="Szigetszentmiklós"/>
    <d v="2026-03-22T00:00:00"/>
    <x v="430"/>
    <x v="0"/>
    <s v="KHSE"/>
    <s v="utánpótlás"/>
    <s v="ifjúsági"/>
    <m/>
  </r>
  <r>
    <x v="3"/>
    <s v="3A"/>
    <n v="846"/>
    <s v="Kumite"/>
    <s v="Kumite, -, 70-75 kg, Ifjúsági (15-16"/>
    <x v="53"/>
    <s v="7"/>
    <s v="8 fős egyenes kiesés"/>
    <s v="3"/>
    <s v="Gál Milán György "/>
    <s v="Derecske BUDO"/>
    <s v="HUN"/>
    <n v="4"/>
    <m/>
    <s v="Szigetszentmiklós"/>
    <d v="2026-03-22T00:00:00"/>
    <x v="512"/>
    <x v="0"/>
    <s v="Derecske BUDO"/>
    <s v="utánpótlás"/>
    <s v="ifjúsági"/>
    <m/>
  </r>
  <r>
    <x v="3"/>
    <s v="3A"/>
    <n v="847"/>
    <s v="Kumite"/>
    <s v="Kumite, -, 70-75 kg, Ifjúsági (15-16"/>
    <x v="53"/>
    <s v="7"/>
    <s v="8 fős egyenes kiesés"/>
    <s v="5"/>
    <s v="Németh Adrián"/>
    <s v="Cs.S.E."/>
    <s v="HUN"/>
    <n v="0"/>
    <m/>
    <s v="Szigetszentmiklós"/>
    <d v="2026-03-22T00:00:00"/>
    <x v="239"/>
    <x v="0"/>
    <s v="Cs.S.E."/>
    <s v="utánpótlás"/>
    <s v="ifjúsági"/>
    <m/>
  </r>
  <r>
    <x v="3"/>
    <s v="3A"/>
    <n v="848"/>
    <s v="Kumite"/>
    <s v="Kumite, -, 70-75 kg, Ifjúsági (15-16"/>
    <x v="53"/>
    <s v="7"/>
    <s v="8 fős egyenes kiesés"/>
    <s v="7-8"/>
    <s v="Ágoston Bence"/>
    <s v="KHSE"/>
    <s v="HUN"/>
    <n v="0"/>
    <m/>
    <s v="Szigetszentmiklós"/>
    <d v="2026-03-22T00:00:00"/>
    <x v="428"/>
    <x v="0"/>
    <s v="KHSE"/>
    <s v="utánpótlás"/>
    <s v="ifjúsági"/>
    <m/>
  </r>
  <r>
    <x v="3"/>
    <s v="3A"/>
    <n v="849"/>
    <s v="Kumite"/>
    <s v="Kumite, -, 70-75 kg, Ifjúsági (15-16"/>
    <x v="53"/>
    <s v="7"/>
    <s v="8 fős egyenes kiesés"/>
    <s v="7-8"/>
    <s v="Vancsó Kornél"/>
    <s v="Bendiák Dojo"/>
    <s v="HUN"/>
    <n v="0"/>
    <m/>
    <s v="Szigetszentmiklós"/>
    <d v="2026-03-22T00:00:00"/>
    <x v="429"/>
    <x v="0"/>
    <s v="Bendiák Dojo"/>
    <s v="utánpótlás"/>
    <s v="ifjúsági"/>
    <m/>
  </r>
  <r>
    <x v="3"/>
    <s v="3A"/>
    <n v="850"/>
    <s v="Kumite"/>
    <s v="Kumite, -, 75-999 kg, Ifjúsági (15-16"/>
    <x v="54"/>
    <s v="7"/>
    <s v="8 fős egyenes kiesés"/>
    <s v="1"/>
    <s v="Garamszegi Zente"/>
    <s v="WARRIORS TEAM"/>
    <s v="HUN"/>
    <n v="8"/>
    <m/>
    <s v="Szigetszentmiklós"/>
    <d v="2026-03-22T00:00:00"/>
    <x v="240"/>
    <x v="0"/>
    <s v="WARRIORS TEAM"/>
    <s v="utánpótlás"/>
    <s v="ifjúsági"/>
    <m/>
  </r>
  <r>
    <x v="3"/>
    <s v="3A"/>
    <n v="851"/>
    <s v="Kumite"/>
    <s v="Kumite, -, 75-999 kg, Ifjúsági (15-16"/>
    <x v="54"/>
    <s v="7"/>
    <s v="8 fős egyenes kiesés"/>
    <s v="2"/>
    <s v="Szalai Brendon"/>
    <s v="Nintai KKSE"/>
    <s v="HUN"/>
    <n v="6"/>
    <m/>
    <s v="Szigetszentmiklós"/>
    <d v="2026-03-22T00:00:00"/>
    <x v="431"/>
    <x v="1"/>
    <s v="Nintai KKSE"/>
    <s v="utánpótlás"/>
    <s v="ifjúsági"/>
    <m/>
  </r>
  <r>
    <x v="3"/>
    <s v="3A"/>
    <n v="852"/>
    <s v="Kumite"/>
    <s v="Kumite, -, 75-999 kg, Ifjúsági (15-16"/>
    <x v="54"/>
    <s v="7"/>
    <s v="8 fős egyenes kiesés"/>
    <s v="3"/>
    <s v="Novák Máté"/>
    <s v="Bendiák Dojo"/>
    <s v="HUN"/>
    <n v="4"/>
    <m/>
    <s v="Szigetszentmiklós"/>
    <d v="2026-03-22T00:00:00"/>
    <x v="432"/>
    <x v="0"/>
    <s v="Bendiák Dojo"/>
    <s v="utánpótlás"/>
    <s v="ifjúsági"/>
    <m/>
  </r>
  <r>
    <x v="3"/>
    <s v="3A"/>
    <n v="853"/>
    <s v="Kumite"/>
    <s v="Kumite, -, 75-999 kg, Ifjúsági (15-16"/>
    <x v="54"/>
    <s v="7"/>
    <s v="8 fős egyenes kiesés"/>
    <s v="3"/>
    <s v="Vida Péter"/>
    <s v="Buke Reikon HRSE"/>
    <s v="HUN"/>
    <n v="4"/>
    <m/>
    <s v="Szigetszentmiklós"/>
    <d v="2026-03-22T00:00:00"/>
    <x v="433"/>
    <x v="0"/>
    <s v="Buke Reikon HRSE"/>
    <s v="utánpótlás"/>
    <s v="ifjúsági"/>
    <m/>
  </r>
  <r>
    <x v="3"/>
    <s v="3A"/>
    <n v="854"/>
    <s v="Kumite"/>
    <s v="Kumite, -, 75-999 kg, Ifjúsági (15-16"/>
    <x v="54"/>
    <s v="7"/>
    <s v="8 fős egyenes kiesés"/>
    <s v="5"/>
    <s v="Vörös Tibor"/>
    <s v="RDKKSE"/>
    <s v="HUN"/>
    <n v="0"/>
    <m/>
    <s v="Szigetszentmiklós"/>
    <d v="2026-03-22T00:00:00"/>
    <x v="242"/>
    <x v="0"/>
    <s v="RDKKSE"/>
    <s v="utánpótlás"/>
    <s v="ifjúsági"/>
    <m/>
  </r>
  <r>
    <x v="3"/>
    <s v="3A"/>
    <n v="855"/>
    <s v="Kumite"/>
    <s v="Kumite, -, 75-999 kg, Ifjúsági (15-16"/>
    <x v="54"/>
    <s v="7"/>
    <s v="8 fős egyenes kiesés"/>
    <s v="7-8"/>
    <s v="Nagy Gábor András"/>
    <s v="POWER SE."/>
    <s v="HUN"/>
    <n v="0"/>
    <m/>
    <s v="Szigetszentmiklós"/>
    <d v="2026-03-22T00:00:00"/>
    <x v="513"/>
    <x v="0"/>
    <s v="POWER SE."/>
    <s v="utánpótlás"/>
    <s v="ifjúsági"/>
    <m/>
  </r>
  <r>
    <x v="3"/>
    <s v="3A"/>
    <n v="856"/>
    <s v="Kumite"/>
    <s v="Kumite, -, 75-999 kg, Ifjúsági (15-16"/>
    <x v="54"/>
    <s v="7"/>
    <s v="8 fős egyenes kiesés"/>
    <s v="7-8"/>
    <s v="Szabó Lóránt"/>
    <s v="Kamikaze S"/>
    <s v="HUN"/>
    <n v="0"/>
    <m/>
    <s v="Szigetszentmiklós"/>
    <d v="2026-03-22T00:00:00"/>
    <x v="241"/>
    <x v="0"/>
    <s v="Kamikaze S"/>
    <s v="utánpótlás"/>
    <s v="ifjúsági"/>
    <m/>
  </r>
  <r>
    <x v="3"/>
    <s v="3A"/>
    <n v="857"/>
    <s v="Kata"/>
    <s v="Kata, -, 0-160 kg, Ifjúsági (15-16"/>
    <x v="55"/>
    <s v="13"/>
    <s v="16 fős egyenes kiesés + 3. hely"/>
    <s v="1"/>
    <s v="Berényi Imre Márk"/>
    <s v="Shogun"/>
    <s v="HUN"/>
    <n v="8"/>
    <s v="13 fő esetén: 1-8 helyezett"/>
    <s v="Szigetszentmiklós"/>
    <d v="2026-03-22T00:00:00"/>
    <x v="415"/>
    <x v="0"/>
    <s v="Shogun"/>
    <s v="utánpótlás"/>
    <s v="ifjúsági"/>
    <m/>
  </r>
  <r>
    <x v="3"/>
    <s v="3A"/>
    <n v="858"/>
    <s v="Kata"/>
    <s v="Kata, -, 0-160 kg, Ifjúsági (15-16"/>
    <x v="55"/>
    <s v="13"/>
    <s v="16 fős egyenes kiesés + 3. hely"/>
    <s v="2"/>
    <s v="Lóránt Varga Milán"/>
    <s v="Shogun"/>
    <s v="HUN"/>
    <n v="6"/>
    <s v="13 fő esetén: 1-8 helyezett"/>
    <s v="Szigetszentmiklós"/>
    <d v="2026-03-22T00:00:00"/>
    <x v="435"/>
    <x v="0"/>
    <s v="Shogun"/>
    <s v="utánpótlás"/>
    <s v="ifjúsági"/>
    <m/>
  </r>
  <r>
    <x v="3"/>
    <s v="3A"/>
    <n v="859"/>
    <s v="Kata"/>
    <s v="Kata, -, 0-160 kg, Ifjúsági (15-16"/>
    <x v="55"/>
    <s v="13"/>
    <s v="16 fős egyenes kiesés + 3. hely"/>
    <s v="3"/>
    <s v="Németh Adrián"/>
    <s v="Cs.S.E."/>
    <s v="HUN"/>
    <n v="4"/>
    <s v="13 fő esetén: 1-8 helyezett"/>
    <s v="Szigetszentmiklós"/>
    <d v="2026-03-22T00:00:00"/>
    <x v="239"/>
    <x v="0"/>
    <s v="Cs.S.E."/>
    <s v="utánpótlás"/>
    <s v="ifjúsági"/>
    <m/>
  </r>
  <r>
    <x v="3"/>
    <s v="3A"/>
    <n v="860"/>
    <s v="Kata"/>
    <s v="Kata, -, 0-160 kg, Ifjúsági (15-16"/>
    <x v="55"/>
    <s v="13"/>
    <s v="16 fős egyenes kiesés + 3. hely"/>
    <s v="4"/>
    <s v="Szalontai Levente"/>
    <s v="KSE Tarján"/>
    <s v="HUN"/>
    <n v="3"/>
    <s v="13 fő esetén: 1-8 helyezett"/>
    <s v="Szigetszentmiklós"/>
    <d v="2026-03-22T00:00:00"/>
    <x v="244"/>
    <x v="0"/>
    <s v="KSE Tarján"/>
    <s v="utánpótlás"/>
    <s v="ifjúsági"/>
    <m/>
  </r>
  <r>
    <x v="3"/>
    <s v="3A"/>
    <n v="861"/>
    <s v="Kata"/>
    <s v="Kata, -, 0-160 kg, Ifjúsági (15-16"/>
    <x v="55"/>
    <s v="13"/>
    <s v="16 fős egyenes kiesés + 3. hely"/>
    <s v="5"/>
    <s v="MOLNÁR MARCELL"/>
    <s v="Victory"/>
    <s v="HUN"/>
    <n v="2"/>
    <s v="13 fő esetén: 1-8 helyezett"/>
    <s v="Szigetszentmiklós"/>
    <d v="2026-03-22T00:00:00"/>
    <x v="436"/>
    <x v="0"/>
    <s v="Victory"/>
    <s v="utánpótlás"/>
    <s v="ifjúsági"/>
    <m/>
  </r>
  <r>
    <x v="3"/>
    <s v="3A"/>
    <n v="862"/>
    <s v="Kata"/>
    <s v="Kata, -, 0-160 kg, Ifjúsági (15-16"/>
    <x v="55"/>
    <s v="13"/>
    <s v="16 fős egyenes kiesés + 3. hely"/>
    <s v="6"/>
    <s v="Novák Balázs"/>
    <s v="Bendiák Dojo"/>
    <s v="HUN"/>
    <n v="2"/>
    <s v="13 fő esetén: 1-8 helyezett"/>
    <s v="Szigetszentmiklós"/>
    <d v="2026-03-22T00:00:00"/>
    <x v="427"/>
    <x v="0"/>
    <s v="Bendiák Dojo"/>
    <s v="utánpótlás"/>
    <s v="ifjúsági"/>
    <m/>
  </r>
  <r>
    <x v="3"/>
    <s v="3A"/>
    <n v="863"/>
    <s v="Kata"/>
    <s v="Kata, -, 0-160 kg, Ifjúsági (15-16"/>
    <x v="55"/>
    <s v="13"/>
    <s v="16 fős egyenes kiesés + 3. hely"/>
    <s v="7-8"/>
    <s v="Ungvári Levente"/>
    <s v="Shogun"/>
    <s v="HUN"/>
    <n v="2"/>
    <s v="13 fő esetén: 1-8 helyezett"/>
    <s v="Szigetszentmiklós"/>
    <d v="2026-03-22T00:00:00"/>
    <x v="434"/>
    <x v="0"/>
    <s v="Shogun"/>
    <s v="utánpótlás"/>
    <s v="ifjúsági"/>
    <m/>
  </r>
  <r>
    <x v="3"/>
    <s v="3A"/>
    <n v="864"/>
    <s v="Kata"/>
    <s v="Kata, -, 0-160 kg, Ifjúsági (15-16"/>
    <x v="55"/>
    <s v="13"/>
    <s v="16 fős egyenes kiesés + 3. hely"/>
    <s v="7-8"/>
    <s v="Novák Máté"/>
    <s v="Bendiák Dojo"/>
    <s v="HUN"/>
    <n v="2"/>
    <s v="13 fő esetén: 1-8 helyezett"/>
    <s v="Szigetszentmiklós"/>
    <d v="2026-03-22T00:00:00"/>
    <x v="432"/>
    <x v="0"/>
    <s v="Bendiák Dojo"/>
    <s v="utánpótlás"/>
    <s v="ifjúsági"/>
    <m/>
  </r>
  <r>
    <x v="3"/>
    <s v="3A"/>
    <n v="865"/>
    <s v="Kata"/>
    <s v="Kata, -, 0-160 kg, Ifjúsági (15-16"/>
    <x v="55"/>
    <s v="13"/>
    <s v="16 fős egyenes kiesés + 3. hely"/>
    <s v="11-16"/>
    <s v="Lukács Filip"/>
    <s v="BHMSE"/>
    <s v="HUN"/>
    <n v="0"/>
    <s v="13 fő esetén: 1-8 helyezett"/>
    <s v="Szigetszentmiklós"/>
    <d v="2026-03-22T00:00:00"/>
    <x v="225"/>
    <x v="0"/>
    <s v="BHMSE"/>
    <s v="utánpótlás"/>
    <s v="ifjúsági"/>
    <m/>
  </r>
  <r>
    <x v="3"/>
    <s v="3A"/>
    <n v="866"/>
    <s v="Kata"/>
    <s v="Kata, -, 0-160 kg, Ifjúsági (15-16"/>
    <x v="55"/>
    <s v="13"/>
    <s v="16 fős egyenes kiesés + 3. hely"/>
    <s v="11-16"/>
    <s v="Baranyai Áron"/>
    <s v="BHMSE"/>
    <s v="HUN"/>
    <n v="0"/>
    <s v="13 fő esetén: 1-8 helyezett"/>
    <s v="Szigetszentmiklós"/>
    <d v="2026-03-22T00:00:00"/>
    <x v="246"/>
    <x v="0"/>
    <s v="BHMSE"/>
    <s v="utánpótlás"/>
    <s v="ifjúsági"/>
    <m/>
  </r>
  <r>
    <x v="3"/>
    <s v="3A"/>
    <n v="867"/>
    <s v="Kata"/>
    <s v="Kata, -, 0-160 kg, Ifjúsági (15-16"/>
    <x v="55"/>
    <s v="13"/>
    <s v="16 fős egyenes kiesés + 3. hely"/>
    <s v="11-16"/>
    <s v="Gyarmati Viktor"/>
    <s v="BHMSE"/>
    <s v="HUN"/>
    <n v="0"/>
    <s v="13 fő esetén: 1-8 helyezett"/>
    <s v="Szigetszentmiklós"/>
    <d v="2026-03-22T00:00:00"/>
    <x v="245"/>
    <x v="0"/>
    <s v="BHMSE"/>
    <s v="utánpótlás"/>
    <s v="ifjúsági"/>
    <m/>
  </r>
  <r>
    <x v="3"/>
    <s v="3A"/>
    <n v="868"/>
    <s v="Kata"/>
    <s v="Kata, -, 0-160 kg, Ifjúsági (15-16"/>
    <x v="55"/>
    <s v="13"/>
    <s v="16 fős egyenes kiesés + 3. hely"/>
    <s v="11-16"/>
    <s v="Varga Bálint Norbert"/>
    <s v="ARSC"/>
    <s v="HUN"/>
    <n v="0"/>
    <s v="13 fő esetén: 1-8 helyezett"/>
    <s v="Szigetszentmiklós"/>
    <d v="2026-03-22T00:00:00"/>
    <x v="247"/>
    <x v="0"/>
    <s v="ARSC"/>
    <s v="utánpótlás"/>
    <s v="ifjúsági"/>
    <m/>
  </r>
  <r>
    <x v="3"/>
    <s v="3A"/>
    <n v="869"/>
    <s v="Kata"/>
    <s v="Kata, -, 0-160 kg, Ifjúsági (15-16"/>
    <x v="55"/>
    <s v="13"/>
    <s v="16 fős egyenes kiesés + 3. hely"/>
    <s v="11-16"/>
    <s v="Banka Boldizsár"/>
    <s v="KYO Fighter SE"/>
    <s v="HUN"/>
    <n v="0"/>
    <s v="13 fő esetén: 1-8 helyezett"/>
    <s v="Szigetszentmiklós"/>
    <d v="2026-03-22T00:00:00"/>
    <x v="420"/>
    <x v="0"/>
    <s v="KYO Fighter SE"/>
    <s v="utánpótlás"/>
    <s v="ifjúsági"/>
    <m/>
  </r>
  <r>
    <x v="3"/>
    <s v="3A"/>
    <n v="870"/>
    <s v="Kumite"/>
    <s v="Kumite, -, 0-50 kg, Ifjúsági (15-16"/>
    <x v="56"/>
    <s v="5"/>
    <s v="5 fős körmérkőzés"/>
    <s v="1"/>
    <s v="Böcskey Emese "/>
    <s v="Nagy Sándor Dojo"/>
    <s v="HUN"/>
    <n v="10"/>
    <m/>
    <s v="Szigetszentmiklós"/>
    <d v="2026-03-22T00:00:00"/>
    <x v="248"/>
    <x v="1"/>
    <s v="Nagy Sándor Dojo"/>
    <s v="utánpótlás"/>
    <s v="ifjúsági"/>
    <m/>
  </r>
  <r>
    <x v="3"/>
    <s v="3A"/>
    <n v="871"/>
    <s v="Kumite"/>
    <s v="Kumite, -, 0-50 kg, Ifjúsági (15-16"/>
    <x v="56"/>
    <s v="5"/>
    <s v="5 fős körmérkőzés"/>
    <s v="2"/>
    <s v="Sülyi Luca"/>
    <s v="Főnix Dojo"/>
    <s v="HUN"/>
    <n v="8"/>
    <m/>
    <s v="Szigetszentmiklós"/>
    <d v="2026-03-22T00:00:00"/>
    <x v="249"/>
    <x v="0"/>
    <s v="Főnix Dojo"/>
    <s v="utánpótlás"/>
    <s v="ifjúsági"/>
    <m/>
  </r>
  <r>
    <x v="3"/>
    <s v="3A"/>
    <n v="872"/>
    <s v="Kumite"/>
    <s v="Kumite, -, 0-50 kg, Ifjúsági (15-16"/>
    <x v="56"/>
    <s v="5"/>
    <s v="5 fős körmérkőzés"/>
    <s v="3"/>
    <s v="Aranyosi Nikolett"/>
    <s v="KSE Tarján"/>
    <s v="HUN"/>
    <n v="6"/>
    <m/>
    <s v="Szigetszentmiklós"/>
    <d v="2026-03-22T00:00:00"/>
    <x v="250"/>
    <x v="0"/>
    <s v="KSE Tarján"/>
    <s v="utánpótlás"/>
    <s v="ifjúsági"/>
    <m/>
  </r>
  <r>
    <x v="3"/>
    <s v="3A"/>
    <n v="873"/>
    <s v="Kumite"/>
    <s v="Kumite, -, 0-50 kg, Ifjúsági (15-16"/>
    <x v="56"/>
    <s v="5"/>
    <s v="5 fős körmérkőzés"/>
    <s v="4"/>
    <s v="Forgács Lili"/>
    <s v="Borza Dojo"/>
    <s v="HUN"/>
    <n v="4"/>
    <m/>
    <s v="Szigetszentmiklós"/>
    <d v="2026-03-22T00:00:00"/>
    <x v="438"/>
    <x v="1"/>
    <s v="Borza Dojo"/>
    <s v="utánpótlás"/>
    <s v="ifjúsági"/>
    <m/>
  </r>
  <r>
    <x v="3"/>
    <s v="3A"/>
    <n v="874"/>
    <s v="Kumite"/>
    <s v="Kumite, -, 0-50 kg, Ifjúsági (15-16"/>
    <x v="56"/>
    <s v="5"/>
    <s v="5 fős körmérkőzés"/>
    <s v="5"/>
    <s v="Szabó Hanna"/>
    <s v="Hajdúszoboszló"/>
    <s v="HUN"/>
    <n v="0"/>
    <m/>
    <s v="Szigetszentmiklós"/>
    <d v="2026-03-22T00:00:00"/>
    <x v="437"/>
    <x v="0"/>
    <s v="Hajdúszoboszló"/>
    <s v="utánpótlás"/>
    <s v="ifjúsági"/>
    <m/>
  </r>
  <r>
    <x v="3"/>
    <s v="3A"/>
    <n v="875"/>
    <s v="Kumite"/>
    <s v="Kumite, -, 50-55 kg, Ifjúsági (15-16"/>
    <x v="57"/>
    <s v="6"/>
    <s v="6 fős vegyes"/>
    <s v="1"/>
    <s v="Furó Liliána"/>
    <s v="KHSE"/>
    <s v="HUN"/>
    <n v="8"/>
    <m/>
    <s v="Szigetszentmiklós"/>
    <d v="2026-03-22T00:00:00"/>
    <x v="439"/>
    <x v="0"/>
    <s v="KHSE"/>
    <s v="utánpótlás"/>
    <s v="ifjúsági"/>
    <m/>
  </r>
  <r>
    <x v="3"/>
    <s v="3A"/>
    <n v="876"/>
    <s v="Kumite"/>
    <s v="Kumite, -, 50-55 kg, Ifjúsági (15-16"/>
    <x v="57"/>
    <s v="6"/>
    <s v="6 fős vegyes"/>
    <s v="2"/>
    <s v="Kiss Boglárka"/>
    <s v="Derecske BUDO"/>
    <s v="HUN"/>
    <n v="6"/>
    <m/>
    <s v="Szigetszentmiklós"/>
    <d v="2026-03-22T00:00:00"/>
    <x v="440"/>
    <x v="0"/>
    <s v="Derecske BUDO"/>
    <s v="utánpótlás"/>
    <s v="ifjúsági"/>
    <m/>
  </r>
  <r>
    <x v="3"/>
    <s v="3A"/>
    <n v="877"/>
    <s v="Kumite"/>
    <s v="Kumite, -, 50-55 kg, Ifjúsági (15-16"/>
    <x v="57"/>
    <s v="6"/>
    <s v="6 fős vegyes"/>
    <s v="3"/>
    <s v="Serfőző Lia Zoé"/>
    <s v="Castrum"/>
    <s v="HUN"/>
    <n v="4"/>
    <m/>
    <s v="Szigetszentmiklós"/>
    <d v="2026-03-22T00:00:00"/>
    <x v="251"/>
    <x v="0"/>
    <s v="Castrum"/>
    <s v="utánpótlás"/>
    <s v="ifjúsági"/>
    <m/>
  </r>
  <r>
    <x v="3"/>
    <s v="3A"/>
    <n v="878"/>
    <s v="Kumite"/>
    <s v="Kumite, -, 50-55 kg, Ifjúsági (15-16"/>
    <x v="57"/>
    <s v="6"/>
    <s v="6 fős vegyes"/>
    <s v="4"/>
    <s v="Ható Amanda"/>
    <s v="Rakurai"/>
    <s v="HUN"/>
    <n v="0"/>
    <m/>
    <s v="Szigetszentmiklós"/>
    <d v="2026-03-22T00:00:00"/>
    <x v="253"/>
    <x v="0"/>
    <s v="Rakurai"/>
    <s v="utánpótlás"/>
    <s v="ifjúsági"/>
    <m/>
  </r>
  <r>
    <x v="3"/>
    <s v="3A"/>
    <n v="879"/>
    <s v="Kumite"/>
    <s v="Kumite, -, 50-55 kg, Ifjúsági (15-16"/>
    <x v="57"/>
    <s v="6"/>
    <s v="6 fős vegyes"/>
    <s v="5"/>
    <s v="Bognár Judit"/>
    <s v="Castrum"/>
    <s v="HUN"/>
    <n v="0"/>
    <m/>
    <s v="Szigetszentmiklós"/>
    <d v="2026-03-22T00:00:00"/>
    <x v="252"/>
    <x v="0"/>
    <s v="Castrum"/>
    <s v="utánpótlás"/>
    <s v="ifjúsági"/>
    <m/>
  </r>
  <r>
    <x v="3"/>
    <s v="3A"/>
    <n v="880"/>
    <s v="Kumite"/>
    <s v="Kumite, -, 50-55 kg, Ifjúsági (15-16"/>
    <x v="57"/>
    <s v="6"/>
    <s v="6 fős vegyes"/>
    <s v="6"/>
    <s v="Karap Anna"/>
    <s v="Shogun"/>
    <s v="HUN"/>
    <n v="0"/>
    <m/>
    <s v="Szigetszentmiklós"/>
    <d v="2026-03-22T00:00:00"/>
    <x v="441"/>
    <x v="0"/>
    <s v="Shogun"/>
    <s v="utánpótlás"/>
    <s v="ifjúsági"/>
    <m/>
  </r>
  <r>
    <x v="3"/>
    <s v="3A"/>
    <n v="881"/>
    <s v="Kumite"/>
    <s v="Kumite, -, 55-60 kg, Ifjúsági (15-16"/>
    <x v="58"/>
    <s v="6"/>
    <s v="6 fős vegyes"/>
    <s v="1"/>
    <s v="Zsin Zsófia"/>
    <s v="BHMSE"/>
    <s v="HUN"/>
    <n v="8"/>
    <m/>
    <s v="Szigetszentmiklós"/>
    <d v="2026-03-22T00:00:00"/>
    <x v="514"/>
    <x v="0"/>
    <s v="BHMSE"/>
    <s v="utánpótlás"/>
    <s v="ifjúsági"/>
    <m/>
  </r>
  <r>
    <x v="3"/>
    <s v="3A"/>
    <n v="882"/>
    <s v="Kumite"/>
    <s v="Kumite, -, 55-60 kg, Ifjúsági (15-16"/>
    <x v="58"/>
    <s v="6"/>
    <s v="6 fős vegyes"/>
    <s v="2"/>
    <s v="Demeter Zsófia"/>
    <s v="WARRIORS TEAM"/>
    <s v="HUN"/>
    <n v="6"/>
    <m/>
    <s v="Szigetszentmiklós"/>
    <d v="2026-03-22T00:00:00"/>
    <x v="256"/>
    <x v="0"/>
    <s v="WARRIORS TEAM"/>
    <s v="utánpótlás"/>
    <s v="ifjúsági"/>
    <m/>
  </r>
  <r>
    <x v="3"/>
    <s v="3A"/>
    <n v="883"/>
    <s v="Kumite"/>
    <s v="Kumite, -, 55-60 kg, Ifjúsági (15-16"/>
    <x v="58"/>
    <s v="6"/>
    <s v="6 fős vegyes"/>
    <s v="3"/>
    <s v="Lukács Éva"/>
    <s v="VTSE"/>
    <s v="HUN"/>
    <n v="4"/>
    <m/>
    <s v="Szigetszentmiklós"/>
    <d v="2026-03-22T00:00:00"/>
    <x v="254"/>
    <x v="1"/>
    <s v="VTSE"/>
    <s v="utánpótlás"/>
    <s v="ifjúsági"/>
    <m/>
  </r>
  <r>
    <x v="3"/>
    <s v="3A"/>
    <n v="884"/>
    <s v="Kumite"/>
    <s v="Kumite, -, 55-60 kg, Ifjúsági (15-16"/>
    <x v="58"/>
    <s v="6"/>
    <s v="6 fős vegyes"/>
    <s v="4"/>
    <s v="Magyar Viktória"/>
    <s v="KYO Fighter SE"/>
    <s v="HUN"/>
    <n v="0"/>
    <m/>
    <s v="Szigetszentmiklós"/>
    <d v="2026-03-22T00:00:00"/>
    <x v="515"/>
    <x v="0"/>
    <s v="KYO Fighter SE"/>
    <s v="utánpótlás"/>
    <s v="ifjúsági"/>
    <m/>
  </r>
  <r>
    <x v="3"/>
    <s v="3A"/>
    <n v="885"/>
    <s v="Kumite"/>
    <s v="Kumite, -, 55-60 kg, Ifjúsági (15-16"/>
    <x v="58"/>
    <s v="6"/>
    <s v="6 fős vegyes"/>
    <s v="5"/>
    <s v="Hanics Luca"/>
    <s v="Főnix Dojo"/>
    <s v="HUN"/>
    <n v="0"/>
    <m/>
    <s v="Szigetszentmiklós"/>
    <d v="2026-03-22T00:00:00"/>
    <x v="516"/>
    <x v="0"/>
    <s v="Főnix Dojo"/>
    <s v="utánpótlás"/>
    <s v="ifjúsági"/>
    <m/>
  </r>
  <r>
    <x v="3"/>
    <s v="3A"/>
    <n v="886"/>
    <s v="Kumite"/>
    <s v="Kumite, -, 55-60 kg, Ifjúsági (15-16"/>
    <x v="58"/>
    <s v="6"/>
    <s v="6 fős vegyes"/>
    <s v="6"/>
    <s v="Timár Alíz"/>
    <s v="BHMSE"/>
    <s v="HUN"/>
    <n v="0"/>
    <m/>
    <s v="Szigetszentmiklós"/>
    <d v="2026-03-22T00:00:00"/>
    <x v="263"/>
    <x v="0"/>
    <s v="BHMSE"/>
    <s v="utánpótlás"/>
    <s v="ifjúsági"/>
    <m/>
  </r>
  <r>
    <x v="3"/>
    <s v="3A"/>
    <n v="887"/>
    <s v="Kumite"/>
    <s v="Kumite, -, 60-65 kg, Ifjúsági (15-16"/>
    <x v="71"/>
    <s v="5"/>
    <s v="5 fős körmérkőzés"/>
    <s v="1"/>
    <s v="Pénzes Zsófia"/>
    <s v="KHSE"/>
    <s v="HUN"/>
    <n v="10"/>
    <m/>
    <s v="Szigetszentmiklós"/>
    <d v="2026-03-22T00:00:00"/>
    <x v="442"/>
    <x v="0"/>
    <s v="KHSE"/>
    <s v="utánpótlás"/>
    <s v="ifjúsági"/>
    <m/>
  </r>
  <r>
    <x v="3"/>
    <s v="3A"/>
    <n v="888"/>
    <s v="Kumite"/>
    <s v="Kumite, -, 60-65 kg, Ifjúsági (15-16"/>
    <x v="71"/>
    <s v="5"/>
    <s v="5 fős körmérkőzés"/>
    <s v="2"/>
    <s v="Albert Szilvia Cintia"/>
    <s v="Derecske BUDO"/>
    <s v="HUN"/>
    <n v="8"/>
    <m/>
    <s v="Szigetszentmiklós"/>
    <d v="2026-03-22T00:00:00"/>
    <x v="443"/>
    <x v="0"/>
    <s v="Derecske BUDO"/>
    <s v="utánpótlás"/>
    <s v="ifjúsági"/>
    <m/>
  </r>
  <r>
    <x v="3"/>
    <s v="3A"/>
    <n v="889"/>
    <s v="Kumite"/>
    <s v="Kumite, -, 60-65 kg, Ifjúsági (15-16"/>
    <x v="71"/>
    <s v="5"/>
    <s v="5 fős körmérkőzés"/>
    <s v="3"/>
    <s v="Barna Emese Nikolett"/>
    <s v="Bendiák Dojo"/>
    <s v="HUN"/>
    <n v="6"/>
    <m/>
    <s v="Szigetszentmiklós"/>
    <d v="2026-03-22T00:00:00"/>
    <x v="444"/>
    <x v="0"/>
    <s v="Bendiák Dojo"/>
    <s v="utánpótlás"/>
    <s v="ifjúsági"/>
    <m/>
  </r>
  <r>
    <x v="3"/>
    <s v="3A"/>
    <n v="890"/>
    <s v="Kumite"/>
    <s v="Kumite, -, 60-65 kg, Ifjúsági (15-16"/>
    <x v="71"/>
    <s v="5"/>
    <s v="5 fős körmérkőzés"/>
    <s v="4"/>
    <s v="Harsányi Tímea"/>
    <s v="Kelemen-Team"/>
    <s v="HUN"/>
    <n v="4"/>
    <m/>
    <s v="Szigetszentmiklós"/>
    <d v="2026-03-22T00:00:00"/>
    <x v="445"/>
    <x v="0"/>
    <s v="Kelemen-Team"/>
    <s v="utánpótlás"/>
    <s v="ifjúsági"/>
    <m/>
  </r>
  <r>
    <x v="3"/>
    <s v="3A"/>
    <n v="891"/>
    <s v="Kumite"/>
    <s v="Kumite, -, 60-65 kg, Ifjúsági (15-16"/>
    <x v="71"/>
    <s v="5"/>
    <s v="5 fős körmérkőzés"/>
    <s v="5"/>
    <s v="Bognár Boglárka"/>
    <s v="Rakurai"/>
    <s v="HUN"/>
    <n v="0"/>
    <m/>
    <s v="Szigetszentmiklós"/>
    <d v="2026-03-22T00:00:00"/>
    <x v="255"/>
    <x v="0"/>
    <s v="Rakurai"/>
    <s v="utánpótlás"/>
    <s v="ifjúsági"/>
    <m/>
  </r>
  <r>
    <x v="3"/>
    <s v="3A"/>
    <n v="892"/>
    <s v="Kumite"/>
    <s v="Kumite, -, 65-200 kg, Ifjúsági (15-16"/>
    <x v="59"/>
    <s v="5"/>
    <s v="5 fős körmérkőzés"/>
    <s v="1"/>
    <s v="Csonka Kata"/>
    <s v="Kamikaze S"/>
    <s v="HUN"/>
    <n v="10"/>
    <m/>
    <s v="Szigetszentmiklós"/>
    <d v="2026-03-22T00:00:00"/>
    <x v="257"/>
    <x v="0"/>
    <s v="Kamikaze S"/>
    <s v="utánpótlás"/>
    <s v="ifjúsági"/>
    <m/>
  </r>
  <r>
    <x v="3"/>
    <s v="3A"/>
    <n v="893"/>
    <s v="Kumite"/>
    <s v="Kumite, -, 65-200 kg, Ifjúsági (15-16"/>
    <x v="59"/>
    <s v="5"/>
    <s v="5 fős körmérkőzés"/>
    <s v="2"/>
    <s v="Soós Flóra"/>
    <s v="Nagykátai Bushido SE"/>
    <s v="HUN"/>
    <n v="8"/>
    <m/>
    <s v="Szigetszentmiklós"/>
    <d v="2026-03-22T00:00:00"/>
    <x v="517"/>
    <x v="0"/>
    <s v="Nagykátai Bushido SE"/>
    <s v="utánpótlás"/>
    <s v="ifjúsági"/>
    <m/>
  </r>
  <r>
    <x v="3"/>
    <s v="3A"/>
    <n v="894"/>
    <s v="Kumite"/>
    <s v="Kumite, -, 65-200 kg, Ifjúsági (15-16"/>
    <x v="59"/>
    <s v="5"/>
    <s v="5 fős körmérkőzés"/>
    <s v="3"/>
    <s v="Bartha Zsuzsanna"/>
    <s v="BHMSE"/>
    <s v="HUN"/>
    <n v="6"/>
    <m/>
    <s v="Szigetszentmiklós"/>
    <d v="2026-03-22T00:00:00"/>
    <x v="260"/>
    <x v="0"/>
    <s v="BHMSE"/>
    <s v="utánpótlás"/>
    <s v="ifjúsági"/>
    <m/>
  </r>
  <r>
    <x v="3"/>
    <s v="3A"/>
    <n v="895"/>
    <s v="Kumite"/>
    <s v="Kumite, -, 65-200 kg, Ifjúsági (15-16"/>
    <x v="59"/>
    <s v="5"/>
    <s v="5 fős körmérkőzés"/>
    <s v="4"/>
    <s v="Komondi Veronika Nilla"/>
    <s v="Keszth.KKK"/>
    <s v="HUN"/>
    <n v="4"/>
    <m/>
    <s v="Szigetszentmiklós"/>
    <d v="2026-03-22T00:00:00"/>
    <x v="259"/>
    <x v="0"/>
    <s v="Keszth.KKK"/>
    <s v="utánpótlás"/>
    <s v="ifjúsági"/>
    <m/>
  </r>
  <r>
    <x v="3"/>
    <s v="3A"/>
    <n v="896"/>
    <s v="Kumite"/>
    <s v="Kumite, -, 65-200 kg, Ifjúsági (15-16"/>
    <x v="59"/>
    <s v="5"/>
    <s v="5 fős körmérkőzés"/>
    <s v="5"/>
    <s v="Szalai Kitti"/>
    <s v="Griff SE"/>
    <s v="HUN"/>
    <n v="0"/>
    <m/>
    <s v="Szigetszentmiklós"/>
    <d v="2026-03-22T00:00:00"/>
    <x v="258"/>
    <x v="0"/>
    <s v="Griff SE"/>
    <s v="utánpótlás"/>
    <s v="ifjúsági"/>
    <m/>
  </r>
  <r>
    <x v="3"/>
    <s v="3A"/>
    <n v="897"/>
    <s v="Kata"/>
    <s v="Kata, -, 0-160 kg, Ifjúsági (15-16"/>
    <x v="60"/>
    <s v="11"/>
    <s v="16 fős egyenes kiesés + 3. hely"/>
    <s v="1"/>
    <s v="Uszkai Flóra"/>
    <s v="Shogun"/>
    <s v="HUN"/>
    <n v="8"/>
    <s v="11 fő esetén: 1-7 helyezett"/>
    <s v="Szigetszentmiklós"/>
    <d v="2026-03-22T00:00:00"/>
    <x v="447"/>
    <x v="0"/>
    <s v="Shogun"/>
    <s v="utánpótlás"/>
    <s v="ifjúsági"/>
    <m/>
  </r>
  <r>
    <x v="3"/>
    <s v="3A"/>
    <n v="898"/>
    <s v="Kata"/>
    <s v="Kata, -, 0-160 kg, Ifjúsági (15-16"/>
    <x v="60"/>
    <s v="11"/>
    <s v="16 fős egyenes kiesés + 3. hely"/>
    <s v="2"/>
    <s v="Kovács Anna"/>
    <s v="Kisvárda KKDOSC"/>
    <s v="HUN"/>
    <n v="6"/>
    <s v="11 fő esetén: 1-7 helyezett"/>
    <s v="Szigetszentmiklós"/>
    <d v="2026-03-22T00:00:00"/>
    <x v="446"/>
    <x v="0"/>
    <s v="Kisvárda KKDOSC"/>
    <s v="utánpótlás"/>
    <s v="ifjúsági"/>
    <m/>
  </r>
  <r>
    <x v="3"/>
    <s v="3A"/>
    <n v="899"/>
    <s v="Kata"/>
    <s v="Kata, -, 0-160 kg, Ifjúsági (15-16"/>
    <x v="60"/>
    <s v="11"/>
    <s v="16 fős egyenes kiesés + 3. hely"/>
    <s v="3"/>
    <s v="Böcskey Emese "/>
    <s v="Nagy Sándor Dojo"/>
    <s v="HUN"/>
    <n v="4"/>
    <s v="11 fő esetén: 1-7 helyezett"/>
    <s v="Szigetszentmiklós"/>
    <d v="2026-03-22T00:00:00"/>
    <x v="248"/>
    <x v="1"/>
    <s v="Nagy Sándor Dojo"/>
    <s v="utánpótlás"/>
    <s v="ifjúsági"/>
    <m/>
  </r>
  <r>
    <x v="3"/>
    <s v="3A"/>
    <n v="900"/>
    <s v="Kata"/>
    <s v="Kata, -, 0-160 kg, Ifjúsági (15-16"/>
    <x v="60"/>
    <s v="11"/>
    <s v="16 fős egyenes kiesés + 3. hely"/>
    <s v="4"/>
    <s v="Nagy Hanna Míra"/>
    <s v="Genbu dojo"/>
    <s v="HUN"/>
    <n v="3"/>
    <s v="11 fő esetén: 1-7 helyezett"/>
    <s v="Szigetszentmiklós"/>
    <d v="2026-03-22T00:00:00"/>
    <x v="261"/>
    <x v="1"/>
    <s v="Genbu dojo"/>
    <s v="utánpótlás"/>
    <s v="ifjúsági"/>
    <m/>
  </r>
  <r>
    <x v="3"/>
    <s v="3A"/>
    <n v="901"/>
    <s v="Kata"/>
    <s v="Kata, -, 0-160 kg, Ifjúsági (15-16"/>
    <x v="60"/>
    <s v="11"/>
    <s v="16 fős egyenes kiesés + 3. hely"/>
    <s v="5"/>
    <s v="Aranyosi Nikolett"/>
    <s v="KSE Tarján"/>
    <s v="HUN"/>
    <n v="2"/>
    <s v="11 fő esetén: 1-7 helyezett"/>
    <s v="Szigetszentmiklós"/>
    <d v="2026-03-22T00:00:00"/>
    <x v="250"/>
    <x v="0"/>
    <s v="KSE Tarján"/>
    <s v="utánpótlás"/>
    <s v="ifjúsági"/>
    <m/>
  </r>
  <r>
    <x v="3"/>
    <s v="3A"/>
    <n v="902"/>
    <s v="Kata"/>
    <s v="Kata, -, 0-160 kg, Ifjúsági (15-16"/>
    <x v="60"/>
    <s v="11"/>
    <s v="16 fős egyenes kiesés + 3. hely"/>
    <s v="6"/>
    <s v="Czakó Natália"/>
    <s v="Nagykátai Bushido SE"/>
    <s v="HUN"/>
    <n v="2"/>
    <s v="11 fő esetén: 1-7 helyezett"/>
    <s v="Szigetszentmiklós"/>
    <d v="2026-03-22T00:00:00"/>
    <x v="262"/>
    <x v="0"/>
    <s v="Nagykátai Bushido SE"/>
    <s v="utánpótlás"/>
    <s v="ifjúsági"/>
    <m/>
  </r>
  <r>
    <x v="3"/>
    <s v="3A"/>
    <n v="904"/>
    <s v="Kata"/>
    <s v="Kata, -, 0-160 kg, Ifjúsági (15-16"/>
    <x v="60"/>
    <s v="11"/>
    <s v="16 fős egyenes kiesés + 3. hely"/>
    <n v="7"/>
    <s v="Karap Anna"/>
    <s v="Shogun"/>
    <s v="HUN"/>
    <n v="2"/>
    <s v="11 fő esetén: 1-7 helyezett"/>
    <s v="Szigetszentmiklós"/>
    <d v="2026-03-22T00:00:00"/>
    <x v="441"/>
    <x v="0"/>
    <s v="Shogun"/>
    <s v="utánpótlás"/>
    <s v="ifjúsági"/>
    <m/>
  </r>
  <r>
    <x v="3"/>
    <s v="3A"/>
    <n v="903"/>
    <s v="Kata"/>
    <s v="Kata, -, 0-160 kg, Ifjúsági (15-16"/>
    <x v="60"/>
    <s v="11"/>
    <s v="16 fős egyenes kiesés + 3. hely"/>
    <n v="8"/>
    <s v="Sülyi Luca"/>
    <s v="Főnix Dojo"/>
    <s v="HUN"/>
    <n v="0"/>
    <s v="11 fő esetén: 1-7 helyezett"/>
    <s v="Szigetszentmiklós"/>
    <d v="2026-03-22T00:00:00"/>
    <x v="249"/>
    <x v="0"/>
    <s v="Főnix Dojo"/>
    <s v="utánpótlás"/>
    <s v="ifjúsági"/>
    <m/>
  </r>
  <r>
    <x v="3"/>
    <s v="3A"/>
    <n v="905"/>
    <s v="Kata"/>
    <s v="Kata, -, 0-160 kg, Ifjúsági (15-16"/>
    <x v="60"/>
    <s v="11"/>
    <s v="16 fős egyenes kiesés + 3. hely"/>
    <s v="11-16"/>
    <s v="Princz Anna"/>
    <s v="ARSC"/>
    <s v="HUN"/>
    <n v="0"/>
    <s v="11 fő esetén: 1-7 helyezett"/>
    <s v="Szigetszentmiklós"/>
    <d v="2026-03-22T00:00:00"/>
    <x v="265"/>
    <x v="0"/>
    <s v="ARSC"/>
    <s v="utánpótlás"/>
    <s v="ifjúsági"/>
    <m/>
  </r>
  <r>
    <x v="3"/>
    <s v="3A"/>
    <n v="906"/>
    <s v="Kata"/>
    <s v="Kata, -, 0-160 kg, Ifjúsági (15-16"/>
    <x v="60"/>
    <s v="11"/>
    <s v="16 fős egyenes kiesés + 3. hely"/>
    <s v="11-16"/>
    <s v="Timár Alíz"/>
    <s v="BHMSE"/>
    <s v="HUN"/>
    <n v="0"/>
    <s v="11 fő esetén: 1-7 helyezett"/>
    <s v="Szigetszentmiklós"/>
    <d v="2026-03-22T00:00:00"/>
    <x v="263"/>
    <x v="0"/>
    <s v="BHMSE"/>
    <s v="utánpótlás"/>
    <s v="ifjúsági"/>
    <m/>
  </r>
  <r>
    <x v="3"/>
    <s v="3A"/>
    <n v="907"/>
    <s v="Kata"/>
    <s v="Kata, -, 0-160 kg, Ifjúsági (15-16"/>
    <x v="60"/>
    <s v="11"/>
    <s v="16 fős egyenes kiesés + 3. hely"/>
    <s v="11-16"/>
    <s v="Berényi Lina Boróka"/>
    <s v="Kagami"/>
    <s v="HUN"/>
    <n v="0"/>
    <s v="11 fő esetén: 1-7 helyezett"/>
    <s v="Szigetszentmiklós"/>
    <d v="2026-03-22T00:00:00"/>
    <x v="448"/>
    <x v="0"/>
    <s v="Kagami"/>
    <s v="utánpótlás"/>
    <s v="ifjúsági"/>
    <m/>
  </r>
  <r>
    <x v="3"/>
    <s v="3A"/>
    <n v="908"/>
    <s v="Kumite"/>
    <s v="Kumite, -, 0-60 kg, Junior DOL (17-19"/>
    <x v="72"/>
    <s v="3"/>
    <s v="3 fős körmérkőzés"/>
    <s v="1"/>
    <s v="Nagy Péter"/>
    <s v="KHSE"/>
    <s v="HUN"/>
    <n v="6"/>
    <m/>
    <s v="Szigetszentmiklós"/>
    <d v="2026-03-22T00:00:00"/>
    <x v="449"/>
    <x v="0"/>
    <s v="KHSE"/>
    <s v="utánpótlás"/>
    <s v="junior"/>
    <m/>
  </r>
  <r>
    <x v="3"/>
    <s v="3A"/>
    <n v="909"/>
    <s v="Kumite"/>
    <s v="Kumite, -, 0-60 kg, Junior DOL (17-19"/>
    <x v="72"/>
    <s v="3"/>
    <s v="3 fős körmérkőzés"/>
    <s v="2"/>
    <s v="Rimóczi Alex Benedek"/>
    <s v="Nozomu Dojo"/>
    <s v="HUN"/>
    <n v="4"/>
    <m/>
    <s v="Szigetszentmiklós"/>
    <d v="2026-03-22T00:00:00"/>
    <x v="450"/>
    <x v="0"/>
    <s v="Nozomu Dojo"/>
    <s v="utánpótlás"/>
    <s v="junior"/>
    <m/>
  </r>
  <r>
    <x v="3"/>
    <s v="3A"/>
    <n v="910"/>
    <s v="Kumite"/>
    <s v="Kumite, -, 0-60 kg, Junior DOL (17-19"/>
    <x v="72"/>
    <s v="3"/>
    <s v="3 fős körmérkőzés"/>
    <s v="3"/>
    <s v="Bíró Krisztián"/>
    <s v="Főnix Dojo"/>
    <s v="HUN"/>
    <n v="0"/>
    <m/>
    <s v="Szigetszentmiklós"/>
    <d v="2026-03-22T00:00:00"/>
    <x v="518"/>
    <x v="0"/>
    <s v="Főnix Dojo"/>
    <s v="utánpótlás"/>
    <s v="junior"/>
    <m/>
  </r>
  <r>
    <x v="3"/>
    <s v="3A"/>
    <n v="911"/>
    <s v="Kumite"/>
    <s v="Kumite, -, 60-65 kg, Junior DOL (17-19"/>
    <x v="61"/>
    <s v="7"/>
    <s v="8 fős egyenes kiesés + 3. hely"/>
    <s v="1"/>
    <s v="Szabó Ákos Roland"/>
    <s v="KHSE"/>
    <s v="HUN"/>
    <n v="8"/>
    <m/>
    <s v="Szigetszentmiklós"/>
    <d v="2026-03-22T00:00:00"/>
    <x v="452"/>
    <x v="0"/>
    <s v="KHSE"/>
    <s v="utánpótlás"/>
    <s v="junior"/>
    <m/>
  </r>
  <r>
    <x v="3"/>
    <s v="3A"/>
    <n v="912"/>
    <s v="Kumite"/>
    <s v="Kumite, -, 60-65 kg, Junior DOL (17-19"/>
    <x v="61"/>
    <s v="7"/>
    <s v="8 fős egyenes kiesés + 3. hely"/>
    <s v="2"/>
    <s v="Bacskai Bence"/>
    <s v="KHSE"/>
    <s v="HUN"/>
    <n v="6"/>
    <m/>
    <s v="Szigetszentmiklós"/>
    <d v="2026-03-22T00:00:00"/>
    <x v="451"/>
    <x v="0"/>
    <s v="KHSE"/>
    <s v="utánpótlás"/>
    <s v="junior"/>
    <m/>
  </r>
  <r>
    <x v="3"/>
    <s v="3A"/>
    <n v="913"/>
    <s v="Kumite"/>
    <s v="Kumite, -, 60-65 kg, Junior DOL (17-19"/>
    <x v="61"/>
    <s v="7"/>
    <s v="8 fős egyenes kiesés + 3. hely"/>
    <s v="3"/>
    <s v="Danka Hunor"/>
    <s v="Nagykátai Bushido SE"/>
    <s v="HUN"/>
    <n v="4"/>
    <m/>
    <s v="Szigetszentmiklós"/>
    <d v="2026-03-22T00:00:00"/>
    <x v="267"/>
    <x v="0"/>
    <s v="Nagykátai Bushido SE"/>
    <s v="utánpótlás"/>
    <s v="junior"/>
    <m/>
  </r>
  <r>
    <x v="3"/>
    <s v="3A"/>
    <n v="914"/>
    <s v="Kumite"/>
    <s v="Kumite, -, 60-65 kg, Junior DOL (17-19"/>
    <x v="61"/>
    <s v="7"/>
    <s v="8 fős egyenes kiesés + 3. hely"/>
    <s v="4"/>
    <s v="Vincze Balázs"/>
    <s v="TADASHII "/>
    <s v="HUN"/>
    <n v="4"/>
    <m/>
    <s v="Szigetszentmiklós"/>
    <d v="2026-03-22T00:00:00"/>
    <x v="453"/>
    <x v="1"/>
    <s v="TADASHII "/>
    <s v="utánpótlás"/>
    <s v="junior"/>
    <m/>
  </r>
  <r>
    <x v="3"/>
    <s v="3A"/>
    <n v="915"/>
    <s v="Kumite"/>
    <s v="Kumite, -, 60-65 kg, Junior DOL (17-19"/>
    <x v="61"/>
    <s v="7"/>
    <s v="8 fős egyenes kiesés + 3. hely"/>
    <s v="5"/>
    <s v="Varga Tamás"/>
    <s v="Goukai KSE"/>
    <s v="HUN"/>
    <n v="0"/>
    <m/>
    <s v="Szigetszentmiklós"/>
    <d v="2026-03-22T00:00:00"/>
    <x v="270"/>
    <x v="0"/>
    <s v="Goukai KSE"/>
    <s v="utánpótlás"/>
    <s v="junior"/>
    <m/>
  </r>
  <r>
    <x v="3"/>
    <s v="3A"/>
    <n v="916"/>
    <s v="Kumite"/>
    <s v="Kumite, -, 60-65 kg, Junior DOL (17-19"/>
    <x v="61"/>
    <s v="7"/>
    <s v="8 fős egyenes kiesés + 3. hely"/>
    <s v="7-8"/>
    <s v="Balogh András Barnabás"/>
    <s v="Ippon KKSE"/>
    <s v="HUN"/>
    <n v="0"/>
    <m/>
    <s v="Szigetszentmiklós"/>
    <d v="2026-03-22T00:00:00"/>
    <x v="268"/>
    <x v="0"/>
    <s v="Ippon KKSE"/>
    <s v="utánpótlás"/>
    <s v="junior"/>
    <m/>
  </r>
  <r>
    <x v="3"/>
    <s v="3A"/>
    <n v="917"/>
    <s v="Kumite"/>
    <s v="Kumite, -, 60-65 kg, Junior DOL (17-19"/>
    <x v="61"/>
    <s v="7"/>
    <s v="8 fős egyenes kiesés + 3. hely"/>
    <s v="7-8"/>
    <s v="Kovácsay Gergely"/>
    <s v="Ippon KKSE"/>
    <s v="HUN"/>
    <n v="0"/>
    <m/>
    <s v="Szigetszentmiklós"/>
    <d v="2026-03-22T00:00:00"/>
    <x v="269"/>
    <x v="0"/>
    <s v="Ippon KKSE"/>
    <s v="utánpótlás"/>
    <s v="junior"/>
    <m/>
  </r>
  <r>
    <x v="3"/>
    <s v="3A"/>
    <n v="918"/>
    <s v="Kumite"/>
    <s v="Kumite, -, 65-70 kg, Junior DOL (17-19"/>
    <x v="62"/>
    <s v="8"/>
    <s v="8 fős egyenes kiesés"/>
    <s v="1"/>
    <s v="Böszörményi Gergő"/>
    <s v="Victory"/>
    <s v="HUN"/>
    <n v="8"/>
    <m/>
    <s v="Szigetszentmiklós"/>
    <d v="2026-03-22T00:00:00"/>
    <x v="454"/>
    <x v="0"/>
    <s v="Victory"/>
    <s v="utánpótlás"/>
    <s v="junior"/>
    <m/>
  </r>
  <r>
    <x v="3"/>
    <s v="3A"/>
    <n v="919"/>
    <s v="Kumite"/>
    <s v="Kumite, -, 65-70 kg, Junior DOL (17-19"/>
    <x v="62"/>
    <s v="8"/>
    <s v="8 fős egyenes kiesés"/>
    <s v="2"/>
    <s v="Nagy Benedek"/>
    <s v="Tora HSE"/>
    <s v="HUN"/>
    <n v="6"/>
    <m/>
    <s v="Szigetszentmiklós"/>
    <d v="2026-03-22T00:00:00"/>
    <x v="272"/>
    <x v="1"/>
    <s v="Tora HSE"/>
    <s v="utánpótlás"/>
    <s v="junior"/>
    <m/>
  </r>
  <r>
    <x v="3"/>
    <s v="3A"/>
    <n v="920"/>
    <s v="Kumite"/>
    <s v="Kumite, -, 65-70 kg, Junior DOL (17-19"/>
    <x v="62"/>
    <s v="8"/>
    <s v="8 fős egyenes kiesés"/>
    <s v="3"/>
    <s v="Takács-Sárkány Csanád"/>
    <s v="KHSE"/>
    <s v="HUN"/>
    <n v="4"/>
    <m/>
    <s v="Szigetszentmiklós"/>
    <d v="2026-03-22T00:00:00"/>
    <x v="456"/>
    <x v="0"/>
    <s v="KHSE"/>
    <s v="utánpótlás"/>
    <s v="junior"/>
    <m/>
  </r>
  <r>
    <x v="3"/>
    <s v="3A"/>
    <n v="921"/>
    <s v="Kumite"/>
    <s v="Kumite, -, 65-70 kg, Junior DOL (17-19"/>
    <x v="62"/>
    <s v="8"/>
    <s v="8 fős egyenes kiesés"/>
    <s v="3"/>
    <s v="Szente Szabolcs"/>
    <s v="VTSE"/>
    <s v="HUN"/>
    <n v="4"/>
    <m/>
    <s v="Szigetszentmiklós"/>
    <d v="2026-03-22T00:00:00"/>
    <x v="271"/>
    <x v="1"/>
    <s v="VTSE"/>
    <s v="utánpótlás"/>
    <s v="junior"/>
    <m/>
  </r>
  <r>
    <x v="3"/>
    <s v="3A"/>
    <n v="978"/>
    <s v="Kumite"/>
    <s v="Kumite, -, 65-70 kg, Junior DOL (17-19"/>
    <x v="62"/>
    <s v="8"/>
    <s v="8 fős egyenes kiesés"/>
    <s v="5"/>
    <s v="Sebők Zsombor"/>
    <s v="Shogun"/>
    <s v="HUN"/>
    <n v="0"/>
    <m/>
    <s v="Szigetszentmiklós"/>
    <d v="2026-03-22T00:00:00"/>
    <x v="519"/>
    <x v="0"/>
    <s v="Shogun"/>
    <s v="utánpótlás"/>
    <s v="junior"/>
    <m/>
  </r>
  <r>
    <x v="3"/>
    <s v="3A"/>
    <n v="922"/>
    <s v="Kumite"/>
    <s v="Kumite, -, 65-70 kg, Junior DOL (17-19"/>
    <x v="62"/>
    <s v="8"/>
    <s v="8 fős egyenes kiesés"/>
    <s v="6"/>
    <s v="Kovács Levente"/>
    <s v="Nozomu Dojo"/>
    <s v="HUN"/>
    <n v="0"/>
    <m/>
    <s v="Szigetszentmiklós"/>
    <d v="2026-03-22T00:00:00"/>
    <x v="520"/>
    <x v="0"/>
    <s v="Nozomu Dojo"/>
    <s v="utánpótlás"/>
    <s v="junior"/>
    <m/>
  </r>
  <r>
    <x v="3"/>
    <s v="3A"/>
    <n v="923"/>
    <s v="Kumite"/>
    <s v="Kumite, -, 65-70 kg, Junior DOL (17-19"/>
    <x v="62"/>
    <s v="8"/>
    <s v="8 fős egyenes kiesés"/>
    <s v="7-8"/>
    <s v="Rád Balázs"/>
    <s v="Nintai KKSE"/>
    <s v="HUN"/>
    <n v="0"/>
    <m/>
    <s v="Szigetszentmiklós"/>
    <d v="2026-03-22T00:00:00"/>
    <x v="521"/>
    <x v="1"/>
    <s v="Nintai KKSE"/>
    <s v="utánpótlás"/>
    <s v="junior"/>
    <m/>
  </r>
  <r>
    <x v="3"/>
    <s v="3A"/>
    <n v="924"/>
    <s v="Kumite"/>
    <s v="Kumite, -, 65-70 kg, Junior DOL (17-19"/>
    <x v="62"/>
    <s v="8"/>
    <s v="8 fős egyenes kiesés"/>
    <s v="7-8"/>
    <s v="Földi Bence "/>
    <s v="Victory"/>
    <s v="HUN"/>
    <n v="0"/>
    <m/>
    <s v="Szigetszentmiklós"/>
    <d v="2026-03-22T00:00:00"/>
    <x v="455"/>
    <x v="0"/>
    <s v="Victory"/>
    <s v="utánpótlás"/>
    <s v="junior"/>
    <m/>
  </r>
  <r>
    <x v="3"/>
    <s v="3A"/>
    <n v="925"/>
    <s v="Kumite"/>
    <s v="Kumite, -, 70-75 kg, Junior DOL (17-19"/>
    <x v="73"/>
    <s v="8"/>
    <s v="8 fős egyenes kiesés + 3. hely"/>
    <s v="1"/>
    <s v="Földi Balázs"/>
    <s v="Victory"/>
    <s v="HUN"/>
    <n v="8"/>
    <m/>
    <s v="Szigetszentmiklós"/>
    <d v="2026-03-22T00:00:00"/>
    <x v="457"/>
    <x v="0"/>
    <s v="Victory"/>
    <s v="utánpótlás"/>
    <s v="junior"/>
    <m/>
  </r>
  <r>
    <x v="3"/>
    <s v="3A"/>
    <n v="926"/>
    <s v="Kumite"/>
    <s v="Kumite, -, 70-75 kg, Junior DOL (17-19"/>
    <x v="73"/>
    <s v="8"/>
    <s v="8 fős egyenes kiesés + 3. hely"/>
    <s v="2"/>
    <s v="Kiss Gábor"/>
    <s v="Victory"/>
    <s v="HUN"/>
    <n v="6"/>
    <m/>
    <s v="Szigetszentmiklós"/>
    <d v="2026-03-22T00:00:00"/>
    <x v="458"/>
    <x v="0"/>
    <s v="Victory"/>
    <s v="utánpótlás"/>
    <s v="junior"/>
    <m/>
  </r>
  <r>
    <x v="3"/>
    <s v="3A"/>
    <n v="927"/>
    <s v="Kumite"/>
    <s v="Kumite, -, 70-75 kg, Junior DOL (17-19"/>
    <x v="73"/>
    <s v="8"/>
    <s v="8 fős egyenes kiesés + 3. hely"/>
    <s v="4"/>
    <s v="Ferenczi Attila"/>
    <s v="VTSE"/>
    <s v="HUN"/>
    <n v="0"/>
    <m/>
    <s v="Szigetszentmiklós"/>
    <d v="2026-03-22T00:00:00"/>
    <x v="522"/>
    <x v="1"/>
    <s v="VTSE"/>
    <s v="utánpótlás"/>
    <s v="junior"/>
    <m/>
  </r>
  <r>
    <x v="3"/>
    <s v="3A"/>
    <n v="928"/>
    <s v="Kumite"/>
    <s v="Kumite, -, 70-75 kg, Junior DOL (17-19"/>
    <x v="73"/>
    <s v="8"/>
    <s v="8 fős egyenes kiesés + 3. hely"/>
    <s v="5"/>
    <s v="Vancsó Ákos"/>
    <s v="Bendiák Dojo"/>
    <s v="HUN"/>
    <n v="0"/>
    <m/>
    <s v="Szigetszentmiklós"/>
    <d v="2026-03-22T00:00:00"/>
    <x v="459"/>
    <x v="0"/>
    <s v="Bendiák Dojo"/>
    <s v="utánpótlás"/>
    <s v="junior"/>
    <m/>
  </r>
  <r>
    <x v="3"/>
    <s v="3A"/>
    <n v="929"/>
    <s v="Kumite"/>
    <s v="Kumite, -, 70-75 kg, Junior DOL (17-19"/>
    <x v="73"/>
    <s v="8"/>
    <s v="8 fős egyenes kiesés + 3. hely"/>
    <s v="6"/>
    <s v="Miskolczi Zalán"/>
    <s v="Kemecse SE"/>
    <s v="HUN"/>
    <n v="0"/>
    <m/>
    <s v="Szigetszentmiklós"/>
    <d v="2026-03-22T00:00:00"/>
    <x v="523"/>
    <x v="0"/>
    <s v="Kemecse SE"/>
    <s v="utánpótlás"/>
    <s v="junior"/>
    <m/>
  </r>
  <r>
    <x v="3"/>
    <s v="3A"/>
    <n v="930"/>
    <s v="Kumite"/>
    <s v="Kumite, -, 70-75 kg, Junior DOL (17-19"/>
    <x v="73"/>
    <s v="8"/>
    <s v="8 fős egyenes kiesés + 3. hely"/>
    <s v="7-8"/>
    <s v="Szabó Roland"/>
    <s v="WARRIORS TEAM"/>
    <s v="HUN"/>
    <n v="0"/>
    <m/>
    <s v="Szigetszentmiklós"/>
    <d v="2026-03-22T00:00:00"/>
    <x v="524"/>
    <x v="0"/>
    <s v="WARRIORS TEAM"/>
    <s v="utánpótlás"/>
    <s v="junior"/>
    <m/>
  </r>
  <r>
    <x v="3"/>
    <s v="3A"/>
    <n v="931"/>
    <s v="Kumite"/>
    <s v="Kumite, -, 70-75 kg, Junior DOL (17-19"/>
    <x v="73"/>
    <s v="8"/>
    <s v="8 fős egyenes kiesés + 3. hely"/>
    <s v="7-8"/>
    <s v="Csáti Bence Máté"/>
    <s v="Keizoku SE"/>
    <s v="HUN"/>
    <n v="0"/>
    <m/>
    <s v="Szigetszentmiklós"/>
    <d v="2026-03-22T00:00:00"/>
    <x v="525"/>
    <x v="0"/>
    <s v="Keizoku SE"/>
    <s v="utánpótlás"/>
    <s v="junior"/>
    <m/>
  </r>
  <r>
    <x v="3"/>
    <s v="3A"/>
    <n v="932"/>
    <s v="Kumite"/>
    <s v="Kumite, -, 75-80 kg, Junior DOL (17-19"/>
    <x v="74"/>
    <s v="4"/>
    <s v="4 fős körmérkőzés"/>
    <s v="1"/>
    <s v="Breznyiczki Barnabás"/>
    <s v="Nozomu Dojo"/>
    <s v="HUN"/>
    <n v="8"/>
    <m/>
    <s v="Szigetszentmiklós"/>
    <d v="2026-03-22T00:00:00"/>
    <x v="461"/>
    <x v="0"/>
    <s v="Nozomu Dojo"/>
    <s v="utánpótlás"/>
    <s v="junior"/>
    <m/>
  </r>
  <r>
    <x v="3"/>
    <s v="3A"/>
    <n v="933"/>
    <s v="Kumite"/>
    <s v="Kumite, -, 75-80 kg, Junior DOL (17-19"/>
    <x v="74"/>
    <s v="4"/>
    <s v="4 fős körmérkőzés"/>
    <s v="2"/>
    <s v="Bessenyei Csongor"/>
    <s v="Shogun"/>
    <s v="HUN"/>
    <n v="6"/>
    <m/>
    <s v="Szigetszentmiklós"/>
    <d v="2026-03-22T00:00:00"/>
    <x v="460"/>
    <x v="0"/>
    <s v="Shogun"/>
    <s v="utánpótlás"/>
    <s v="junior"/>
    <m/>
  </r>
  <r>
    <x v="3"/>
    <s v="3A"/>
    <n v="934"/>
    <s v="Kumite"/>
    <s v="Kumite, -, 75-80 kg, Junior DOL (17-19"/>
    <x v="74"/>
    <s v="4"/>
    <s v="4 fős körmérkőzés"/>
    <s v="3"/>
    <s v="Flaisz Róbert"/>
    <s v="TADASHII "/>
    <s v="HUN"/>
    <n v="4"/>
    <m/>
    <s v="Szigetszentmiklós"/>
    <d v="2026-03-22T00:00:00"/>
    <x v="462"/>
    <x v="1"/>
    <s v="TADASHII "/>
    <s v="utánpótlás"/>
    <s v="junior"/>
    <m/>
  </r>
  <r>
    <x v="3"/>
    <s v="3A"/>
    <n v="935"/>
    <s v="Kumite"/>
    <s v="Kumite, -, 75-80 kg, Junior DOL (17-19"/>
    <x v="74"/>
    <s v="4"/>
    <s v="4 fős körmérkőzés"/>
    <s v="4"/>
    <s v="Szabó István Balázs"/>
    <s v="KyoDabas SE."/>
    <s v="HUN"/>
    <n v="0"/>
    <m/>
    <s v="Szigetszentmiklós"/>
    <d v="2026-03-22T00:00:00"/>
    <x v="23"/>
    <x v="1"/>
    <s v="KyoDabas SE."/>
    <s v="utánpótlás"/>
    <s v="junior"/>
    <m/>
  </r>
  <r>
    <x v="3"/>
    <s v="3A"/>
    <n v="980"/>
    <s v="Kumite"/>
    <s v="Kumite, -, 80-200 kg, Junior DOL (17-19"/>
    <x v="63"/>
    <s v="7"/>
    <s v="8 fős egyenes kiesés"/>
    <s v="1"/>
    <s v="Spanjevic Dániel"/>
    <s v="BHMSE"/>
    <s v="HUN"/>
    <n v="8"/>
    <m/>
    <s v="Szigetszentmiklós"/>
    <d v="2026-03-22T00:00:00"/>
    <x v="282"/>
    <x v="0"/>
    <s v="BHMSE"/>
    <s v="utánpótlás"/>
    <s v="junior"/>
    <m/>
  </r>
  <r>
    <x v="3"/>
    <s v="3A"/>
    <n v="936"/>
    <s v="Kumite"/>
    <s v="Kumite, -, 80-200 kg, Junior DOL (17-19"/>
    <x v="63"/>
    <s v="7"/>
    <s v="8 fős egyenes kiesés"/>
    <s v="2"/>
    <s v="Csorba Kristóf"/>
    <s v="Shogun"/>
    <s v="HUN"/>
    <n v="6"/>
    <m/>
    <s v="Szigetszentmiklós"/>
    <d v="2026-03-22T00:00:00"/>
    <x v="463"/>
    <x v="0"/>
    <s v="Shogun"/>
    <s v="utánpótlás"/>
    <s v="junior"/>
    <m/>
  </r>
  <r>
    <x v="3"/>
    <s v="3A"/>
    <n v="937"/>
    <s v="Kumite"/>
    <s v="Kumite, -, 80-200 kg, Junior DOL (17-19"/>
    <x v="63"/>
    <s v="7"/>
    <s v="8 fős egyenes kiesés"/>
    <s v="3"/>
    <s v="Tengelics Márk"/>
    <s v="IKIGAI DOJO BÖRCS"/>
    <s v="HUN"/>
    <n v="4"/>
    <m/>
    <s v="Szigetszentmiklós"/>
    <d v="2026-03-22T00:00:00"/>
    <x v="273"/>
    <x v="1"/>
    <s v="IKIGAI DOJO BÖRCS"/>
    <s v="utánpótlás"/>
    <s v="junior"/>
    <m/>
  </r>
  <r>
    <x v="3"/>
    <s v="3A"/>
    <n v="938"/>
    <s v="Kumite"/>
    <s v="Kumite, -, 80-200 kg, Junior DOL (17-19"/>
    <x v="63"/>
    <s v="7"/>
    <s v="8 fős egyenes kiesés"/>
    <s v="3"/>
    <s v="Maklári Balázs"/>
    <s v="Kisvárda KKDOSC"/>
    <s v="HUN"/>
    <n v="4"/>
    <m/>
    <s v="Szigetszentmiklós"/>
    <d v="2026-03-22T00:00:00"/>
    <x v="465"/>
    <x v="0"/>
    <s v="Kisvárda KKDOSC"/>
    <s v="utánpótlás"/>
    <s v="junior"/>
    <m/>
  </r>
  <r>
    <x v="3"/>
    <s v="3A"/>
    <n v="939"/>
    <s v="Kumite"/>
    <s v="Kumite, -, 80-200 kg, Junior DOL (17-19"/>
    <x v="63"/>
    <s v="7"/>
    <s v="8 fős egyenes kiesés"/>
    <s v="5"/>
    <s v="Soós Viktor"/>
    <s v="Kisvárda KKDOSC"/>
    <s v="HUN"/>
    <n v="0"/>
    <m/>
    <s v="Szigetszentmiklós"/>
    <d v="2026-03-22T00:00:00"/>
    <x v="526"/>
    <x v="0"/>
    <s v="Kisvárda KKDOSC"/>
    <s v="utánpótlás"/>
    <s v="junior"/>
    <m/>
  </r>
  <r>
    <x v="3"/>
    <s v="3A"/>
    <n v="940"/>
    <s v="Kumite"/>
    <s v="Kumite, -, 80-200 kg, Junior DOL (17-19"/>
    <x v="63"/>
    <s v="7"/>
    <s v="8 fős egyenes kiesés"/>
    <s v="6"/>
    <s v="Kozó Flórián"/>
    <s v="Shinkyo SE"/>
    <s v="HUN"/>
    <n v="0"/>
    <m/>
    <s v="Szigetszentmiklós"/>
    <d v="2026-03-22T00:00:00"/>
    <x v="274"/>
    <x v="0"/>
    <s v="Shinkyo SE"/>
    <s v="utánpótlás"/>
    <s v="junior"/>
    <m/>
  </r>
  <r>
    <x v="3"/>
    <s v="3A"/>
    <n v="981"/>
    <s v="Kumite"/>
    <s v="Kumite, -, 80-200 kg, Junior DOL (17-19"/>
    <x v="63"/>
    <s v="7"/>
    <s v="8 fős egyenes kiesés"/>
    <s v="7-8"/>
    <s v="Sipos Árpád"/>
    <s v="KHSE"/>
    <s v="HUN"/>
    <n v="0"/>
    <m/>
    <s v="Szigetszentmiklós"/>
    <d v="2026-03-22T00:00:00"/>
    <x v="464"/>
    <x v="0"/>
    <s v="KHSE"/>
    <s v="utánpótlás"/>
    <s v="junior"/>
    <m/>
  </r>
  <r>
    <x v="3"/>
    <s v="3A"/>
    <n v="941"/>
    <s v="Kata"/>
    <s v="Kata, -, 0-170 kg, Junior DOL (17-19"/>
    <x v="64"/>
    <s v="9"/>
    <s v="16 fős egyenes kiesés + 3. hely"/>
    <s v="1"/>
    <s v="Bessenyei Csongor"/>
    <s v="Shogun"/>
    <s v="HUN"/>
    <n v="8"/>
    <s v="9 fő esetén: 1-5 helyezett"/>
    <s v="Szigetszentmiklós"/>
    <d v="2026-03-22T00:00:00"/>
    <x v="460"/>
    <x v="0"/>
    <s v="Shogun"/>
    <s v="utánpótlás"/>
    <s v="junior"/>
    <m/>
  </r>
  <r>
    <x v="3"/>
    <s v="3A"/>
    <n v="942"/>
    <s v="Kata"/>
    <s v="Kata, -, 0-170 kg, Junior DOL (17-19"/>
    <x v="64"/>
    <s v="9"/>
    <s v="16 fős egyenes kiesés + 3. hely"/>
    <s v="2"/>
    <s v="Terbócs Roland"/>
    <s v="Shogun"/>
    <s v="HUN"/>
    <n v="6"/>
    <s v="9 fő esetén: 1-5 helyezett"/>
    <s v="Szigetszentmiklós"/>
    <d v="2026-03-22T00:00:00"/>
    <x v="466"/>
    <x v="0"/>
    <s v="Shogun"/>
    <s v="utánpótlás"/>
    <s v="junior"/>
    <m/>
  </r>
  <r>
    <x v="3"/>
    <s v="3A"/>
    <n v="943"/>
    <s v="Kata"/>
    <s v="Kata, -, 0-170 kg, Junior DOL (17-19"/>
    <x v="64"/>
    <s v="9"/>
    <s v="16 fős egyenes kiesés + 3. hely"/>
    <s v="3"/>
    <s v="Vágó Márton"/>
    <s v="Shogun"/>
    <s v="HUN"/>
    <n v="4"/>
    <s v="9 fő esetén: 1-5 helyezett"/>
    <s v="Szigetszentmiklós"/>
    <d v="2026-03-22T00:00:00"/>
    <x v="467"/>
    <x v="0"/>
    <s v="Shogun"/>
    <s v="utánpótlás"/>
    <s v="junior"/>
    <m/>
  </r>
  <r>
    <x v="3"/>
    <s v="3A"/>
    <n v="944"/>
    <s v="Kata"/>
    <s v="Kata, -, 0-170 kg, Junior DOL (17-19"/>
    <x v="64"/>
    <s v="9"/>
    <s v="16 fős egyenes kiesés + 3. hely"/>
    <s v="4"/>
    <s v="Bűdy Sándor"/>
    <s v="BHMSE"/>
    <s v="HUN"/>
    <n v="3"/>
    <s v="9 fő esetén: 1-5 helyezett"/>
    <s v="Szigetszentmiklós"/>
    <d v="2026-03-22T00:00:00"/>
    <x v="275"/>
    <x v="0"/>
    <s v="BHMSE"/>
    <s v="utánpótlás"/>
    <s v="junior"/>
    <m/>
  </r>
  <r>
    <x v="3"/>
    <s v="3A"/>
    <n v="945"/>
    <s v="Kata"/>
    <s v="Kata, -, 0-170 kg, Junior DOL (17-19"/>
    <x v="64"/>
    <s v="9"/>
    <s v="16 fős egyenes kiesés + 3. hely"/>
    <s v="5"/>
    <s v="Kolonics Márk"/>
    <s v="TADASHII "/>
    <s v="HUN"/>
    <n v="2"/>
    <s v="9 fő esetén: 1-5 helyezett"/>
    <s v="Szigetszentmiklós"/>
    <d v="2026-03-22T00:00:00"/>
    <x v="468"/>
    <x v="1"/>
    <s v="TADASHII "/>
    <s v="utánpótlás"/>
    <s v="junior"/>
    <m/>
  </r>
  <r>
    <x v="3"/>
    <s v="3A"/>
    <n v="982"/>
    <s v="Kata"/>
    <s v="Kata, -, 0-170 kg, Junior DOL (17-19"/>
    <x v="64"/>
    <s v="9"/>
    <s v="16 fős egyenes kiesés + 3. hely"/>
    <s v="6"/>
    <s v="Magyar Botond"/>
    <s v="Nagy Sándor Dojo"/>
    <s v="HUN"/>
    <n v="0"/>
    <s v="9 fő esetén: 1-5 helyezett"/>
    <s v="Szigetszentmiklós"/>
    <d v="2026-03-22T00:00:00"/>
    <x v="276"/>
    <x v="1"/>
    <s v="Nagy Sándor Dojo"/>
    <s v="utánpótlás"/>
    <s v="junior"/>
    <m/>
  </r>
  <r>
    <x v="3"/>
    <s v="3A"/>
    <n v="946"/>
    <s v="Kata"/>
    <s v="Kata, -, 0-170 kg, Junior DOL (17-19"/>
    <x v="64"/>
    <s v="9"/>
    <s v="16 fős egyenes kiesés + 3. hely"/>
    <n v="7"/>
    <s v="Tengelics Márk"/>
    <s v="IKIGAI DOJO BÖRCS"/>
    <s v="HUN"/>
    <n v="0"/>
    <s v="9 fő esetén: 1-5 helyezett"/>
    <s v="Szigetszentmiklós"/>
    <d v="2026-03-22T00:00:00"/>
    <x v="273"/>
    <x v="1"/>
    <s v="IKIGAI DOJO BÖRCS"/>
    <s v="utánpótlás"/>
    <s v="junior"/>
    <m/>
  </r>
  <r>
    <x v="3"/>
    <s v="3A"/>
    <n v="983"/>
    <s v="Kata"/>
    <s v="Kata, -, 0-170 kg, Junior DOL (17-19"/>
    <x v="64"/>
    <s v="9"/>
    <s v="16 fős egyenes kiesés + 3. hely"/>
    <n v="8"/>
    <s v="Takács-Sárkány Zalán"/>
    <s v="KHSE"/>
    <s v="HUN"/>
    <n v="0"/>
    <s v="9 fő esetén: 1-5 helyezett"/>
    <s v="Szigetszentmiklós"/>
    <d v="2026-03-22T00:00:00"/>
    <x v="482"/>
    <x v="0"/>
    <s v="KHSE"/>
    <s v="utánpótlás"/>
    <s v="junior"/>
    <m/>
  </r>
  <r>
    <x v="3"/>
    <s v="3A"/>
    <n v="947"/>
    <s v="Kata"/>
    <s v="Kata, -, 0-170 kg, Junior DOL (17-19"/>
    <x v="64"/>
    <s v="9"/>
    <s v="16 fős egyenes kiesés + 3. hely"/>
    <n v="9"/>
    <s v="Kis Kevin Gyula"/>
    <s v="Borza Dojo"/>
    <s v="HUN"/>
    <n v="0"/>
    <s v="9 fő esetén: 1-5 helyezett"/>
    <s v="Szigetszentmiklós"/>
    <d v="2026-03-22T00:00:00"/>
    <x v="469"/>
    <x v="1"/>
    <s v="Borza Dojo"/>
    <s v="utánpótlás"/>
    <s v="junior"/>
    <m/>
  </r>
  <r>
    <x v="3"/>
    <s v="3A"/>
    <n v="948"/>
    <s v="Kumite"/>
    <s v="Kumite, -, 0-50 kg, Junior DOL (17-19"/>
    <x v="65"/>
    <s v="5"/>
    <s v="5 fős körmérkőzés"/>
    <s v="1"/>
    <s v="Fekete Csenge"/>
    <s v="Nozomu Dojo"/>
    <s v="HUN"/>
    <n v="10"/>
    <m/>
    <s v="Szigetszentmiklós"/>
    <d v="2026-03-22T00:00:00"/>
    <x v="470"/>
    <x v="0"/>
    <s v="Nozomu Dojo"/>
    <s v="utánpótlás"/>
    <s v="junior"/>
    <m/>
  </r>
  <r>
    <x v="3"/>
    <s v="3A"/>
    <n v="949"/>
    <s v="Kumite"/>
    <s v="Kumite, -, 0-50 kg, Junior DOL (17-19"/>
    <x v="65"/>
    <s v="5"/>
    <s v="5 fős körmérkőzés"/>
    <s v="2"/>
    <s v="Németh Panka"/>
    <s v="Cs.S.E."/>
    <s v="HUN"/>
    <n v="8"/>
    <m/>
    <s v="Szigetszentmiklós"/>
    <d v="2026-03-22T00:00:00"/>
    <x v="277"/>
    <x v="0"/>
    <s v="Cs.S.E."/>
    <s v="utánpótlás"/>
    <s v="junior"/>
    <m/>
  </r>
  <r>
    <x v="3"/>
    <s v="3A"/>
    <n v="950"/>
    <s v="Kumite"/>
    <s v="Kumite, -, 0-50 kg, Junior DOL (17-19"/>
    <x v="65"/>
    <s v="5"/>
    <s v="5 fős körmérkőzés"/>
    <s v="3"/>
    <s v="Bőzsöny Dorka"/>
    <s v="BHMSE"/>
    <s v="HUN"/>
    <n v="6"/>
    <m/>
    <s v="Szigetszentmiklós"/>
    <d v="2026-03-22T00:00:00"/>
    <x v="278"/>
    <x v="0"/>
    <s v="BHMSE"/>
    <s v="utánpótlás"/>
    <s v="junior"/>
    <m/>
  </r>
  <r>
    <x v="3"/>
    <s v="3A"/>
    <n v="951"/>
    <s v="Kumite"/>
    <s v="Kumite, -, 0-50 kg, Junior DOL (17-19"/>
    <x v="65"/>
    <s v="5"/>
    <s v="5 fős körmérkőzés"/>
    <s v="4"/>
    <s v="Egerszegi Rebeka"/>
    <s v="Főnix Dojo"/>
    <s v="HUN"/>
    <n v="4"/>
    <m/>
    <s v="Szigetszentmiklós"/>
    <d v="2026-03-22T00:00:00"/>
    <x v="279"/>
    <x v="0"/>
    <s v="Főnix Dojo"/>
    <s v="utánpótlás"/>
    <s v="junior"/>
    <m/>
  </r>
  <r>
    <x v="3"/>
    <s v="3A"/>
    <n v="952"/>
    <s v="Kumite"/>
    <s v="Kumite, -, 0-50 kg, Junior DOL (17-19"/>
    <x v="65"/>
    <s v="5"/>
    <s v="5 fős körmérkőzés"/>
    <s v="5"/>
    <s v="Szanics Boglárka"/>
    <s v="Shogun"/>
    <s v="HUN"/>
    <n v="0"/>
    <m/>
    <s v="Szigetszentmiklós"/>
    <d v="2026-03-22T00:00:00"/>
    <x v="471"/>
    <x v="0"/>
    <s v="Shogun"/>
    <s v="utánpótlás"/>
    <s v="junior"/>
    <m/>
  </r>
  <r>
    <x v="3"/>
    <s v="3A"/>
    <n v="953"/>
    <s v="Kumite"/>
    <s v="Kumite, -, 50-55 kg, Junior DOL (17-19"/>
    <x v="66"/>
    <s v="4"/>
    <s v="4 fős körmérkőzés"/>
    <s v="1"/>
    <s v="Ágoston Sára"/>
    <s v="KHSE"/>
    <s v="HUN"/>
    <n v="8"/>
    <m/>
    <s v="Szigetszentmiklós"/>
    <d v="2026-03-22T00:00:00"/>
    <x v="473"/>
    <x v="0"/>
    <s v="KHSE"/>
    <s v="utánpótlás"/>
    <s v="junior"/>
    <m/>
  </r>
  <r>
    <x v="3"/>
    <s v="3A"/>
    <n v="954"/>
    <s v="Kumite"/>
    <s v="Kumite, -, 50-55 kg, Junior DOL (17-19"/>
    <x v="66"/>
    <s v="4"/>
    <s v="4 fős körmérkőzés"/>
    <s v="2"/>
    <s v="Lukács Kamilla"/>
    <s v="Victory"/>
    <s v="HUN"/>
    <n v="6"/>
    <m/>
    <s v="Szigetszentmiklós"/>
    <d v="2026-03-22T00:00:00"/>
    <x v="472"/>
    <x v="0"/>
    <s v="Victory"/>
    <s v="utánpótlás"/>
    <s v="junior"/>
    <m/>
  </r>
  <r>
    <x v="3"/>
    <s v="3A"/>
    <n v="955"/>
    <s v="Kumite"/>
    <s v="Kumite, -, 50-55 kg, Junior DOL (17-19"/>
    <x v="66"/>
    <s v="4"/>
    <s v="4 fős körmérkőzés"/>
    <s v="3"/>
    <s v="Németh Virág"/>
    <s v="Castrum"/>
    <s v="HUN"/>
    <n v="4"/>
    <m/>
    <s v="Szigetszentmiklós"/>
    <d v="2026-03-22T00:00:00"/>
    <x v="280"/>
    <x v="0"/>
    <s v="Castrum"/>
    <s v="utánpótlás"/>
    <s v="junior"/>
    <m/>
  </r>
  <r>
    <x v="3"/>
    <s v="3A"/>
    <n v="956"/>
    <s v="Kumite"/>
    <s v="Kumite, -, 50-55 kg, Junior DOL (17-19"/>
    <x v="66"/>
    <s v="4"/>
    <s v="4 fős körmérkőzés"/>
    <s v="4"/>
    <s v="Finta Zelma"/>
    <s v="Rakurai"/>
    <s v="HUN"/>
    <n v="0"/>
    <m/>
    <s v="Szigetszentmiklós"/>
    <d v="2026-03-22T00:00:00"/>
    <x v="281"/>
    <x v="0"/>
    <s v="Rakurai"/>
    <s v="utánpótlás"/>
    <s v="junior"/>
    <m/>
  </r>
  <r>
    <x v="3"/>
    <s v="3A"/>
    <n v="957"/>
    <s v="Kumite"/>
    <s v="Kumite, -, 55-60 kg, Junior DOL (17-19"/>
    <x v="67"/>
    <s v="5"/>
    <s v="5 fős körmérkőzés"/>
    <s v="1"/>
    <s v="Reichert Jázmin "/>
    <s v="VTSE"/>
    <s v="HUN"/>
    <n v="10"/>
    <m/>
    <s v="Szigetszentmiklós"/>
    <d v="2026-03-22T00:00:00"/>
    <x v="283"/>
    <x v="1"/>
    <s v="VTSE"/>
    <s v="utánpótlás"/>
    <s v="junior"/>
    <m/>
  </r>
  <r>
    <x v="3"/>
    <s v="3A"/>
    <n v="958"/>
    <s v="Kumite"/>
    <s v="Kumite, -, 55-60 kg, Junior DOL (17-19"/>
    <x v="67"/>
    <s v="5"/>
    <s v="5 fős körmérkőzés"/>
    <s v="2"/>
    <s v="Bognár Luca"/>
    <s v="Rakurai"/>
    <s v="HUN"/>
    <n v="8"/>
    <m/>
    <s v="Szigetszentmiklós"/>
    <d v="2026-03-22T00:00:00"/>
    <x v="284"/>
    <x v="0"/>
    <s v="Rakurai"/>
    <s v="utánpótlás"/>
    <s v="junior"/>
    <m/>
  </r>
  <r>
    <x v="3"/>
    <s v="3A"/>
    <n v="959"/>
    <s v="Kumite"/>
    <s v="Kumite, -, 55-60 kg, Junior DOL (17-19"/>
    <x v="67"/>
    <s v="5"/>
    <s v="5 fős körmérkőzés"/>
    <s v="3"/>
    <s v="Orosz Dorina"/>
    <s v="Kemecse SE"/>
    <s v="HUN"/>
    <n v="6"/>
    <m/>
    <s v="Szigetszentmiklós"/>
    <d v="2026-03-22T00:00:00"/>
    <x v="474"/>
    <x v="0"/>
    <s v="Kemecse SE"/>
    <s v="utánpótlás"/>
    <s v="junior"/>
    <m/>
  </r>
  <r>
    <x v="3"/>
    <s v="3A"/>
    <n v="960"/>
    <s v="Kumite"/>
    <s v="Kumite, -, 55-60 kg, Junior DOL (17-19"/>
    <x v="67"/>
    <s v="5"/>
    <s v="5 fős körmérkőzés"/>
    <s v="4"/>
    <s v="Bíró Nóra"/>
    <s v="Főnix Dojo"/>
    <s v="HUN"/>
    <n v="4"/>
    <m/>
    <s v="Szigetszentmiklós"/>
    <d v="2026-03-22T00:00:00"/>
    <x v="527"/>
    <x v="0"/>
    <s v="Főnix Dojo"/>
    <s v="utánpótlás"/>
    <s v="junior"/>
    <m/>
  </r>
  <r>
    <x v="3"/>
    <s v="3A"/>
    <n v="961"/>
    <s v="Kumite"/>
    <s v="Kumite, -, 55-60 kg, Junior DOL (17-19"/>
    <x v="67"/>
    <s v="5"/>
    <s v="5 fős körmérkőzés"/>
    <s v="5"/>
    <s v="Gál Regina"/>
    <s v="Derecske BUDO"/>
    <s v="HUN"/>
    <n v="3"/>
    <m/>
    <s v="Szigetszentmiklós"/>
    <d v="2026-03-22T00:00:00"/>
    <x v="475"/>
    <x v="0"/>
    <s v="Derecske BUDO"/>
    <s v="utánpótlás"/>
    <s v="junior"/>
    <m/>
  </r>
  <r>
    <x v="3"/>
    <s v="3A"/>
    <n v="984"/>
    <s v="Kumite"/>
    <s v="Kumite, -, 60-65 kg, Junior DOL (17-19"/>
    <x v="68"/>
    <s v="7"/>
    <s v="8 fős egyenes kiesés"/>
    <s v="1"/>
    <s v="Rácz Viktória"/>
    <s v="Shogun"/>
    <s v="HUN"/>
    <n v="8"/>
    <m/>
    <s v="Szigetszentmiklós"/>
    <d v="2026-03-22T00:00:00"/>
    <x v="56"/>
    <x v="0"/>
    <s v="Shogun"/>
    <s v="utánpótlás"/>
    <s v="junior"/>
    <m/>
  </r>
  <r>
    <x v="3"/>
    <s v="3A"/>
    <n v="962"/>
    <s v="Kumite"/>
    <s v="Kumite, -, 60-65 kg, Junior DOL (17-19"/>
    <x v="68"/>
    <s v="7"/>
    <s v="8 fős egyenes kiesés"/>
    <s v="2"/>
    <s v="Szutor Anna"/>
    <s v="Shogun"/>
    <s v="HUN"/>
    <n v="6"/>
    <m/>
    <s v="Szigetszentmiklós"/>
    <d v="2026-03-22T00:00:00"/>
    <x v="477"/>
    <x v="0"/>
    <s v="Shogun"/>
    <s v="utánpótlás"/>
    <s v="junior"/>
    <m/>
  </r>
  <r>
    <x v="3"/>
    <s v="3A"/>
    <n v="963"/>
    <s v="Kumite"/>
    <s v="Kumite, -, 60-65 kg, Junior DOL (17-19"/>
    <x v="68"/>
    <s v="7"/>
    <s v="8 fős egyenes kiesés"/>
    <s v="3"/>
    <s v="Éles Léna Hanna"/>
    <s v="Victory"/>
    <s v="HUN"/>
    <n v="4"/>
    <m/>
    <s v="Szigetszentmiklós"/>
    <d v="2026-03-22T00:00:00"/>
    <x v="476"/>
    <x v="0"/>
    <s v="Victory"/>
    <s v="utánpótlás"/>
    <s v="junior"/>
    <m/>
  </r>
  <r>
    <x v="3"/>
    <s v="3A"/>
    <n v="985"/>
    <s v="Kumite"/>
    <s v="Kumite, -, 60-65 kg, Junior DOL (17-19"/>
    <x v="68"/>
    <s v="7"/>
    <s v="8 fős egyenes kiesés"/>
    <s v="3"/>
    <s v="Józsa Erika Réka"/>
    <s v="KHSE"/>
    <s v="HUN"/>
    <n v="4"/>
    <m/>
    <s v="Szigetszentmiklós"/>
    <d v="2026-03-22T00:00:00"/>
    <x v="51"/>
    <x v="0"/>
    <s v="KHSE"/>
    <s v="utánpótlás"/>
    <s v="junior"/>
    <m/>
  </r>
  <r>
    <x v="3"/>
    <s v="3A"/>
    <n v="964"/>
    <s v="Kumite"/>
    <s v="Kumite, -, 60-65 kg, Junior DOL (17-19"/>
    <x v="68"/>
    <s v="7"/>
    <s v="8 fős egyenes kiesés"/>
    <n v="6"/>
    <s v="Spanjevic Emma"/>
    <s v="BHMSE"/>
    <s v="HUN"/>
    <n v="0"/>
    <m/>
    <s v="Szigetszentmiklós"/>
    <d v="2026-03-22T00:00:00"/>
    <x v="286"/>
    <x v="0"/>
    <s v="BHMSE"/>
    <s v="utánpótlás"/>
    <s v="junior"/>
    <m/>
  </r>
  <r>
    <x v="3"/>
    <s v="3A"/>
    <n v="965"/>
    <s v="Kumite"/>
    <s v="Kumite, -, 60-65 kg, Junior DOL (17-19"/>
    <x v="68"/>
    <s v="7"/>
    <s v="8 fős egyenes kiesés"/>
    <s v="7-8"/>
    <s v="Fadgyas Eszter"/>
    <s v="Goukai KSE"/>
    <s v="HUN"/>
    <n v="0"/>
    <m/>
    <s v="Szigetszentmiklós"/>
    <d v="2026-03-22T00:00:00"/>
    <x v="287"/>
    <x v="0"/>
    <s v="Goukai KSE"/>
    <s v="utánpótlás"/>
    <s v="junior"/>
    <m/>
  </r>
  <r>
    <x v="3"/>
    <s v="3A"/>
    <n v="966"/>
    <s v="Kumite"/>
    <s v="Kumite, -, 60-65 kg, Junior DOL (17-19"/>
    <x v="68"/>
    <s v="7"/>
    <s v="8 fős egyenes kiesés"/>
    <s v="7-8"/>
    <s v="Lukács Eszter"/>
    <s v="VTSE"/>
    <s v="HUN"/>
    <n v="0"/>
    <m/>
    <s v="Szigetszentmiklós"/>
    <d v="2026-03-22T00:00:00"/>
    <x v="285"/>
    <x v="1"/>
    <s v="VTSE"/>
    <s v="utánpótlás"/>
    <s v="junior"/>
    <m/>
  </r>
  <r>
    <x v="3"/>
    <s v="3A"/>
    <n v="967"/>
    <s v="Kumite"/>
    <s v="Kumite, -, 65-199 kg, Junior DOL (17-19"/>
    <x v="75"/>
    <s v="3"/>
    <s v="3 fős körmérkőzés"/>
    <s v="1"/>
    <s v="Vórincsák Vivien"/>
    <s v="KHSE"/>
    <s v="HUN"/>
    <n v="6"/>
    <m/>
    <s v="Szigetszentmiklós"/>
    <d v="2026-03-22T00:00:00"/>
    <x v="479"/>
    <x v="0"/>
    <s v="KHSE"/>
    <s v="utánpótlás"/>
    <s v="junior"/>
    <m/>
  </r>
  <r>
    <x v="3"/>
    <s v="3A"/>
    <n v="968"/>
    <s v="Kumite"/>
    <s v="Kumite, -, 65-199 kg, Junior DOL (17-19"/>
    <x v="75"/>
    <s v="3"/>
    <s v="3 fős körmérkőzés"/>
    <s v="2"/>
    <s v="Ecsedi Réka"/>
    <s v="KHSE"/>
    <s v="HUN"/>
    <n v="4"/>
    <m/>
    <s v="Szigetszentmiklós"/>
    <d v="2026-03-22T00:00:00"/>
    <x v="480"/>
    <x v="0"/>
    <s v="KHSE"/>
    <s v="utánpótlás"/>
    <s v="junior"/>
    <m/>
  </r>
  <r>
    <x v="3"/>
    <s v="3A"/>
    <n v="969"/>
    <s v="Kumite"/>
    <s v="Kumite, -, 65-199 kg, Junior DOL (17-19"/>
    <x v="75"/>
    <s v="3"/>
    <s v="3 fős körmérkőzés"/>
    <s v="3"/>
    <s v="Szabó Petra"/>
    <s v="Shogun"/>
    <s v="HUN"/>
    <n v="0"/>
    <m/>
    <s v="Szigetszentmiklós"/>
    <d v="2026-03-22T00:00:00"/>
    <x v="481"/>
    <x v="0"/>
    <s v="Shogun"/>
    <s v="utánpótlás"/>
    <s v="junior"/>
    <m/>
  </r>
  <r>
    <x v="3"/>
    <s v="3A"/>
    <n v="970"/>
    <s v="Kata"/>
    <s v="Kata, -, 0-170 kg, Junior DOL (17-19"/>
    <x v="69"/>
    <s v="14"/>
    <s v="16 fős egyenes kiesés + 3. hely"/>
    <s v="1"/>
    <s v="Gerő Hanna Gréta"/>
    <s v="Kagami"/>
    <s v="HUN"/>
    <n v="8"/>
    <s v="14 fő esetén: 1-8 helyezett"/>
    <s v="Szigetszentmiklós"/>
    <d v="2026-03-22T00:00:00"/>
    <x v="55"/>
    <x v="0"/>
    <s v="Kagami"/>
    <s v="utánpótlás"/>
    <s v="junior"/>
    <m/>
  </r>
  <r>
    <x v="3"/>
    <s v="3A"/>
    <n v="986"/>
    <s v="Kata"/>
    <s v="Kata, -, 0-170 kg, Junior DOL (17-19"/>
    <x v="69"/>
    <s v="14"/>
    <s v="16 fős egyenes kiesés + 3. hely"/>
    <s v="2"/>
    <s v="Rácz Viktória"/>
    <s v="Shogun"/>
    <s v="HUN"/>
    <n v="6"/>
    <s v="14 fő esetén: 1-8 helyezett"/>
    <s v="Szigetszentmiklós"/>
    <d v="2026-03-22T00:00:00"/>
    <x v="56"/>
    <x v="0"/>
    <s v="Shogun"/>
    <s v="utánpótlás"/>
    <s v="junior"/>
    <m/>
  </r>
  <r>
    <x v="3"/>
    <s v="3A"/>
    <n v="987"/>
    <s v="Kata"/>
    <s v="Kata, -, 0-170 kg, Junior DOL (17-19"/>
    <x v="69"/>
    <s v="14"/>
    <s v="16 fős egyenes kiesés + 3. hely"/>
    <s v="3"/>
    <s v="Sólyom Gréta"/>
    <s v="Shogun"/>
    <s v="HUN"/>
    <n v="4"/>
    <s v="14 fő esetén: 1-8 helyezett"/>
    <s v="Szigetszentmiklós"/>
    <d v="2026-03-22T00:00:00"/>
    <x v="60"/>
    <x v="0"/>
    <s v="Shogun"/>
    <s v="utánpótlás"/>
    <s v="junior"/>
    <m/>
  </r>
  <r>
    <x v="3"/>
    <s v="3A"/>
    <n v="988"/>
    <s v="Kata"/>
    <s v="Kata, -, 0-170 kg, Junior DOL (17-19"/>
    <x v="69"/>
    <s v="14"/>
    <s v="16 fős egyenes kiesés + 3. hely"/>
    <s v="4"/>
    <s v="Arnódi Gréta Bernadette"/>
    <s v="Kagami"/>
    <s v="HUN"/>
    <n v="3"/>
    <s v="14 fő esetén: 1-8 helyezett"/>
    <s v="Szigetszentmiklós"/>
    <d v="2026-03-22T00:00:00"/>
    <x v="58"/>
    <x v="0"/>
    <s v="Kagami"/>
    <s v="utánpótlás"/>
    <s v="junior"/>
    <m/>
  </r>
  <r>
    <x v="3"/>
    <s v="3A"/>
    <n v="971"/>
    <s v="Kata"/>
    <s v="Kata, -, 0-170 kg, Junior DOL (17-19"/>
    <x v="69"/>
    <s v="14"/>
    <s v="16 fős egyenes kiesés + 3. hely"/>
    <s v="5"/>
    <s v="Orosz Dorina"/>
    <s v="Kemecse SE"/>
    <s v="HUN"/>
    <n v="2"/>
    <s v="14 fő esetén: 1-8 helyezett"/>
    <s v="Szigetszentmiklós"/>
    <d v="2026-03-22T00:00:00"/>
    <x v="474"/>
    <x v="0"/>
    <s v="Kemecse SE"/>
    <s v="utánpótlás"/>
    <s v="junior"/>
    <m/>
  </r>
  <r>
    <x v="3"/>
    <s v="3A"/>
    <n v="972"/>
    <s v="Kata"/>
    <s v="Kata, -, 0-170 kg, Junior DOL (17-19"/>
    <x v="69"/>
    <s v="14"/>
    <s v="16 fős egyenes kiesés + 3. hely"/>
    <s v="6"/>
    <s v="Bognár Luca"/>
    <s v="Rakurai"/>
    <s v="HUN"/>
    <n v="2"/>
    <s v="14 fő esetén: 1-8 helyezett"/>
    <s v="Szigetszentmiklós"/>
    <d v="2026-03-22T00:00:00"/>
    <x v="284"/>
    <x v="0"/>
    <s v="Rakurai"/>
    <s v="utánpótlás"/>
    <s v="junior"/>
    <m/>
  </r>
  <r>
    <x v="3"/>
    <s v="3A"/>
    <n v="974"/>
    <s v="Kata"/>
    <s v="Kata, -, 0-170 kg, Junior DOL (17-19"/>
    <x v="69"/>
    <s v="14"/>
    <s v="16 fős egyenes kiesés + 3. hely"/>
    <n v="7"/>
    <s v="Szutor Anna"/>
    <s v="Shogun"/>
    <s v="HUN"/>
    <n v="2"/>
    <s v="14 fő esetén: 1-8 helyezett"/>
    <s v="Szigetszentmiklós"/>
    <d v="2026-03-22T00:00:00"/>
    <x v="477"/>
    <x v="0"/>
    <s v="Shogun"/>
    <s v="utánpótlás"/>
    <s v="junior"/>
    <m/>
  </r>
  <r>
    <x v="3"/>
    <s v="3A"/>
    <n v="973"/>
    <s v="Kata"/>
    <s v="Kata, -, 0-170 kg, Junior DOL (17-19"/>
    <x v="69"/>
    <s v="14"/>
    <s v="16 fős egyenes kiesés + 3. hely"/>
    <n v="8"/>
    <s v="Németh Panka"/>
    <s v="Cs.S.E."/>
    <s v="HUN"/>
    <n v="2"/>
    <s v="14 fő esetén: 1-8 helyezett"/>
    <s v="Szigetszentmiklós"/>
    <d v="2026-03-22T00:00:00"/>
    <x v="277"/>
    <x v="0"/>
    <s v="Cs.S.E."/>
    <s v="utánpótlás"/>
    <s v="junior"/>
    <m/>
  </r>
  <r>
    <x v="3"/>
    <s v="3A"/>
    <n v="975"/>
    <s v="Kata"/>
    <s v="Kata, -, 0-170 kg, Junior DOL (17-19"/>
    <x v="69"/>
    <s v="14"/>
    <s v="16 fős egyenes kiesés + 3. hely"/>
    <s v="11-16"/>
    <s v="Kisdeák Emma"/>
    <s v="Siófok KSE"/>
    <s v="HUN"/>
    <n v="0"/>
    <s v="14 fő esetén: 1-8 helyezett"/>
    <s v="Szigetszentmiklós"/>
    <d v="2026-03-22T00:00:00"/>
    <x v="291"/>
    <x v="0"/>
    <s v="Siófok KSE"/>
    <s v="utánpótlás"/>
    <s v="junior"/>
    <m/>
  </r>
  <r>
    <x v="3"/>
    <s v="3A"/>
    <n v="976"/>
    <s v="Kata"/>
    <s v="Kata, -, 0-170 kg, Junior DOL (17-19"/>
    <x v="69"/>
    <s v="14"/>
    <s v="16 fős egyenes kiesés + 3. hely"/>
    <s v="11-16"/>
    <s v="Viza Dorottya Anna"/>
    <s v="ARSC"/>
    <s v="HUN"/>
    <n v="0"/>
    <s v="14 fő esetén: 1-8 helyezett"/>
    <s v="Szigetszentmiklós"/>
    <d v="2026-03-22T00:00:00"/>
    <x v="289"/>
    <x v="0"/>
    <s v="ARSC"/>
    <s v="utánpótlás"/>
    <s v="junior"/>
    <m/>
  </r>
  <r>
    <x v="3"/>
    <s v="3A"/>
    <n v="977"/>
    <s v="Kata"/>
    <s v="Kata, -, 0-170 kg, Junior DOL (17-19"/>
    <x v="69"/>
    <s v="14"/>
    <s v="16 fős egyenes kiesés + 3. hely"/>
    <s v="11-16"/>
    <s v="Molnár Emese"/>
    <s v="Kihaku SE"/>
    <s v="HUN"/>
    <n v="0"/>
    <s v="14 fő esetén: 1-8 helyezett"/>
    <s v="Szigetszentmiklós"/>
    <d v="2026-03-22T00:00:00"/>
    <x v="294"/>
    <x v="0"/>
    <s v="Kihaku SE"/>
    <s v="utánpótlás"/>
    <s v="junior"/>
    <m/>
  </r>
  <r>
    <x v="3"/>
    <s v="3A"/>
    <n v="979"/>
    <s v="Kumite"/>
    <s v="Kumite, -, 70-75 kg, Junior DOL (17-19"/>
    <x v="73"/>
    <s v="8"/>
    <s v="8 fős egyenes kiesés + 3. hely"/>
    <s v="3"/>
    <s v="Gáspár Botond"/>
    <s v="Főnix Dojo"/>
    <s v="HUN"/>
    <n v="4"/>
    <m/>
    <s v="Szigetszentmiklós"/>
    <d v="2026-03-22T00:00:00"/>
    <x v="28"/>
    <x v="0"/>
    <s v="Főnix Dojo"/>
    <s v="utánpótlás"/>
    <s v="junior"/>
    <m/>
  </r>
  <r>
    <x v="3"/>
    <s v="3A"/>
    <n v="989"/>
    <s v="Kata"/>
    <s v="Kata, -, 0-170 kg, Junior DOL (17-19"/>
    <x v="69"/>
    <s v="14"/>
    <s v="16 fős egyenes kiesés + 3. hely"/>
    <s v="11-16"/>
    <s v="Nádi Viktória"/>
    <s v="ARSC"/>
    <s v="HUN"/>
    <n v="0"/>
    <s v="14 fő esetén: 1-8 helyezett"/>
    <s v="Szigetszentmiklós"/>
    <d v="2026-03-22T00:00:00"/>
    <x v="292"/>
    <x v="0"/>
    <s v="ARSC"/>
    <s v="utánpótlás"/>
    <s v="junior"/>
    <m/>
  </r>
  <r>
    <x v="3"/>
    <s v="3A"/>
    <n v="990"/>
    <s v="Kata"/>
    <s v="Kata, -, 0-170 kg, Junior DOL (17-19"/>
    <x v="69"/>
    <s v="14"/>
    <s v="16 fős egyenes kiesés + 3. hely"/>
    <s v="11-16"/>
    <s v="Farkas Regina"/>
    <s v="Shinkyo SE"/>
    <s v="HUN"/>
    <n v="0"/>
    <s v="14 fő esetén: 1-8 helyezett"/>
    <s v="Szigetszentmiklós"/>
    <d v="2026-03-22T00:00:00"/>
    <x v="290"/>
    <x v="0"/>
    <s v="Shinkyo SE"/>
    <s v="utánpótlás"/>
    <s v="junior"/>
    <m/>
  </r>
  <r>
    <x v="3"/>
    <s v="3A"/>
    <n v="991"/>
    <s v="Kata"/>
    <s v="Kata, -, 0-170 kg, Junior DOL (17-19"/>
    <x v="69"/>
    <s v="14"/>
    <s v="16 fős egyenes kiesés + 3. hely"/>
    <s v="11-16"/>
    <s v="Imre Zoé Julianna"/>
    <s v="KSE Tarján"/>
    <s v="HUN"/>
    <n v="0"/>
    <s v="14 fő esetén: 1-8 helyezett"/>
    <s v="Szigetszentmiklós"/>
    <d v="2026-03-22T00:00:00"/>
    <x v="288"/>
    <x v="0"/>
    <s v="KSE Tarján"/>
    <s v="utánpótlás"/>
    <s v="junior"/>
    <m/>
  </r>
  <r>
    <x v="4"/>
    <n v="2"/>
    <n v="993"/>
    <s v="Kumite"/>
    <s v="Kumite, Gyerek 2./U 12 fiú 0-39,9kg"/>
    <x v="27"/>
    <s v="6"/>
    <s v="6 fős vegyes"/>
    <s v="1"/>
    <s v="Boka Norman Eliot"/>
    <s v="Katana SE"/>
    <s v="HUN"/>
    <n v="6"/>
    <m/>
    <s v="Várpalota"/>
    <d v="2026-02-28T00:00:00"/>
    <x v="99"/>
    <x v="0"/>
    <s v="Katana SE"/>
    <s v="utánpótlás"/>
    <s v="gyerek"/>
    <m/>
  </r>
  <r>
    <x v="4"/>
    <n v="2"/>
    <n v="994"/>
    <s v="Kumite"/>
    <s v="Kumite, Gyerek 2./U 12 fiú 0-39,9kg"/>
    <x v="27"/>
    <s v="6"/>
    <s v="6 fős vegyes"/>
    <s v="2"/>
    <s v="Szenner Valentin"/>
    <s v="Katana SE"/>
    <s v="HUN"/>
    <n v="5"/>
    <m/>
    <s v="Várpalota"/>
    <d v="2026-02-28T00:00:00"/>
    <x v="110"/>
    <x v="0"/>
    <s v="Katana SE"/>
    <s v="utánpótlás"/>
    <s v="gyerek"/>
    <m/>
  </r>
  <r>
    <x v="4"/>
    <n v="2"/>
    <n v="995"/>
    <s v="Kumite"/>
    <s v="Kumite, Gyerek 2./U 12 fiú 0-39,9kg"/>
    <x v="27"/>
    <s v="6"/>
    <s v="6 fős vegyes"/>
    <s v="3"/>
    <s v="Zajácz Miklós"/>
    <s v="Kamikaze S"/>
    <s v="HUN"/>
    <n v="3"/>
    <m/>
    <s v="Várpalota"/>
    <d v="2026-02-28T00:00:00"/>
    <x v="101"/>
    <x v="0"/>
    <s v="Kamikaze S"/>
    <s v="utánpótlás"/>
    <s v="gyerek"/>
    <m/>
  </r>
  <r>
    <x v="4"/>
    <n v="2"/>
    <n v="996"/>
    <s v="Kumite"/>
    <s v="Kumite, Gyerek 2./U 12 fiú 45-49,9kg"/>
    <x v="77"/>
    <s v="3"/>
    <s v="3 fős körmérkőzés"/>
    <s v="1"/>
    <s v="Szabó Máté Péter"/>
    <s v="WARRIORS TEAM"/>
    <s v="HUN"/>
    <n v="4"/>
    <m/>
    <s v="Várpalota"/>
    <d v="2026-02-28T00:00:00"/>
    <x v="126"/>
    <x v="0"/>
    <s v="WARRIORS TEAM"/>
    <s v="utánpótlás"/>
    <s v="gyerek"/>
    <m/>
  </r>
  <r>
    <x v="4"/>
    <n v="2"/>
    <n v="997"/>
    <s v="Kumite"/>
    <s v="Kumite, Gyerek 2./U 12 fiú 45-49,9kg"/>
    <x v="77"/>
    <s v="3"/>
    <s v="3 fős körmérkőzés"/>
    <s v="2"/>
    <s v="Horsik Zente József"/>
    <s v="POWER SE."/>
    <s v="HUN"/>
    <n v="3"/>
    <m/>
    <s v="Várpalota"/>
    <d v="2026-02-28T00:00:00"/>
    <x v="528"/>
    <x v="0"/>
    <s v="POWER SE."/>
    <s v="utánpótlás"/>
    <s v="gyerek"/>
    <m/>
  </r>
  <r>
    <x v="4"/>
    <n v="2"/>
    <n v="998"/>
    <s v="Kumite"/>
    <s v="Kumite, Gyerek 2./U 12 fiú 45-49,9kg"/>
    <x v="77"/>
    <s v="3"/>
    <s v="3 fős körmérkőzés"/>
    <s v="3"/>
    <s v="Mohai Szilárd"/>
    <s v="Katana SE"/>
    <s v="HUN"/>
    <n v="0"/>
    <m/>
    <s v="Várpalota"/>
    <d v="2026-02-28T00:00:00"/>
    <x v="121"/>
    <x v="0"/>
    <s v="Katana SE"/>
    <s v="utánpótlás"/>
    <s v="gyerek"/>
    <m/>
  </r>
  <r>
    <x v="4"/>
    <n v="2"/>
    <n v="999"/>
    <s v="Kumite"/>
    <s v="Kumite, Gyerek 2./U 12 fiú 50-kg"/>
    <x v="78"/>
    <s v="2"/>
    <s v="2 fős egyenes kiesés"/>
    <s v="1"/>
    <s v="Adamecz Milán"/>
    <s v="Nagykátai Bushido SE"/>
    <s v="HUN"/>
    <n v="3"/>
    <m/>
    <s v="Várpalota"/>
    <d v="2026-02-28T00:00:00"/>
    <x v="529"/>
    <x v="0"/>
    <s v="Nagykátai Bushido SE"/>
    <s v="utánpótlás"/>
    <s v="gyerek"/>
    <m/>
  </r>
  <r>
    <x v="4"/>
    <n v="2"/>
    <n v="1000"/>
    <s v="Kumite"/>
    <s v="Kumite, Gyerek 2./U 12 fiú 50-kg"/>
    <x v="78"/>
    <s v="2"/>
    <s v="2 fős egyenes kiesés"/>
    <s v="2"/>
    <s v="Odorics Zétény"/>
    <s v="Rakurai"/>
    <s v="HUN"/>
    <n v="0"/>
    <m/>
    <s v="Várpalota"/>
    <d v="2026-02-28T00:00:00"/>
    <x v="491"/>
    <x v="0"/>
    <s v="Rakurai"/>
    <s v="utánpótlás"/>
    <s v="gyerek"/>
    <m/>
  </r>
  <r>
    <x v="4"/>
    <n v="2"/>
    <n v="1001"/>
    <s v="Kumite"/>
    <s v="Kumite, Gyerek 2./U 12 lány 40-44,9kg"/>
    <x v="34"/>
    <s v="2"/>
    <s v="2 fős egyenes kiesés"/>
    <s v="1"/>
    <s v="Vig Boglárka"/>
    <s v="VTSE"/>
    <s v="HUN"/>
    <n v="3"/>
    <m/>
    <s v="Várpalota"/>
    <d v="2026-02-28T00:00:00"/>
    <x v="144"/>
    <x v="1"/>
    <s v="VTSE"/>
    <s v="utánpótlás"/>
    <s v="gyerek"/>
    <m/>
  </r>
  <r>
    <x v="4"/>
    <n v="2"/>
    <n v="1002"/>
    <s v="Kumite"/>
    <s v="Kumite, Gyerek 2./U 12 lány 40-44,9kg"/>
    <x v="34"/>
    <s v="2"/>
    <s v="2 fős egyenes kiesés"/>
    <s v="2"/>
    <s v="Szombath Jázmin"/>
    <s v="Főnix Dojo"/>
    <s v="HUN"/>
    <n v="0"/>
    <m/>
    <s v="Várpalota"/>
    <d v="2026-02-28T00:00:00"/>
    <x v="147"/>
    <x v="0"/>
    <s v="Főnix Dojo"/>
    <s v="utánpótlás"/>
    <s v="gyerek"/>
    <m/>
  </r>
  <r>
    <x v="4"/>
    <n v="2"/>
    <n v="1003"/>
    <s v="Kumite"/>
    <s v="Kumite, Gyerek 2./U 12 lány 45-kg"/>
    <x v="33"/>
    <s v="4"/>
    <s v="4 fős körmérkőzés"/>
    <s v="1"/>
    <s v="Kocsis Angéla"/>
    <s v="Genbu dojo"/>
    <s v="HUN"/>
    <n v="6"/>
    <m/>
    <s v="Várpalota"/>
    <d v="2026-02-28T00:00:00"/>
    <x v="142"/>
    <x v="1"/>
    <s v="Genbu dojo"/>
    <s v="utánpótlás"/>
    <s v="gyerek"/>
    <m/>
  </r>
  <r>
    <x v="4"/>
    <n v="2"/>
    <n v="1004"/>
    <s v="Kumite"/>
    <s v="Kumite, Gyerek 2./U 12 lány 45-kg"/>
    <x v="33"/>
    <s v="4"/>
    <s v="4 fős körmérkőzés"/>
    <s v="2"/>
    <s v="Kocsis Nóra"/>
    <s v="Genbu dojo"/>
    <s v="HUN"/>
    <n v="5"/>
    <m/>
    <s v="Várpalota"/>
    <d v="2026-02-28T00:00:00"/>
    <x v="141"/>
    <x v="1"/>
    <s v="Genbu dojo"/>
    <s v="utánpótlás"/>
    <s v="gyerek"/>
    <m/>
  </r>
  <r>
    <x v="4"/>
    <n v="2"/>
    <n v="1005"/>
    <s v="Kumite"/>
    <s v="Kumite, Gyerek 2./U 12 lány 45-kg"/>
    <x v="33"/>
    <s v="4"/>
    <s v="4 fős körmérkőzés"/>
    <s v="3"/>
    <s v="Janás Mia"/>
    <s v="Főnix Dojo"/>
    <s v="HUN"/>
    <n v="3"/>
    <m/>
    <s v="Várpalota"/>
    <d v="2026-02-28T00:00:00"/>
    <x v="494"/>
    <x v="0"/>
    <s v="Főnix Dojo"/>
    <s v="utánpótlás"/>
    <s v="gyerek"/>
    <m/>
  </r>
  <r>
    <x v="4"/>
    <n v="2"/>
    <n v="1006"/>
    <s v="Kumite"/>
    <s v="Kumite, Serdülő/U14 fiú 0-44,9kg"/>
    <x v="37"/>
    <s v="6"/>
    <s v="6 fős vegyes"/>
    <s v="1"/>
    <s v="Szabó Zoltán Szüa"/>
    <s v="POWER SE."/>
    <s v="HUN"/>
    <n v="6"/>
    <m/>
    <s v="Várpalota"/>
    <d v="2026-02-28T00:00:00"/>
    <x v="530"/>
    <x v="0"/>
    <s v="POWER SE."/>
    <s v="utánpótlás"/>
    <s v="serdülő"/>
    <m/>
  </r>
  <r>
    <x v="4"/>
    <n v="2"/>
    <n v="1007"/>
    <s v="Kumite"/>
    <s v="Kumite, Serdülő/U14 fiú 0-44,9kg"/>
    <x v="37"/>
    <s v="6"/>
    <s v="6 fős vegyes"/>
    <s v="2"/>
    <s v="Bárkovics Áron"/>
    <s v="KKE - Spartacus"/>
    <s v="HUN"/>
    <n v="5"/>
    <m/>
    <s v="Várpalota"/>
    <d v="2026-02-28T00:00:00"/>
    <x v="158"/>
    <x v="0"/>
    <s v="KKE - Spartacus"/>
    <s v="utánpótlás"/>
    <s v="serdülő"/>
    <m/>
  </r>
  <r>
    <x v="4"/>
    <n v="2"/>
    <n v="1008"/>
    <s v="Kumite"/>
    <s v="Kumite, Serdülő/U14 fiú 0-44,9kg"/>
    <x v="37"/>
    <s v="6"/>
    <s v="6 fős vegyes"/>
    <s v="3"/>
    <s v="Béres Bence"/>
    <s v="VTSE"/>
    <s v="HUN"/>
    <n v="3"/>
    <m/>
    <s v="Várpalota"/>
    <d v="2026-02-28T00:00:00"/>
    <x v="160"/>
    <x v="1"/>
    <s v="VTSE"/>
    <s v="utánpótlás"/>
    <s v="serdülő"/>
    <m/>
  </r>
  <r>
    <x v="4"/>
    <n v="2"/>
    <n v="1009"/>
    <s v="Kumite"/>
    <s v="Kumite, Serdülő/U14 fiú 45-54,9kg"/>
    <x v="79"/>
    <s v="9"/>
    <s v="16 fős egyenes kiesés"/>
    <s v="1"/>
    <s v="Vig Bendegúz"/>
    <s v="VTSE"/>
    <s v="HUN"/>
    <n v="8"/>
    <m/>
    <s v="Várpalota"/>
    <d v="2026-02-28T00:00:00"/>
    <x v="171"/>
    <x v="1"/>
    <s v="VTSE"/>
    <s v="utánpótlás"/>
    <s v="serdülő"/>
    <m/>
  </r>
  <r>
    <x v="4"/>
    <n v="2"/>
    <n v="1010"/>
    <s v="Kumite"/>
    <s v="Kumite, Serdülő/U14 fiú 45-54,9kg"/>
    <x v="79"/>
    <s v="9"/>
    <s v="16 fős egyenes kiesés"/>
    <s v="2"/>
    <s v="Orosz Márkó"/>
    <s v="KKE - Spartacus"/>
    <s v="HUN"/>
    <n v="6"/>
    <m/>
    <s v="Várpalota"/>
    <d v="2026-02-28T00:00:00"/>
    <x v="531"/>
    <x v="0"/>
    <s v="KKE - Spartacus"/>
    <s v="utánpótlás"/>
    <s v="serdülő"/>
    <m/>
  </r>
  <r>
    <x v="4"/>
    <n v="2"/>
    <n v="1011"/>
    <s v="Kumite"/>
    <s v="Kumite, Serdülő/U14 fiú 45-54,9kg"/>
    <x v="79"/>
    <s v="9"/>
    <s v="16 fős egyenes kiesés"/>
    <s v="3"/>
    <s v="Tóth Kornél"/>
    <s v="KKE - Spartacus"/>
    <s v="HUN"/>
    <n v="4"/>
    <m/>
    <s v="Várpalota"/>
    <d v="2026-02-28T00:00:00"/>
    <x v="163"/>
    <x v="0"/>
    <s v="KKE - Spartacus"/>
    <s v="utánpótlás"/>
    <s v="serdülő"/>
    <m/>
  </r>
  <r>
    <x v="4"/>
    <n v="2"/>
    <n v="1012"/>
    <s v="Kumite"/>
    <s v="Kumite, Serdülő/U14 fiú 45-54,9kg"/>
    <x v="79"/>
    <s v="9"/>
    <s v="16 fős egyenes kiesés"/>
    <s v="3"/>
    <s v="Viszugyel Bálint"/>
    <s v="VTSE"/>
    <s v="HUN"/>
    <n v="4"/>
    <m/>
    <s v="Várpalota"/>
    <d v="2026-02-28T00:00:00"/>
    <x v="170"/>
    <x v="1"/>
    <s v="VTSE"/>
    <s v="utánpótlás"/>
    <s v="serdülő"/>
    <m/>
  </r>
  <r>
    <x v="4"/>
    <n v="2"/>
    <n v="1013"/>
    <s v="Kumite"/>
    <s v="Kumite, Serdülő/U14 fiú 45-54,9kg"/>
    <x v="79"/>
    <s v="9"/>
    <s v="16 fős egyenes kiesés"/>
    <s v="5"/>
    <s v="Hadnagy Barnabás"/>
    <s v="Rokku KKSE"/>
    <s v="HUN"/>
    <n v="0"/>
    <s v="nem volt nyertes mérkőzése"/>
    <s v="Várpalota"/>
    <d v="2026-02-28T00:00:00"/>
    <x v="174"/>
    <x v="0"/>
    <s v="Rokku KKSE"/>
    <s v="utánpótlás"/>
    <s v="serdülő"/>
    <m/>
  </r>
  <r>
    <x v="4"/>
    <n v="2"/>
    <n v="1014"/>
    <s v="Kumite"/>
    <s v="Kumite, Serdülő/U14 fiú 45-54,9kg"/>
    <x v="79"/>
    <s v="9"/>
    <s v="16 fős egyenes kiesés"/>
    <s v="6"/>
    <s v="Munkácsi Ádám"/>
    <s v="Főnix Dojo"/>
    <s v="HUN"/>
    <n v="0"/>
    <s v="nem volt nyertes mérkőzése"/>
    <s v="Várpalota"/>
    <d v="2026-02-28T00:00:00"/>
    <x v="173"/>
    <x v="0"/>
    <s v="Főnix Dojo"/>
    <s v="utánpótlás"/>
    <s v="serdülő"/>
    <m/>
  </r>
  <r>
    <x v="4"/>
    <n v="2"/>
    <n v="1015"/>
    <s v="Kumite"/>
    <s v="Kumite, Serdülő/U14 fiú 45-54,9kg"/>
    <x v="79"/>
    <s v="9"/>
    <s v="16 fős egyenes kiesés"/>
    <s v="7-8"/>
    <s v="Ujj Szabolcs"/>
    <s v="Marcali SKK"/>
    <s v="HUN"/>
    <n v="0"/>
    <s v="nem volt nyertes mérkőzése"/>
    <s v="Várpalota"/>
    <d v="2026-02-28T00:00:00"/>
    <x v="532"/>
    <x v="0"/>
    <s v="Marcali SKK"/>
    <s v="utánpótlás"/>
    <s v="serdülő"/>
    <m/>
  </r>
  <r>
    <x v="4"/>
    <n v="2"/>
    <n v="1016"/>
    <s v="Kumite"/>
    <s v="Kumite, Serdülő/U14 fiú 45-54,9kg"/>
    <x v="79"/>
    <s v="9"/>
    <s v="16 fős egyenes kiesés"/>
    <s v="7-8"/>
    <s v="Lőrincz Bence"/>
    <s v="ASE Bulldog KKSZCS"/>
    <s v="HUN"/>
    <n v="0"/>
    <s v="nem volt nyertes mérkőzése"/>
    <s v="Várpalota"/>
    <d v="2026-02-28T00:00:00"/>
    <x v="533"/>
    <x v="0"/>
    <s v="ASE Bulldog KKSZCS"/>
    <s v="utánpótlás"/>
    <s v="serdülő"/>
    <m/>
  </r>
  <r>
    <x v="4"/>
    <n v="2"/>
    <n v="1017"/>
    <s v="Kumite"/>
    <s v="Kumite, Serdülő/U14 fiú 45-54,9kg"/>
    <x v="79"/>
    <s v="9"/>
    <s v="16 fős egyenes kiesés"/>
    <s v="11-16"/>
    <s v="Kámán Márton"/>
    <s v="Rakurai"/>
    <s v="HUN"/>
    <n v="0"/>
    <m/>
    <s v="Várpalota"/>
    <d v="2026-02-28T00:00:00"/>
    <x v="165"/>
    <x v="0"/>
    <s v="Rakurai"/>
    <s v="utánpótlás"/>
    <s v="serdülő"/>
    <m/>
  </r>
  <r>
    <x v="4"/>
    <n v="2"/>
    <n v="1018"/>
    <s v="Kumite"/>
    <s v="Kumite, Serdülő/U14 fiú 55-64,9kg"/>
    <x v="80"/>
    <s v="2"/>
    <s v="2 fős egyenes kiesés"/>
    <s v="1"/>
    <s v="Bánfi Botond"/>
    <s v="Rokku KKSE"/>
    <s v="HUN"/>
    <n v="3"/>
    <m/>
    <s v="Várpalota"/>
    <d v="2026-02-28T00:00:00"/>
    <x v="172"/>
    <x v="0"/>
    <s v="Rokku KKSE"/>
    <s v="utánpótlás"/>
    <s v="serdülő"/>
    <m/>
  </r>
  <r>
    <x v="4"/>
    <n v="2"/>
    <n v="1019"/>
    <s v="Kumite"/>
    <s v="Kumite, Serdülő/U14 fiú 55-64,9kg"/>
    <x v="80"/>
    <s v="2"/>
    <s v="2 fős egyenes kiesés"/>
    <s v="2"/>
    <s v="Reinhofer Patrik"/>
    <s v="Rokku KKSE"/>
    <s v="HUN"/>
    <n v="0"/>
    <m/>
    <s v="Várpalota"/>
    <d v="2026-02-28T00:00:00"/>
    <x v="184"/>
    <x v="0"/>
    <s v="Rokku KKSE"/>
    <s v="utánpótlás"/>
    <s v="serdülő"/>
    <m/>
  </r>
  <r>
    <x v="4"/>
    <n v="2"/>
    <n v="1020"/>
    <s v="Kumite"/>
    <s v="Kumite, Serdülő/U14 fiú 65-kg"/>
    <x v="81"/>
    <s v="8"/>
    <s v="8 fős egyenes kiesés"/>
    <s v="1"/>
    <s v="Villasenor Babos Viktor Éliás"/>
    <s v="Rakurai"/>
    <s v="HUN"/>
    <n v="6"/>
    <m/>
    <s v="Várpalota"/>
    <d v="2026-02-28T00:00:00"/>
    <x v="176"/>
    <x v="0"/>
    <s v="Rakurai"/>
    <s v="utánpótlás"/>
    <s v="serdülő"/>
    <m/>
  </r>
  <r>
    <x v="4"/>
    <n v="2"/>
    <n v="1021"/>
    <s v="Kumite"/>
    <s v="Kumite, Serdülő/U14 fiú 65-kg"/>
    <x v="81"/>
    <s v="8"/>
    <s v="8 fős egyenes kiesés"/>
    <s v="2"/>
    <s v="Finta Csanád"/>
    <s v="Rakurai"/>
    <s v="HUN"/>
    <n v="5"/>
    <m/>
    <s v="Várpalota"/>
    <d v="2026-02-28T00:00:00"/>
    <x v="178"/>
    <x v="0"/>
    <s v="Rakurai"/>
    <s v="utánpótlás"/>
    <s v="serdülő"/>
    <m/>
  </r>
  <r>
    <x v="4"/>
    <n v="2"/>
    <n v="1022"/>
    <s v="Kumite"/>
    <s v="Kumite, Serdülő/U14 fiú 65-kg"/>
    <x v="81"/>
    <s v="8"/>
    <s v="8 fős egyenes kiesés"/>
    <s v="3"/>
    <s v="Nagy Kevin "/>
    <s v="KKE - Spartacus"/>
    <s v="HUN"/>
    <n v="3"/>
    <m/>
    <s v="Várpalota"/>
    <d v="2026-02-28T00:00:00"/>
    <x v="187"/>
    <x v="0"/>
    <s v="KKE - Spartacus"/>
    <s v="utánpótlás"/>
    <s v="serdülő"/>
    <m/>
  </r>
  <r>
    <x v="4"/>
    <n v="2"/>
    <n v="1023"/>
    <s v="Kumite"/>
    <s v="Kumite, Serdülő/U14 fiú 65-kg"/>
    <x v="81"/>
    <s v="8"/>
    <s v="8 fős egyenes kiesés"/>
    <s v="3"/>
    <s v="Nagy Richárd"/>
    <s v="POWER SE."/>
    <s v="HUN"/>
    <n v="3"/>
    <m/>
    <s v="Várpalota"/>
    <d v="2026-02-28T00:00:00"/>
    <x v="534"/>
    <x v="0"/>
    <s v="POWER SE."/>
    <s v="utánpótlás"/>
    <s v="serdülő"/>
    <m/>
  </r>
  <r>
    <x v="4"/>
    <n v="2"/>
    <n v="1024"/>
    <s v="Kumite"/>
    <s v="Kumite, Serdülő/U14 fiú 65-kg"/>
    <x v="81"/>
    <s v="8"/>
    <s v="8 fős egyenes kiesés"/>
    <s v="5"/>
    <s v="Gaál-Vajai Tamás"/>
    <s v="Főnix Dojo"/>
    <s v="HUN"/>
    <n v="0"/>
    <m/>
    <s v="Várpalota"/>
    <d v="2026-02-28T00:00:00"/>
    <x v="179"/>
    <x v="0"/>
    <s v="Főnix Dojo"/>
    <s v="utánpótlás"/>
    <s v="serdülő"/>
    <m/>
  </r>
  <r>
    <x v="4"/>
    <n v="2"/>
    <n v="1025"/>
    <s v="Kumite"/>
    <s v="Kumite, Serdülő/U14 fiú 65-kg"/>
    <x v="81"/>
    <s v="8"/>
    <s v="8 fős egyenes kiesés"/>
    <s v="6"/>
    <s v="Salga Márton"/>
    <s v="Rokku KKSE"/>
    <s v="HUN"/>
    <n v="0"/>
    <m/>
    <s v="Várpalota"/>
    <d v="2026-02-28T00:00:00"/>
    <x v="177"/>
    <x v="0"/>
    <s v="Rokku KKSE"/>
    <s v="utánpótlás"/>
    <s v="serdülő"/>
    <m/>
  </r>
  <r>
    <x v="4"/>
    <n v="2"/>
    <n v="1026"/>
    <s v="Kumite"/>
    <s v="Kumite, Serdülő/U14 fiú 65-kg"/>
    <x v="81"/>
    <s v="8"/>
    <s v="8 fős egyenes kiesés"/>
    <s v="7-8"/>
    <s v="Tóth Dominik István"/>
    <s v="Griff SE"/>
    <s v="HUN"/>
    <n v="0"/>
    <m/>
    <s v="Várpalota"/>
    <d v="2026-02-28T00:00:00"/>
    <x v="535"/>
    <x v="0"/>
    <s v="Griff SE"/>
    <s v="utánpótlás"/>
    <s v="serdülő"/>
    <m/>
  </r>
  <r>
    <x v="4"/>
    <n v="2"/>
    <n v="1027"/>
    <s v="Kumite"/>
    <s v="Kumite, Serdülő/U14 fiú 65-kg"/>
    <x v="81"/>
    <s v="8"/>
    <s v="8 fős egyenes kiesés"/>
    <s v="7-8"/>
    <s v="Nagy Nimród"/>
    <s v="Rakurai"/>
    <s v="HUN"/>
    <n v="0"/>
    <m/>
    <s v="Várpalota"/>
    <d v="2026-02-28T00:00:00"/>
    <x v="502"/>
    <x v="0"/>
    <s v="Rakurai"/>
    <s v="utánpótlás"/>
    <s v="serdülő"/>
    <m/>
  </r>
  <r>
    <x v="4"/>
    <n v="2"/>
    <n v="1028"/>
    <s v="Kumite"/>
    <s v="Kumite, Serdülő/U14 lány 40-44,9kg"/>
    <x v="47"/>
    <s v="2"/>
    <s v="2 fős egyenes kiesés"/>
    <s v="1"/>
    <s v="Bogdán Szonja Boróka"/>
    <s v="Rakurai"/>
    <s v="HUN"/>
    <n v="3"/>
    <m/>
    <s v="Várpalota"/>
    <d v="2026-02-28T00:00:00"/>
    <x v="193"/>
    <x v="0"/>
    <s v="Rakurai"/>
    <s v="utánpótlás"/>
    <s v="serdülő"/>
    <m/>
  </r>
  <r>
    <x v="4"/>
    <n v="2"/>
    <n v="1029"/>
    <s v="Kumite"/>
    <s v="Kumite, Serdülő/U14 lány 40-44,9kg"/>
    <x v="47"/>
    <s v="2"/>
    <s v="2 fős egyenes kiesés"/>
    <s v="2"/>
    <s v="Horváth Liliána"/>
    <s v="Kamikaze S"/>
    <s v="HUN"/>
    <n v="0"/>
    <m/>
    <s v="Várpalota"/>
    <d v="2026-02-28T00:00:00"/>
    <x v="212"/>
    <x v="0"/>
    <s v="Kamikaze S"/>
    <s v="utánpótlás"/>
    <s v="serdülő"/>
    <m/>
  </r>
  <r>
    <x v="4"/>
    <n v="2"/>
    <n v="1030"/>
    <s v="Kumite"/>
    <s v="Kumite, Serdülő/U14 lány 45-54,9kg"/>
    <x v="44"/>
    <s v="6"/>
    <s v="6 fős vegyes"/>
    <s v="1"/>
    <s v="Nagy Anna"/>
    <s v="Főnix Dojo"/>
    <s v="HUN"/>
    <n v="6"/>
    <m/>
    <s v="Várpalota"/>
    <d v="2026-02-28T00:00:00"/>
    <x v="202"/>
    <x v="0"/>
    <s v="Főnix Dojo"/>
    <s v="utánpótlás"/>
    <s v="serdülő"/>
    <m/>
  </r>
  <r>
    <x v="4"/>
    <n v="2"/>
    <n v="1031"/>
    <s v="Kumite"/>
    <s v="Kumite, Serdülő/U14 lány 45-54,9kg"/>
    <x v="44"/>
    <s v="6"/>
    <s v="6 fős vegyes"/>
    <s v="2"/>
    <s v="Reichert Hanna "/>
    <s v="VTSE"/>
    <s v="HUN"/>
    <n v="5"/>
    <m/>
    <s v="Várpalota"/>
    <d v="2026-02-28T00:00:00"/>
    <x v="195"/>
    <x v="1"/>
    <s v="VTSE"/>
    <s v="utánpótlás"/>
    <s v="serdülő"/>
    <m/>
  </r>
  <r>
    <x v="4"/>
    <n v="2"/>
    <n v="1032"/>
    <s v="Kumite"/>
    <s v="Kumite, Serdülő/U14 lány 45-54,9kg"/>
    <x v="44"/>
    <s v="6"/>
    <s v="6 fős vegyes"/>
    <s v="3"/>
    <s v="Kiss-Juhász Hanga"/>
    <s v="Tora HSE"/>
    <s v="HUN"/>
    <n v="3"/>
    <m/>
    <s v="Várpalota"/>
    <d v="2026-02-28T00:00:00"/>
    <x v="536"/>
    <x v="1"/>
    <s v="Tora HSE"/>
    <s v="utánpótlás"/>
    <s v="serdülő"/>
    <m/>
  </r>
  <r>
    <x v="4"/>
    <n v="2"/>
    <n v="1033"/>
    <s v="Kumite"/>
    <s v="Kumite, Serdülő/U14 lány 55-64,9kg"/>
    <x v="45"/>
    <s v="3"/>
    <s v="3 fős körmérkőzés"/>
    <s v="1"/>
    <s v="Bennárik Bella"/>
    <s v="WARRIORS TEAM"/>
    <s v="HUN"/>
    <n v="4"/>
    <m/>
    <s v="Várpalota"/>
    <d v="2026-02-28T00:00:00"/>
    <x v="206"/>
    <x v="0"/>
    <s v="WARRIORS TEAM"/>
    <s v="utánpótlás"/>
    <s v="serdülő"/>
    <m/>
  </r>
  <r>
    <x v="4"/>
    <n v="2"/>
    <n v="1034"/>
    <s v="Kumite"/>
    <s v="Kumite, Serdülő/U14 lány 55-64,9kg"/>
    <x v="45"/>
    <s v="3"/>
    <s v="3 fős körmérkőzés"/>
    <s v="2"/>
    <s v="Szabó Anna Tímea"/>
    <s v="Katana SE"/>
    <s v="HUN"/>
    <n v="3"/>
    <m/>
    <s v="Várpalota"/>
    <d v="2026-02-28T00:00:00"/>
    <x v="207"/>
    <x v="0"/>
    <s v="Katana SE"/>
    <s v="utánpótlás"/>
    <s v="serdülő"/>
    <m/>
  </r>
  <r>
    <x v="4"/>
    <n v="2"/>
    <n v="1035"/>
    <s v="Kumite"/>
    <s v="Kumite, Serdülő/U14 lány 55-64,9kg"/>
    <x v="45"/>
    <s v="3"/>
    <s v="3 fős körmérkőzés"/>
    <s v="3"/>
    <s v="Virág Boglárka Csenge"/>
    <s v="Keszth.KKK"/>
    <s v="HUN"/>
    <n v="0"/>
    <m/>
    <s v="Várpalota"/>
    <d v="2026-02-28T00:00:00"/>
    <x v="537"/>
    <x v="0"/>
    <s v="Keszth.KKK"/>
    <s v="utánpótlás"/>
    <s v="serdülő"/>
    <m/>
  </r>
  <r>
    <x v="4"/>
    <n v="2"/>
    <n v="1036"/>
    <s v="Kumite"/>
    <s v="Kumite, Serdülő/U14 lány 65-kg"/>
    <x v="46"/>
    <s v="3"/>
    <s v="3 fős körmérkőzés"/>
    <s v="1"/>
    <s v="Szente Beatrix"/>
    <s v="VTSE"/>
    <s v="HUN"/>
    <n v="4"/>
    <m/>
    <s v="Várpalota"/>
    <d v="2026-02-28T00:00:00"/>
    <x v="209"/>
    <x v="1"/>
    <s v="VTSE"/>
    <s v="utánpótlás"/>
    <s v="serdülő"/>
    <m/>
  </r>
  <r>
    <x v="4"/>
    <n v="2"/>
    <n v="1037"/>
    <s v="Kumite"/>
    <s v="Kumite, Serdülő/U14 lány 65-kg"/>
    <x v="46"/>
    <s v="3"/>
    <s v="3 fős körmérkőzés"/>
    <s v="2"/>
    <s v="Bota Sára"/>
    <s v="Rakurai"/>
    <s v="HUN"/>
    <n v="3"/>
    <m/>
    <s v="Várpalota"/>
    <d v="2026-02-28T00:00:00"/>
    <x v="211"/>
    <x v="0"/>
    <s v="Rakurai"/>
    <s v="utánpótlás"/>
    <s v="serdülő"/>
    <m/>
  </r>
  <r>
    <x v="4"/>
    <n v="2"/>
    <n v="1038"/>
    <s v="Kumite"/>
    <s v="Kumite, Serdülő/U14 lány 65-kg"/>
    <x v="46"/>
    <s v="3"/>
    <s v="3 fős körmérkőzés"/>
    <s v="3"/>
    <s v="Tóth-Krisó Míra"/>
    <s v="Katana SE"/>
    <s v="HUN"/>
    <n v="0"/>
    <m/>
    <s v="Várpalota"/>
    <d v="2026-02-28T00:00:00"/>
    <x v="214"/>
    <x v="0"/>
    <s v="Katana SE"/>
    <s v="utánpótlás"/>
    <s v="serdülő"/>
    <m/>
  </r>
  <r>
    <x v="4"/>
    <n v="2"/>
    <n v="1039"/>
    <s v="Kumite"/>
    <s v="Kumite, Ifjúsági/U16 lány 0-49,9kg"/>
    <x v="56"/>
    <s v="3"/>
    <s v="3 fős körmérkőzés"/>
    <s v="1"/>
    <s v="Nagy Hanna Míra"/>
    <s v="Genbu dojo"/>
    <s v="HUN"/>
    <n v="4"/>
    <m/>
    <s v="Várpalota"/>
    <d v="2026-02-28T00:00:00"/>
    <x v="261"/>
    <x v="1"/>
    <s v="Genbu dojo"/>
    <s v="utánpótlás"/>
    <s v="ifjúsági"/>
    <m/>
  </r>
  <r>
    <x v="4"/>
    <n v="2"/>
    <n v="1040"/>
    <s v="Kumite"/>
    <s v="Kumite, Ifjúsági/U16 lány 0-49,9kg"/>
    <x v="56"/>
    <s v="3"/>
    <s v="3 fős körmérkőzés"/>
    <s v="2"/>
    <s v="Sülyi Luca"/>
    <s v="Főnix Dojo"/>
    <s v="HUN"/>
    <n v="3"/>
    <m/>
    <s v="Várpalota"/>
    <d v="2026-02-28T00:00:00"/>
    <x v="249"/>
    <x v="0"/>
    <s v="Főnix Dojo"/>
    <s v="utánpótlás"/>
    <s v="ifjúsági"/>
    <m/>
  </r>
  <r>
    <x v="4"/>
    <n v="2"/>
    <n v="1041"/>
    <s v="Kumite"/>
    <s v="Kumite, Ifjúsági/U16 lány 0-49,9kg"/>
    <x v="56"/>
    <s v="3"/>
    <s v="3 fős körmérkőzés"/>
    <s v="3"/>
    <s v="Balogh Dóra Panna"/>
    <s v="POWER SE."/>
    <s v="HUN"/>
    <n v="0"/>
    <m/>
    <s v="Várpalota"/>
    <d v="2026-02-28T00:00:00"/>
    <x v="538"/>
    <x v="0"/>
    <s v="POWER SE."/>
    <s v="utánpótlás"/>
    <s v="ifjúsági"/>
    <m/>
  </r>
  <r>
    <x v="4"/>
    <n v="2"/>
    <n v="1042"/>
    <s v="Kumite"/>
    <s v="Kumite, Ifjúsági/U16 lány 50-54,9kg"/>
    <x v="57"/>
    <s v="2"/>
    <s v="2 fős egyenes kiesés"/>
    <s v="1"/>
    <s v="Ható Amanda"/>
    <s v="Rakurai"/>
    <s v="HUN"/>
    <n v="3"/>
    <m/>
    <s v="Várpalota"/>
    <d v="2026-02-28T00:00:00"/>
    <x v="253"/>
    <x v="0"/>
    <s v="Rakurai"/>
    <s v="utánpótlás"/>
    <s v="ifjúsági"/>
    <m/>
  </r>
  <r>
    <x v="4"/>
    <n v="2"/>
    <n v="1043"/>
    <s v="Kumite"/>
    <s v="Kumite, Ifjúsági/U16 lány 50-54,9kg"/>
    <x v="57"/>
    <s v="2"/>
    <s v="2 fős egyenes kiesés"/>
    <s v="2"/>
    <s v="Apjok Réka"/>
    <s v="Tora HSE"/>
    <s v="HUN"/>
    <n v="0"/>
    <m/>
    <s v="Várpalota"/>
    <d v="2026-02-28T00:00:00"/>
    <x v="539"/>
    <x v="1"/>
    <s v="Tora HSE"/>
    <s v="utánpótlás"/>
    <s v="ifjúsági"/>
    <m/>
  </r>
  <r>
    <x v="4"/>
    <n v="2"/>
    <n v="1044"/>
    <s v="Kumite"/>
    <s v="Kumite, Ifjúsági/U16 lány 55-59,9kg"/>
    <x v="58"/>
    <s v="4"/>
    <s v="4 fős körmérkőzés"/>
    <s v="1"/>
    <s v="Zsin Zsófia"/>
    <s v="BHMSE"/>
    <s v="HUN"/>
    <n v="6"/>
    <m/>
    <s v="Várpalota"/>
    <d v="2026-02-28T00:00:00"/>
    <x v="514"/>
    <x v="0"/>
    <s v="BHMSE"/>
    <s v="utánpótlás"/>
    <s v="ifjúsági"/>
    <m/>
  </r>
  <r>
    <x v="4"/>
    <n v="2"/>
    <n v="1045"/>
    <s v="Kumite"/>
    <s v="Kumite, Ifjúsági/U16 lány 55-59,9kg"/>
    <x v="58"/>
    <s v="4"/>
    <s v="4 fős körmérkőzés"/>
    <s v="2"/>
    <s v="Lukács Éva"/>
    <s v="VTSE"/>
    <s v="HUN"/>
    <n v="5"/>
    <m/>
    <s v="Várpalota"/>
    <d v="2026-02-28T00:00:00"/>
    <x v="254"/>
    <x v="1"/>
    <s v="VTSE"/>
    <s v="utánpótlás"/>
    <s v="ifjúsági"/>
    <m/>
  </r>
  <r>
    <x v="4"/>
    <n v="2"/>
    <n v="1046"/>
    <s v="Kumite"/>
    <s v="Kumite, Ifjúsági/U16 lány 55-59,9kg"/>
    <x v="58"/>
    <s v="4"/>
    <s v="4 fős körmérkőzés"/>
    <s v="3"/>
    <s v="Demeter Zsófia"/>
    <s v="WARRIORS TEAM"/>
    <s v="HUN"/>
    <n v="3"/>
    <m/>
    <s v="Várpalota"/>
    <d v="2026-02-28T00:00:00"/>
    <x v="256"/>
    <x v="0"/>
    <s v="WARRIORS TEAM"/>
    <s v="utánpótlás"/>
    <s v="ifjúsági"/>
    <m/>
  </r>
  <r>
    <x v="4"/>
    <n v="2"/>
    <n v="1047"/>
    <s v="Kumite"/>
    <s v="Kumite, Ifjúsági/U16 lány 65-kg"/>
    <x v="59"/>
    <s v="2"/>
    <s v="2 fős egyenes kiesés"/>
    <s v="1"/>
    <s v="Csonka Kata"/>
    <s v="Kamikaze S"/>
    <s v="HUN"/>
    <n v="3"/>
    <m/>
    <s v="Várpalota"/>
    <d v="2026-02-28T00:00:00"/>
    <x v="257"/>
    <x v="0"/>
    <s v="Kamikaze S"/>
    <s v="utánpótlás"/>
    <s v="ifjúsági"/>
    <m/>
  </r>
  <r>
    <x v="4"/>
    <n v="2"/>
    <n v="1048"/>
    <s v="Kumite"/>
    <s v="Kumite, Ifjúsági/U16 lány 65-kg"/>
    <x v="59"/>
    <s v="2"/>
    <s v="2 fős egyenes kiesés"/>
    <s v="2"/>
    <s v="Komondi Veronika Nilla"/>
    <s v="Keszth.KKK"/>
    <s v="HUN"/>
    <n v="0"/>
    <m/>
    <s v="Várpalota"/>
    <d v="2026-02-28T00:00:00"/>
    <x v="259"/>
    <x v="0"/>
    <s v="Keszth.KKK"/>
    <s v="utánpótlás"/>
    <s v="ifjúsági"/>
    <m/>
  </r>
  <r>
    <x v="5"/>
    <n v="2"/>
    <n v="1050"/>
    <s v="Kumite"/>
    <s v="Kumite, U 12/Gyermek II. fiú 0-39,9 kg"/>
    <x v="27"/>
    <s v="5"/>
    <s v="5 fős körmérkőzés"/>
    <s v="1"/>
    <s v="Balogh Levente"/>
    <s v="Magna Dojo"/>
    <s v="HUN"/>
    <n v="8"/>
    <m/>
    <s v="Gyöngyös"/>
    <d v="2026-03-07T00:00:00"/>
    <x v="540"/>
    <x v="0"/>
    <s v="Magna Dojo"/>
    <s v="utánpótlás"/>
    <s v="gyerek"/>
    <m/>
  </r>
  <r>
    <x v="5"/>
    <n v="2"/>
    <n v="1051"/>
    <s v="Kumite"/>
    <s v="Kumite, U 12/Gyermek II. fiú 0-39,9 kg"/>
    <x v="27"/>
    <s v="5"/>
    <s v="5 fős körmérkőzés"/>
    <s v="2"/>
    <s v="Eszenyi Barnabás"/>
    <s v="Shogun"/>
    <s v="HUN"/>
    <n v="6"/>
    <m/>
    <s v="Gyöngyös"/>
    <d v="2026-03-07T00:00:00"/>
    <x v="330"/>
    <x v="0"/>
    <s v="Shogun"/>
    <s v="utánpótlás"/>
    <s v="gyerek"/>
    <m/>
  </r>
  <r>
    <x v="5"/>
    <n v="2"/>
    <n v="1052"/>
    <s v="Kumite"/>
    <s v="Kumite, U 12/Gyermek II. fiú 0-39,9 kg"/>
    <x v="27"/>
    <s v="5"/>
    <s v="5 fős körmérkőzés"/>
    <s v="3"/>
    <s v="Tarr Bence"/>
    <s v="Shogun"/>
    <s v="HUN"/>
    <n v="4"/>
    <m/>
    <s v="Gyöngyös"/>
    <d v="2026-03-07T00:00:00"/>
    <x v="319"/>
    <x v="0"/>
    <s v="Shogun"/>
    <s v="utánpótlás"/>
    <s v="gyerek"/>
    <m/>
  </r>
  <r>
    <x v="5"/>
    <n v="2"/>
    <n v="1052"/>
    <s v="Kumite"/>
    <s v="Kumite, U 12/Gyermek II. fiú 0-39,9 kg"/>
    <x v="27"/>
    <s v="5"/>
    <s v="5 fős körmérkőzés"/>
    <n v="4"/>
    <s v="Hegedűs Botond"/>
    <s v="Keizoku SE"/>
    <s v="HUN"/>
    <n v="3"/>
    <m/>
    <s v="Gyöngyös"/>
    <d v="2026-03-07T00:00:00"/>
    <x v="333"/>
    <x v="0"/>
    <s v="Keizoku SE"/>
    <s v="utánpótlás"/>
    <s v="gyerek"/>
    <m/>
  </r>
  <r>
    <x v="5"/>
    <n v="2"/>
    <n v="1053"/>
    <s v="Kumite"/>
    <s v="Kumite, U 12/Gyermek II. fiú 40-44,9 kg"/>
    <x v="28"/>
    <s v="3"/>
    <s v="3 fős körmérkőzés"/>
    <s v="1"/>
    <s v="Ratkai János"/>
    <s v="KHSE"/>
    <s v="HUN"/>
    <n v="4"/>
    <m/>
    <s v="Gyöngyös"/>
    <d v="2026-03-07T00:00:00"/>
    <x v="541"/>
    <x v="0"/>
    <s v="KHSE"/>
    <s v="utánpótlás"/>
    <s v="gyerek"/>
    <m/>
  </r>
  <r>
    <x v="5"/>
    <n v="2"/>
    <n v="1054"/>
    <s v="Kumite"/>
    <s v="Kumite, U 12/Gyermek II. fiú 40-44,9 kg"/>
    <x v="28"/>
    <s v="3"/>
    <s v="3 fős körmérkőzés"/>
    <s v="2"/>
    <s v="Kerékgyártó Tamás"/>
    <s v="Wheelmaker dojo SE"/>
    <s v="HUN"/>
    <n v="3"/>
    <m/>
    <s v="Gyöngyös"/>
    <d v="2026-03-07T00:00:00"/>
    <x v="542"/>
    <x v="1"/>
    <s v="Wheelmaker dojo SE"/>
    <s v="utánpótlás"/>
    <s v="gyerek"/>
    <m/>
  </r>
  <r>
    <x v="5"/>
    <n v="2"/>
    <n v="1055"/>
    <s v="Kumite"/>
    <s v="Kumite, U 12/Gyermek II. fiú 40-44,9 kg"/>
    <x v="28"/>
    <s v="3"/>
    <s v="3 fős körmérkőzés"/>
    <s v="3"/>
    <s v="Borsi Krisztián"/>
    <s v="KHSE"/>
    <s v="HUN"/>
    <n v="0"/>
    <m/>
    <s v="Gyöngyös"/>
    <d v="2026-03-07T00:00:00"/>
    <x v="543"/>
    <x v="0"/>
    <s v="KHSE"/>
    <s v="utánpótlás"/>
    <s v="gyerek"/>
    <m/>
  </r>
  <r>
    <x v="5"/>
    <n v="2"/>
    <n v="1056"/>
    <s v="Kumite"/>
    <s v="Kumite, U 12/Gyermek II. fiú 50- kg"/>
    <x v="78"/>
    <s v="7"/>
    <s v="8 fős egyenes kiesés"/>
    <s v="1"/>
    <s v="Borsi Balázs"/>
    <s v="KHSE"/>
    <s v="HUN"/>
    <n v="6"/>
    <m/>
    <s v="Gyöngyös"/>
    <d v="2026-03-07T00:00:00"/>
    <x v="544"/>
    <x v="0"/>
    <s v="KHSE"/>
    <s v="utánpótlás"/>
    <s v="gyerek"/>
    <m/>
  </r>
  <r>
    <x v="5"/>
    <n v="2"/>
    <n v="1057"/>
    <s v="Kumite"/>
    <s v="Kumite, U 12/Gyermek II. fiú 50- kg"/>
    <x v="78"/>
    <s v="7"/>
    <s v="8 fős egyenes kiesés"/>
    <s v="2"/>
    <s v="Kiss Levente"/>
    <s v="Derecske BUDO"/>
    <s v="HUN"/>
    <n v="5"/>
    <m/>
    <s v="Gyöngyös"/>
    <d v="2026-03-07T00:00:00"/>
    <x v="341"/>
    <x v="0"/>
    <s v="Derecske BUDO"/>
    <s v="utánpótlás"/>
    <s v="gyerek"/>
    <m/>
  </r>
  <r>
    <x v="5"/>
    <n v="2"/>
    <n v="1058"/>
    <s v="Kumite"/>
    <s v="Kumite, U 12/Gyermek II. fiú 50- kg"/>
    <x v="78"/>
    <s v="7"/>
    <s v="8 fős egyenes kiesés"/>
    <s v="3"/>
    <s v="Kiss István"/>
    <s v="Derecske BUDO"/>
    <s v="HUN"/>
    <n v="3"/>
    <m/>
    <s v="Gyöngyös"/>
    <d v="2026-03-07T00:00:00"/>
    <x v="340"/>
    <x v="0"/>
    <s v="Derecske BUDO"/>
    <s v="utánpótlás"/>
    <s v="gyerek"/>
    <m/>
  </r>
  <r>
    <x v="5"/>
    <n v="2"/>
    <n v="1059"/>
    <s v="Kumite"/>
    <s v="Kumite, U 12/Gyermek II. fiú 50- kg"/>
    <x v="78"/>
    <s v="7"/>
    <s v="8 fős egyenes kiesés"/>
    <s v="3"/>
    <s v="Némethy Balázs"/>
    <s v="Shogun"/>
    <s v="HUN"/>
    <n v="3"/>
    <m/>
    <s v="Gyöngyös"/>
    <d v="2026-03-07T00:00:00"/>
    <x v="335"/>
    <x v="0"/>
    <s v="Shogun"/>
    <s v="utánpótlás"/>
    <s v="gyerek"/>
    <m/>
  </r>
  <r>
    <x v="5"/>
    <n v="2"/>
    <n v="1060"/>
    <s v="Kumite"/>
    <s v="Kumite, U 12/Gyermek II. fiú 50- kg"/>
    <x v="78"/>
    <s v="7"/>
    <s v="8 fős egyenes kiesés"/>
    <s v="5"/>
    <s v="Bervanger Bálint"/>
    <s v="Shogun"/>
    <s v="HUN"/>
    <n v="0"/>
    <m/>
    <s v="Gyöngyös"/>
    <d v="2026-03-07T00:00:00"/>
    <x v="347"/>
    <x v="0"/>
    <s v="Shogun"/>
    <s v="utánpótlás"/>
    <s v="gyerek"/>
    <m/>
  </r>
  <r>
    <x v="5"/>
    <n v="2"/>
    <n v="1061"/>
    <s v="Kumite"/>
    <s v="Kumite, U 12/Gyermek II. fiú 50- kg"/>
    <x v="78"/>
    <s v="7"/>
    <s v="8 fős egyenes kiesés"/>
    <s v="7-8"/>
    <s v="Vágó Ákos"/>
    <s v="KHSE"/>
    <s v="HUN"/>
    <n v="0"/>
    <m/>
    <s v="Gyöngyös"/>
    <d v="2026-03-07T00:00:00"/>
    <x v="545"/>
    <x v="0"/>
    <s v="KHSE"/>
    <s v="utánpótlás"/>
    <s v="gyerek"/>
    <m/>
  </r>
  <r>
    <x v="5"/>
    <n v="2"/>
    <n v="1062"/>
    <s v="Kumite"/>
    <s v="Kumite, U 12/Gyermek II. fiú 50- kg"/>
    <x v="78"/>
    <s v="7"/>
    <s v="8 fős egyenes kiesés"/>
    <s v="7-8"/>
    <s v="Gyuricska Benedek"/>
    <s v="Shogun"/>
    <s v="HUN"/>
    <n v="0"/>
    <m/>
    <s v="Gyöngyös"/>
    <d v="2026-03-07T00:00:00"/>
    <x v="348"/>
    <x v="0"/>
    <s v="Shogun"/>
    <s v="utánpótlás"/>
    <s v="gyerek"/>
    <m/>
  </r>
  <r>
    <x v="5"/>
    <n v="2"/>
    <n v="1063"/>
    <s v="Kumite"/>
    <s v="Kumite, U 12/Gyermek II. lány 0-34,9 kg"/>
    <x v="32"/>
    <s v="2"/>
    <s v="2 fős egyenes kiesés"/>
    <s v="1"/>
    <s v="Fürjesi Eszter"/>
    <s v="Shogun"/>
    <s v="HUN"/>
    <n v="3"/>
    <m/>
    <s v="Gyöngyös"/>
    <d v="2026-03-07T00:00:00"/>
    <x v="358"/>
    <x v="0"/>
    <s v="Shogun"/>
    <s v="utánpótlás"/>
    <s v="gyerek"/>
    <m/>
  </r>
  <r>
    <x v="5"/>
    <n v="2"/>
    <n v="1064"/>
    <s v="Kumite"/>
    <s v="Kumite, U 12/Gyermek II. lány 0-34,9 kg"/>
    <x v="32"/>
    <s v="2"/>
    <s v="2 fős egyenes kiesés"/>
    <s v="2"/>
    <s v="Huszár Hanna"/>
    <s v="Kemecse SE"/>
    <s v="HUN"/>
    <n v="0"/>
    <m/>
    <s v="Gyöngyös"/>
    <d v="2026-03-07T00:00:00"/>
    <x v="366"/>
    <x v="0"/>
    <s v="Kemecse SE"/>
    <s v="utánpótlás"/>
    <s v="gyerek"/>
    <m/>
  </r>
  <r>
    <x v="5"/>
    <n v="2"/>
    <n v="1065"/>
    <s v="Kumite"/>
    <s v="Kumite, U 12/Gyermek II. lány 45- kg"/>
    <x v="33"/>
    <s v="2"/>
    <s v="2 fős egyenes kiesés"/>
    <s v="1"/>
    <s v="Matkó Gréta"/>
    <s v="KHSE"/>
    <s v="HUN"/>
    <n v="3"/>
    <m/>
    <s v="Gyöngyös"/>
    <d v="2026-03-07T00:00:00"/>
    <x v="546"/>
    <x v="0"/>
    <s v="KHSE"/>
    <s v="utánpótlás"/>
    <s v="gyerek"/>
    <m/>
  </r>
  <r>
    <x v="5"/>
    <n v="2"/>
    <n v="1066"/>
    <s v="Kumite"/>
    <s v="Kumite, U 12/Gyermek II. lány 45- kg"/>
    <x v="33"/>
    <s v="2"/>
    <s v="2 fős egyenes kiesés"/>
    <s v="2"/>
    <s v="Dászkál Dorottya"/>
    <s v="Shogun"/>
    <s v="HUN"/>
    <n v="0"/>
    <m/>
    <s v="Gyöngyös"/>
    <d v="2026-03-07T00:00:00"/>
    <x v="363"/>
    <x v="0"/>
    <s v="Shogun"/>
    <s v="utánpótlás"/>
    <s v="gyerek"/>
    <m/>
  </r>
  <r>
    <x v="5"/>
    <n v="2"/>
    <n v="1067"/>
    <s v="Kumite"/>
    <s v="Kumite, U 14/Serdülő fiú 0-44,9 kg"/>
    <x v="37"/>
    <s v="3"/>
    <s v="3 fős körmérkőzés"/>
    <s v="1"/>
    <s v="Székely Lázár"/>
    <s v="KYO Fighter SE"/>
    <s v="HUN"/>
    <n v="4"/>
    <m/>
    <s v="Gyöngyös"/>
    <d v="2026-03-07T00:00:00"/>
    <x v="394"/>
    <x v="0"/>
    <s v="KYO Fighter SE"/>
    <s v="utánpótlás"/>
    <s v="serdülő"/>
    <m/>
  </r>
  <r>
    <x v="5"/>
    <n v="2"/>
    <n v="1068"/>
    <s v="Kumite"/>
    <s v="Kumite, U 14/Serdülő fiú 0-44,9 kg"/>
    <x v="37"/>
    <s v="3"/>
    <s v="3 fős körmérkőzés"/>
    <s v="2"/>
    <s v="Palmer Ádám"/>
    <s v="Wheelmaker dojo SE"/>
    <s v="HUN"/>
    <n v="3"/>
    <m/>
    <s v="Gyöngyös"/>
    <d v="2026-03-07T00:00:00"/>
    <x v="547"/>
    <x v="1"/>
    <s v="Wheelmaker dojo SE"/>
    <s v="utánpótlás"/>
    <s v="serdülő"/>
    <m/>
  </r>
  <r>
    <x v="5"/>
    <n v="2"/>
    <n v="1069"/>
    <s v="Kumite"/>
    <s v="Kumite, U 14/Serdülő fiú 0-44,9 kg"/>
    <x v="37"/>
    <s v="3"/>
    <s v="3 fős körmérkőzés"/>
    <s v="3"/>
    <s v="Bara András"/>
    <s v="Wheelmaker dojo SE"/>
    <s v="HUN"/>
    <n v="0"/>
    <m/>
    <s v="Gyöngyös"/>
    <d v="2026-03-07T00:00:00"/>
    <x v="548"/>
    <x v="1"/>
    <s v="Wheelmaker dojo SE"/>
    <s v="utánpótlás"/>
    <s v="serdülő"/>
    <m/>
  </r>
  <r>
    <x v="5"/>
    <n v="2"/>
    <n v="1070"/>
    <s v="Kumite"/>
    <s v="Kumite, U 14/Serdülő fiú 45-54,9 kg"/>
    <x v="79"/>
    <s v="4"/>
    <s v="4 fős körmérkőzés"/>
    <s v="1"/>
    <s v="Vékony Márk"/>
    <s v="Wheelmaker dojo SE"/>
    <s v="HUN"/>
    <n v="6"/>
    <m/>
    <s v="Gyöngyös"/>
    <d v="2026-03-07T00:00:00"/>
    <x v="549"/>
    <x v="1"/>
    <s v="Wheelmaker dojo SE"/>
    <s v="utánpótlás"/>
    <s v="serdülő"/>
    <m/>
  </r>
  <r>
    <x v="5"/>
    <n v="2"/>
    <n v="1071"/>
    <s v="Kumite"/>
    <s v="Kumite, U 14/Serdülő fiú 45-54,9 kg"/>
    <x v="79"/>
    <s v="4"/>
    <s v="4 fős körmérkőzés"/>
    <s v="2"/>
    <s v="Simao Roberto"/>
    <s v="Délegyházi Karate SE"/>
    <s v="HUN"/>
    <n v="5"/>
    <m/>
    <s v="Gyöngyös"/>
    <d v="2026-03-07T00:00:00"/>
    <x v="550"/>
    <x v="1"/>
    <s v="Délegyházi Karate SE"/>
    <s v="utánpótlás"/>
    <s v="serdülő"/>
    <m/>
  </r>
  <r>
    <x v="5"/>
    <n v="2"/>
    <n v="1072"/>
    <s v="Kumite"/>
    <s v="Kumite, U 14/Serdülő fiú 45-54,9 kg"/>
    <x v="79"/>
    <s v="4"/>
    <s v="4 fős körmérkőzés"/>
    <s v="3"/>
    <s v="Kollár Gergő"/>
    <s v="TADASHII "/>
    <s v="HUN"/>
    <n v="3"/>
    <m/>
    <s v="Gyöngyös"/>
    <d v="2026-03-07T00:00:00"/>
    <x v="551"/>
    <x v="1"/>
    <s v="TADASHII "/>
    <s v="utánpótlás"/>
    <s v="serdülő"/>
    <m/>
  </r>
  <r>
    <x v="5"/>
    <n v="2"/>
    <n v="1073"/>
    <s v="Kumite"/>
    <s v="Kumite, U 14/Serdülő fiú 55-64,9 kg"/>
    <x v="80"/>
    <s v="2"/>
    <s v="2 fős egyenes kiesés"/>
    <s v="1"/>
    <s v="Száraz Zsombor"/>
    <s v="Derecske BUDO"/>
    <s v="HUN"/>
    <n v="3"/>
    <m/>
    <s v="Gyöngyös"/>
    <d v="2026-03-07T00:00:00"/>
    <x v="389"/>
    <x v="0"/>
    <s v="Derecske BUDO"/>
    <s v="utánpótlás"/>
    <s v="serdülő"/>
    <m/>
  </r>
  <r>
    <x v="5"/>
    <n v="2"/>
    <n v="1074"/>
    <s v="Kumite"/>
    <s v="Kumite, U 14/Serdülő fiú 55-64,9 kg"/>
    <x v="80"/>
    <s v="2"/>
    <s v="2 fős egyenes kiesés"/>
    <s v="2"/>
    <s v="Tokaji Bocsárd Norbert"/>
    <s v="KHSE"/>
    <s v="HUN"/>
    <n v="0"/>
    <m/>
    <s v="Gyöngyös"/>
    <d v="2026-03-07T00:00:00"/>
    <x v="391"/>
    <x v="0"/>
    <s v="KHSE"/>
    <s v="utánpótlás"/>
    <s v="serdülő"/>
    <m/>
  </r>
  <r>
    <x v="5"/>
    <n v="2"/>
    <n v="1075"/>
    <s v="Kumite"/>
    <s v="Kumite, U 14/Serdülő fiú 65- kg"/>
    <x v="81"/>
    <s v="2"/>
    <s v="2 fős egyenes kiesés"/>
    <s v="1"/>
    <s v="Virág Marcell Máté"/>
    <s v="KHSE"/>
    <s v="HUN"/>
    <n v="3"/>
    <m/>
    <s v="Gyöngyös"/>
    <d v="2026-03-07T00:00:00"/>
    <x v="388"/>
    <x v="0"/>
    <s v="KHSE"/>
    <s v="utánpótlás"/>
    <s v="serdülő"/>
    <m/>
  </r>
  <r>
    <x v="5"/>
    <n v="2"/>
    <n v="1076"/>
    <s v="Kumite"/>
    <s v="Kumite, U 14/Serdülő fiú 65- kg"/>
    <x v="81"/>
    <s v="2"/>
    <s v="2 fős egyenes kiesés"/>
    <s v="2"/>
    <s v="Elek János"/>
    <s v="KHSE"/>
    <s v="HUN"/>
    <n v="0"/>
    <m/>
    <s v="Gyöngyös"/>
    <d v="2026-03-07T00:00:00"/>
    <x v="386"/>
    <x v="0"/>
    <s v="KHSE"/>
    <s v="utánpótlás"/>
    <s v="serdülő"/>
    <m/>
  </r>
  <r>
    <x v="5"/>
    <n v="2"/>
    <n v="1077"/>
    <s v="Kumite"/>
    <s v="Kumite, U 16/Ifjúsági lány 50-54,9 kg"/>
    <x v="57"/>
    <s v="2"/>
    <s v="2 fős egyenes kiesés"/>
    <s v="1"/>
    <s v="Furó Liliána"/>
    <s v="KHSE"/>
    <s v="HUN"/>
    <n v="3"/>
    <m/>
    <s v="Gyöngyös"/>
    <d v="2026-03-07T00:00:00"/>
    <x v="439"/>
    <x v="0"/>
    <s v="KHSE"/>
    <s v="utánpótlás"/>
    <s v="ifjúsági"/>
    <m/>
  </r>
  <r>
    <x v="5"/>
    <n v="2"/>
    <n v="1078"/>
    <s v="Kumite"/>
    <s v="Kumite, U 16/Ifjúsági lány 50-54,9 kg"/>
    <x v="57"/>
    <s v="2"/>
    <s v="2 fős egyenes kiesés"/>
    <s v="2"/>
    <s v="Kiss Boglárka"/>
    <s v="Derecske BUDO"/>
    <s v="HUN"/>
    <n v="0"/>
    <m/>
    <s v="Gyöngyös"/>
    <d v="2026-03-07T00:00:00"/>
    <x v="440"/>
    <x v="0"/>
    <s v="Derecske BUDO"/>
    <s v="utánpótlás"/>
    <s v="ifjúsági"/>
    <m/>
  </r>
  <r>
    <x v="5"/>
    <n v="2"/>
    <n v="1079"/>
    <s v="Kumite"/>
    <s v="Kumite, U 16/Ifjúsági lány 60-64,9 kg"/>
    <x v="71"/>
    <s v="5"/>
    <s v="5 fős körmérkőzés"/>
    <s v="1"/>
    <s v="Fránki Réka"/>
    <s v="TADASHII "/>
    <s v="HUN"/>
    <n v="8"/>
    <m/>
    <s v="Gyöngyös"/>
    <d v="2026-03-07T00:00:00"/>
    <x v="552"/>
    <x v="1"/>
    <s v="TADASHII "/>
    <s v="utánpótlás"/>
    <s v="ifjúsági"/>
    <m/>
  </r>
  <r>
    <x v="5"/>
    <n v="2"/>
    <n v="1080"/>
    <s v="Kumite"/>
    <s v="Kumite, U 16/Ifjúsági lány 60-64,9 kg"/>
    <x v="71"/>
    <s v="5"/>
    <s v="5 fős körmérkőzés"/>
    <s v="2"/>
    <s v="Pénzes Zsófia"/>
    <s v="KHSE"/>
    <s v="HUN"/>
    <n v="6"/>
    <m/>
    <s v="Gyöngyös"/>
    <d v="2026-03-07T00:00:00"/>
    <x v="442"/>
    <x v="0"/>
    <s v="KHSE"/>
    <s v="utánpótlás"/>
    <s v="ifjúsági"/>
    <m/>
  </r>
  <r>
    <x v="5"/>
    <n v="2"/>
    <n v="1081"/>
    <s v="Kumite"/>
    <s v="Kumite, U 16/Ifjúsági lány 60-64,9 kg"/>
    <x v="71"/>
    <s v="5"/>
    <s v="5 fős körmérkőzés"/>
    <s v="3"/>
    <s v="Albert Szilvia Cintia"/>
    <s v="Derecske BUDO"/>
    <s v="HUN"/>
    <n v="4"/>
    <m/>
    <s v="Gyöngyös"/>
    <d v="2026-03-07T00:00:00"/>
    <x v="443"/>
    <x v="0"/>
    <s v="Derecske BUDO"/>
    <s v="utánpótlás"/>
    <s v="ifjúsági"/>
    <m/>
  </r>
  <r>
    <x v="5"/>
    <n v="2"/>
    <n v="1081"/>
    <s v="Kumite"/>
    <s v="Kumite, U 16/Ifjúsági lány 60-64,9 kg"/>
    <x v="71"/>
    <s v="5"/>
    <s v="5 fős körmérkőzés"/>
    <n v="4"/>
    <s v="Kovács Viktória"/>
    <s v="Nintai KKSE"/>
    <s v="HUN"/>
    <n v="3"/>
    <m/>
    <s v="Gyöngyös"/>
    <d v="2026-03-07T00:00:00"/>
    <x v="553"/>
    <x v="1"/>
    <s v="Nintai KKSE"/>
    <s v="utánpótlás"/>
    <s v="ifjúsági"/>
    <m/>
  </r>
  <r>
    <x v="6"/>
    <n v="2"/>
    <n v="1083"/>
    <s v="Kumite"/>
    <s v="Kumite, U12/Gyerek II fiú 0-39,9 kg"/>
    <x v="27"/>
    <s v="10"/>
    <s v="16 fős egyenes kiesés"/>
    <s v="1"/>
    <s v="Balogh Levente"/>
    <s v="Magna Dojo"/>
    <s v="HUN"/>
    <n v="8"/>
    <m/>
    <s v="Szigetszentmiklós"/>
    <d v="2026-03-22T00:00:00"/>
    <x v="540"/>
    <x v="0"/>
    <s v="Magna Dojo"/>
    <s v="utánpótlás"/>
    <s v="gyerek"/>
    <m/>
  </r>
  <r>
    <x v="6"/>
    <n v="2"/>
    <n v="1084"/>
    <s v="Kumite"/>
    <s v="Kumite, U12/Gyerek II fiú 0-39,9 kg"/>
    <x v="27"/>
    <s v="10"/>
    <s v="16 fős egyenes kiesés"/>
    <s v="2"/>
    <s v="Boka Norman Eliot"/>
    <s v="Katana SE"/>
    <s v="HUN"/>
    <n v="6"/>
    <m/>
    <s v="Szigetszentmiklós"/>
    <d v="2026-03-22T00:00:00"/>
    <x v="99"/>
    <x v="0"/>
    <s v="Katana SE"/>
    <s v="utánpótlás"/>
    <s v="gyerek"/>
    <m/>
  </r>
  <r>
    <x v="6"/>
    <n v="2"/>
    <n v="1085"/>
    <s v="Kumite"/>
    <s v="Kumite, U12/Gyerek II fiú 0-39,9 kg"/>
    <x v="27"/>
    <s v="10"/>
    <s v="16 fős egyenes kiesés"/>
    <s v="3"/>
    <s v="Szenner Valentin"/>
    <s v="Katana SE"/>
    <s v="HUN"/>
    <n v="4"/>
    <m/>
    <s v="Szigetszentmiklós"/>
    <d v="2026-03-22T00:00:00"/>
    <x v="110"/>
    <x v="0"/>
    <s v="Katana SE"/>
    <s v="utánpótlás"/>
    <s v="gyerek"/>
    <m/>
  </r>
  <r>
    <x v="6"/>
    <n v="2"/>
    <n v="1086"/>
    <s v="Kumite"/>
    <s v="Kumite, U12/Gyerek II fiú 0-39,9 kg"/>
    <x v="27"/>
    <s v="10"/>
    <s v="16 fős egyenes kiesés"/>
    <s v="3"/>
    <s v="Hegedűs Botond"/>
    <s v="Keizoku SE"/>
    <s v="HUN"/>
    <n v="4"/>
    <m/>
    <s v="Szigetszentmiklós"/>
    <d v="2026-03-22T00:00:00"/>
    <x v="333"/>
    <x v="0"/>
    <s v="Keizoku SE"/>
    <s v="utánpótlás"/>
    <s v="gyerek"/>
    <m/>
  </r>
  <r>
    <x v="6"/>
    <n v="2"/>
    <n v="1087"/>
    <s v="Kumite"/>
    <s v="Kumite, U12/Gyerek II fiú 0-39,9 kg"/>
    <x v="27"/>
    <s v="10"/>
    <s v="16 fős egyenes kiesés"/>
    <s v="5"/>
    <s v="Zajácz Miklós"/>
    <s v="Kamikaze S"/>
    <s v="HUN"/>
    <n v="0"/>
    <s v="nem volt nyertes mérkőzése"/>
    <s v="Szigetszentmiklós"/>
    <d v="2026-03-22T00:00:00"/>
    <x v="101"/>
    <x v="0"/>
    <s v="Kamikaze S"/>
    <s v="utánpótlás"/>
    <s v="gyerek"/>
    <m/>
  </r>
  <r>
    <x v="6"/>
    <n v="2"/>
    <n v="1088"/>
    <s v="Kumite"/>
    <s v="Kumite, U12/Gyerek II fiú 0-39,9 kg"/>
    <x v="27"/>
    <s v="10"/>
    <s v="16 fős egyenes kiesés"/>
    <s v="6"/>
    <s v="Kiss Adrián"/>
    <s v="Keizoku SE"/>
    <s v="HUN"/>
    <n v="0"/>
    <s v="nem volt nyertes mérkőzése"/>
    <s v="Szigetszentmiklós"/>
    <d v="2026-03-22T00:00:00"/>
    <x v="332"/>
    <x v="0"/>
    <s v="Keizoku SE"/>
    <s v="utánpótlás"/>
    <s v="gyerek"/>
    <m/>
  </r>
  <r>
    <x v="6"/>
    <n v="2"/>
    <n v="1089"/>
    <s v="Kumite"/>
    <s v="Kumite, U12/Gyerek II fiú 0-39,9 kg"/>
    <x v="27"/>
    <s v="10"/>
    <s v="16 fős egyenes kiesés"/>
    <s v="7-8"/>
    <s v="Molnár I. Zétény"/>
    <s v="KKE - Spartacus"/>
    <s v="HUN"/>
    <n v="2"/>
    <m/>
    <s v="Szigetszentmiklós"/>
    <d v="2026-03-22T00:00:00"/>
    <x v="112"/>
    <x v="0"/>
    <s v="KKE - Spartacus"/>
    <s v="utánpótlás"/>
    <s v="gyerek"/>
    <m/>
  </r>
  <r>
    <x v="6"/>
    <n v="2"/>
    <n v="1090"/>
    <s v="Kumite"/>
    <s v="Kumite, U12/Gyerek II fiú 0-39,9 kg"/>
    <x v="27"/>
    <s v="10"/>
    <s v="16 fős egyenes kiesés"/>
    <s v="7-8"/>
    <s v="Eszenyi Barnabás"/>
    <s v="Shogun"/>
    <s v="HUN"/>
    <n v="0"/>
    <s v="nem volt nyertes mérkőzése"/>
    <s v="Szigetszentmiklós"/>
    <d v="2026-03-22T00:00:00"/>
    <x v="330"/>
    <x v="0"/>
    <s v="Shogun"/>
    <s v="utánpótlás"/>
    <s v="gyerek"/>
    <m/>
  </r>
  <r>
    <x v="6"/>
    <n v="2"/>
    <n v="1091"/>
    <s v="Kumite"/>
    <s v="Kumite, U12/Gyerek II fiú 0-39,9 kg"/>
    <x v="27"/>
    <s v="10"/>
    <s v="16 fős egyenes kiesés"/>
    <s v="11-16"/>
    <s v="Gordos Zalán"/>
    <s v="VTSE"/>
    <s v="HUN"/>
    <n v="0"/>
    <m/>
    <s v="Szigetszentmiklós"/>
    <d v="2026-03-22T00:00:00"/>
    <x v="102"/>
    <x v="1"/>
    <s v="VTSE"/>
    <s v="utánpótlás"/>
    <s v="gyerek"/>
    <m/>
  </r>
  <r>
    <x v="6"/>
    <n v="2"/>
    <n v="1092"/>
    <s v="Kumite"/>
    <s v="Kumite, U12/Gyerek II fiú 0-39,9 kg"/>
    <x v="27"/>
    <s v="10"/>
    <s v="16 fős egyenes kiesés"/>
    <s v="11-16"/>
    <s v="Tarr Bence"/>
    <s v="Shogun"/>
    <s v="HUN"/>
    <n v="0"/>
    <m/>
    <s v="Szigetszentmiklós"/>
    <d v="2026-03-22T00:00:00"/>
    <x v="319"/>
    <x v="0"/>
    <s v="Shogun"/>
    <s v="utánpótlás"/>
    <s v="gyerek"/>
    <m/>
  </r>
  <r>
    <x v="6"/>
    <n v="2"/>
    <n v="1093"/>
    <s v="Kumite"/>
    <s v="Kumite, U12/Gyerek II fiú 45-49,9 kg"/>
    <x v="77"/>
    <s v="4"/>
    <s v="4 fős körmérkőzés"/>
    <s v="1"/>
    <s v="Szabó Máté Péter"/>
    <s v="WARRIORS TEAM"/>
    <s v="HUN"/>
    <n v="6"/>
    <m/>
    <s v="Szigetszentmiklós"/>
    <d v="2026-03-22T00:00:00"/>
    <x v="126"/>
    <x v="0"/>
    <s v="WARRIORS TEAM"/>
    <s v="utánpótlás"/>
    <s v="gyerek"/>
    <m/>
  </r>
  <r>
    <x v="6"/>
    <n v="2"/>
    <n v="1094"/>
    <s v="Kumite"/>
    <s v="Kumite, U12/Gyerek II fiú 45-49,9 kg"/>
    <x v="77"/>
    <s v="4"/>
    <s v="4 fős körmérkőzés"/>
    <s v="2"/>
    <s v="Borsi Krisztián"/>
    <s v="KHSE"/>
    <s v="HUN"/>
    <n v="5"/>
    <m/>
    <s v="Szigetszentmiklós"/>
    <d v="2026-03-22T00:00:00"/>
    <x v="543"/>
    <x v="0"/>
    <s v="KHSE"/>
    <s v="utánpótlás"/>
    <s v="gyerek"/>
    <m/>
  </r>
  <r>
    <x v="6"/>
    <n v="2"/>
    <n v="1095"/>
    <s v="Kumite"/>
    <s v="Kumite, U12/Gyerek II fiú 45-49,9 kg"/>
    <x v="77"/>
    <s v="4"/>
    <s v="4 fős körmérkőzés"/>
    <s v="3"/>
    <s v="Kerékgyártó Tamás"/>
    <s v="Wheelmaker dojo SE"/>
    <s v="HUN"/>
    <n v="3"/>
    <m/>
    <s v="Szigetszentmiklós"/>
    <d v="2026-03-22T00:00:00"/>
    <x v="542"/>
    <x v="1"/>
    <s v="Wheelmaker dojo SE"/>
    <s v="utánpótlás"/>
    <s v="gyerek"/>
    <m/>
  </r>
  <r>
    <x v="6"/>
    <n v="2"/>
    <n v="1096"/>
    <s v="Kumite"/>
    <s v="Kumite, U12/Gyerek II fiú 45-49,9 kg"/>
    <x v="77"/>
    <s v="4"/>
    <s v="4 fős körmérkőzés"/>
    <s v="4"/>
    <s v="Ratkai János"/>
    <s v="KHSE"/>
    <s v="HUN"/>
    <n v="2"/>
    <m/>
    <s v="Szigetszentmiklós"/>
    <d v="2026-03-22T00:00:00"/>
    <x v="541"/>
    <x v="0"/>
    <s v="KHSE"/>
    <s v="utánpótlás"/>
    <s v="gyerek"/>
    <m/>
  </r>
  <r>
    <x v="6"/>
    <n v="2"/>
    <n v="1097"/>
    <s v="Kumite"/>
    <s v="Kumite, U12/Gyerek II fiú 50- kg"/>
    <x v="78"/>
    <s v="8"/>
    <s v="8 fős egyenes kiesés"/>
    <s v="1"/>
    <s v="Vágó Ákos"/>
    <s v="KHSE"/>
    <s v="HUN"/>
    <n v="6"/>
    <m/>
    <s v="Szigetszentmiklós"/>
    <d v="2026-03-22T00:00:00"/>
    <x v="545"/>
    <x v="0"/>
    <s v="KHSE"/>
    <s v="utánpótlás"/>
    <s v="gyerek"/>
    <m/>
  </r>
  <r>
    <x v="6"/>
    <n v="2"/>
    <n v="1098"/>
    <s v="Kumite"/>
    <s v="Kumite, U12/Gyerek II fiú 50- kg"/>
    <x v="78"/>
    <s v="8"/>
    <s v="8 fős egyenes kiesés"/>
    <s v="2"/>
    <s v="Kiss Levente"/>
    <s v="Derecske BUDO"/>
    <s v="HUN"/>
    <n v="5"/>
    <m/>
    <s v="Szigetszentmiklós"/>
    <d v="2026-03-22T00:00:00"/>
    <x v="341"/>
    <x v="0"/>
    <s v="Derecske BUDO"/>
    <s v="utánpótlás"/>
    <s v="gyerek"/>
    <m/>
  </r>
  <r>
    <x v="6"/>
    <n v="2"/>
    <n v="1099"/>
    <s v="Kumite"/>
    <s v="Kumite, U12/Gyerek II fiú 50- kg"/>
    <x v="78"/>
    <s v="8"/>
    <s v="8 fős egyenes kiesés"/>
    <s v="3"/>
    <s v="Borsi Balázs"/>
    <s v="KHSE"/>
    <s v="HUN"/>
    <n v="3"/>
    <m/>
    <s v="Szigetszentmiklós"/>
    <d v="2026-03-22T00:00:00"/>
    <x v="544"/>
    <x v="0"/>
    <s v="KHSE"/>
    <s v="utánpótlás"/>
    <s v="gyerek"/>
    <m/>
  </r>
  <r>
    <x v="6"/>
    <n v="2"/>
    <n v="1100"/>
    <s v="Kumite"/>
    <s v="Kumite, U12/Gyerek II fiú 50- kg"/>
    <x v="78"/>
    <s v="8"/>
    <s v="8 fős egyenes kiesés"/>
    <s v="3"/>
    <s v="Gyuricska Benedek"/>
    <s v="Shogun"/>
    <s v="HUN"/>
    <n v="3"/>
    <m/>
    <s v="Szigetszentmiklós"/>
    <d v="2026-03-22T00:00:00"/>
    <x v="348"/>
    <x v="0"/>
    <s v="Shogun"/>
    <s v="utánpótlás"/>
    <s v="gyerek"/>
    <m/>
  </r>
  <r>
    <x v="6"/>
    <n v="2"/>
    <n v="1101"/>
    <s v="Kumite"/>
    <s v="Kumite, U12/Gyerek II fiú 50- kg"/>
    <x v="78"/>
    <s v="8"/>
    <s v="8 fős egyenes kiesés"/>
    <s v="5"/>
    <s v="Adamecz Milán"/>
    <s v="Nagykátai Bushido SE"/>
    <s v="HUN"/>
    <n v="0"/>
    <m/>
    <s v="Szigetszentmiklós"/>
    <d v="2026-03-22T00:00:00"/>
    <x v="529"/>
    <x v="0"/>
    <s v="Nagykátai Bushido SE"/>
    <s v="utánpótlás"/>
    <s v="gyerek"/>
    <m/>
  </r>
  <r>
    <x v="6"/>
    <n v="2"/>
    <n v="1102"/>
    <s v="Kumite"/>
    <s v="Kumite, U12/Gyerek II fiú 50- kg"/>
    <x v="78"/>
    <s v="8"/>
    <s v="8 fős egyenes kiesés"/>
    <s v="6"/>
    <s v="Némethy Balázs"/>
    <s v="Shogun"/>
    <s v="HUN"/>
    <n v="0"/>
    <m/>
    <s v="Szigetszentmiklós"/>
    <d v="2026-03-22T00:00:00"/>
    <x v="335"/>
    <x v="0"/>
    <s v="Shogun"/>
    <s v="utánpótlás"/>
    <s v="gyerek"/>
    <m/>
  </r>
  <r>
    <x v="6"/>
    <n v="2"/>
    <n v="1103"/>
    <s v="Kumite"/>
    <s v="Kumite, U12/Gyerek II fiú 50- kg"/>
    <x v="78"/>
    <s v="8"/>
    <s v="8 fős egyenes kiesés"/>
    <s v="7-8"/>
    <s v="Kiss István"/>
    <s v="Derecske BUDO"/>
    <s v="HUN"/>
    <n v="0"/>
    <m/>
    <s v="Szigetszentmiklós"/>
    <d v="2026-03-22T00:00:00"/>
    <x v="340"/>
    <x v="0"/>
    <s v="Derecske BUDO"/>
    <s v="utánpótlás"/>
    <s v="gyerek"/>
    <m/>
  </r>
  <r>
    <x v="6"/>
    <n v="2"/>
    <n v="1104"/>
    <s v="Kumite"/>
    <s v="Kumite, U12/Gyerek II fiú 50- kg"/>
    <x v="78"/>
    <s v="8"/>
    <s v="8 fős egyenes kiesés"/>
    <s v="7-8"/>
    <s v="Odorics Zétény"/>
    <s v="Rakurai"/>
    <s v="HUN"/>
    <n v="0"/>
    <m/>
    <s v="Szigetszentmiklós"/>
    <d v="2026-03-22T00:00:00"/>
    <x v="491"/>
    <x v="0"/>
    <s v="Rakurai"/>
    <s v="utánpótlás"/>
    <s v="gyerek"/>
    <m/>
  </r>
  <r>
    <x v="6"/>
    <n v="2"/>
    <n v="1105"/>
    <s v="Kumite"/>
    <s v="Kumite, U12/Gyerek II lány 0-34,9 kg"/>
    <x v="32"/>
    <s v="2"/>
    <s v="2 fős egyenes kiesés"/>
    <s v="1"/>
    <s v="Fürjesi Eszter"/>
    <s v="Shogun"/>
    <s v="HUN"/>
    <n v="3"/>
    <m/>
    <s v="Szigetszentmiklós"/>
    <d v="2026-03-22T00:00:00"/>
    <x v="358"/>
    <x v="0"/>
    <s v="Shogun"/>
    <s v="utánpótlás"/>
    <s v="gyerek"/>
    <m/>
  </r>
  <r>
    <x v="6"/>
    <n v="2"/>
    <n v="1106"/>
    <s v="Kumite"/>
    <s v="Kumite, U12/Gyerek II lány 0-34,9 kg"/>
    <x v="32"/>
    <s v="2"/>
    <s v="2 fős egyenes kiesés"/>
    <s v="2"/>
    <s v="Huszár Hanna"/>
    <s v="Kemecse SE"/>
    <s v="HUN"/>
    <n v="0"/>
    <m/>
    <s v="Szigetszentmiklós"/>
    <d v="2026-03-22T00:00:00"/>
    <x v="366"/>
    <x v="0"/>
    <s v="Kemecse SE"/>
    <s v="utánpótlás"/>
    <s v="gyerek"/>
    <m/>
  </r>
  <r>
    <x v="6"/>
    <n v="2"/>
    <n v="1107"/>
    <s v="Kumite"/>
    <s v="Kumite, U12/Gyerek II lány 40-44,9 kg"/>
    <x v="34"/>
    <s v="2"/>
    <s v="2 fős egyenes kiesés"/>
    <s v="1"/>
    <s v="Vig Boglárka"/>
    <s v="VTSE"/>
    <s v="HUN"/>
    <n v="3"/>
    <m/>
    <s v="Szigetszentmiklós"/>
    <d v="2026-03-22T00:00:00"/>
    <x v="144"/>
    <x v="1"/>
    <s v="VTSE"/>
    <s v="utánpótlás"/>
    <s v="gyerek"/>
    <m/>
  </r>
  <r>
    <x v="6"/>
    <n v="2"/>
    <n v="1108"/>
    <s v="Kumite"/>
    <s v="Kumite, U12/Gyerek II lány 40-44,9 kg"/>
    <x v="34"/>
    <s v="2"/>
    <s v="2 fős egyenes kiesés"/>
    <s v="2"/>
    <s v="Szombath Jázmin"/>
    <s v="Főnix Dojo"/>
    <s v="HUN"/>
    <n v="0"/>
    <m/>
    <s v="Szigetszentmiklós"/>
    <d v="2026-03-22T00:00:00"/>
    <x v="147"/>
    <x v="0"/>
    <s v="Főnix Dojo"/>
    <s v="utánpótlás"/>
    <s v="gyerek"/>
    <m/>
  </r>
  <r>
    <x v="6"/>
    <n v="2"/>
    <n v="1109"/>
    <s v="Kumite"/>
    <s v="Kumite, U12/Gyerek II lány 45- kg"/>
    <x v="33"/>
    <s v="6"/>
    <s v="6 fős vegyes"/>
    <s v="1"/>
    <s v="Matkó Gréta"/>
    <s v="KHSE"/>
    <s v="HUN"/>
    <n v="6"/>
    <m/>
    <s v="Szigetszentmiklós"/>
    <d v="2026-03-22T00:00:00"/>
    <x v="546"/>
    <x v="0"/>
    <s v="KHSE"/>
    <s v="utánpótlás"/>
    <s v="gyerek"/>
    <m/>
  </r>
  <r>
    <x v="6"/>
    <n v="2"/>
    <n v="1110"/>
    <s v="Kumite"/>
    <s v="Kumite, U12/Gyerek II lány 45- kg"/>
    <x v="33"/>
    <s v="6"/>
    <s v="6 fős vegyes"/>
    <s v="2"/>
    <s v="Kocsis Nóra"/>
    <s v="Genbu dojo"/>
    <s v="HUN"/>
    <n v="5"/>
    <m/>
    <s v="Szigetszentmiklós"/>
    <d v="2026-03-22T00:00:00"/>
    <x v="141"/>
    <x v="1"/>
    <s v="Genbu dojo"/>
    <s v="utánpótlás"/>
    <s v="gyerek"/>
    <m/>
  </r>
  <r>
    <x v="6"/>
    <n v="2"/>
    <n v="1111"/>
    <s v="Kumite"/>
    <s v="Kumite, U12/Gyerek II lány 45- kg"/>
    <x v="33"/>
    <s v="6"/>
    <s v="6 fős vegyes"/>
    <s v="3"/>
    <s v="Kocsis Angéla"/>
    <s v="Genbu dojo"/>
    <s v="HUN"/>
    <n v="3"/>
    <m/>
    <s v="Szigetszentmiklós"/>
    <d v="2026-03-22T00:00:00"/>
    <x v="142"/>
    <x v="1"/>
    <s v="Genbu dojo"/>
    <s v="utánpótlás"/>
    <s v="gyerek"/>
    <m/>
  </r>
  <r>
    <x v="6"/>
    <n v="2"/>
    <n v="1112"/>
    <s v="Kumite"/>
    <s v="Kumite, U12/Gyerek II lány 45- kg"/>
    <x v="33"/>
    <s v="6"/>
    <s v="6 fős vegyes"/>
    <s v="4"/>
    <s v="Szabó Lídia Lillada"/>
    <s v="POWER SE."/>
    <s v="HUN"/>
    <n v="0"/>
    <m/>
    <s v="Szigetszentmiklós"/>
    <d v="2026-03-22T00:00:00"/>
    <x v="554"/>
    <x v="0"/>
    <s v="POWER SE."/>
    <s v="utánpótlás"/>
    <s v="gyerek"/>
    <m/>
  </r>
  <r>
    <x v="6"/>
    <n v="2"/>
    <n v="1113"/>
    <s v="Kumite"/>
    <s v="Kumite, U12/Gyerek II lány 45- kg"/>
    <x v="33"/>
    <s v="6"/>
    <s v="6 fős vegyes"/>
    <s v="5"/>
    <s v="Dászkál Dorottya"/>
    <s v="Shogun"/>
    <s v="HUN"/>
    <n v="0"/>
    <m/>
    <s v="Szigetszentmiklós"/>
    <d v="2026-03-22T00:00:00"/>
    <x v="363"/>
    <x v="0"/>
    <s v="Shogun"/>
    <s v="utánpótlás"/>
    <s v="gyerek"/>
    <m/>
  </r>
  <r>
    <x v="6"/>
    <n v="2"/>
    <n v="1114"/>
    <s v="Kumite"/>
    <s v="Kumite, U12/Gyerek II lány 45- kg"/>
    <x v="33"/>
    <s v="6"/>
    <s v="6 fős vegyes"/>
    <s v="6"/>
    <s v="Janás Mia"/>
    <s v="Főnix Dojo"/>
    <s v="HUN"/>
    <n v="0"/>
    <m/>
    <s v="Szigetszentmiklós"/>
    <d v="2026-03-22T00:00:00"/>
    <x v="494"/>
    <x v="0"/>
    <s v="Főnix Dojo"/>
    <s v="utánpótlás"/>
    <s v="gyerek"/>
    <m/>
  </r>
  <r>
    <x v="6"/>
    <n v="2"/>
    <n v="1115"/>
    <s v="Kumite"/>
    <s v="Kumite, U14/Serdülő fiú 0-44,9 kg"/>
    <x v="37"/>
    <s v="9"/>
    <s v="16 fős egyenes kiesés"/>
    <s v="1"/>
    <s v="Bárkovics Áron"/>
    <s v="KKE - Spartacus"/>
    <s v="HUN"/>
    <n v="8"/>
    <m/>
    <s v="Szigetszentmiklós"/>
    <d v="2026-03-22T00:00:00"/>
    <x v="158"/>
    <x v="0"/>
    <s v="KKE - Spartacus"/>
    <s v="utánpótlás"/>
    <s v="serdülő"/>
    <m/>
  </r>
  <r>
    <x v="6"/>
    <n v="2"/>
    <n v="1116"/>
    <s v="Kumite"/>
    <s v="Kumite, U14/Serdülő fiú 0-44,9 kg"/>
    <x v="37"/>
    <s v="9"/>
    <s v="16 fős egyenes kiesés"/>
    <s v="2"/>
    <s v="Böszörményi Bendegúz "/>
    <s v="Nagykátai Bushido SE"/>
    <s v="HUN"/>
    <n v="6"/>
    <m/>
    <s v="Szigetszentmiklós"/>
    <d v="2026-03-22T00:00:00"/>
    <x v="555"/>
    <x v="0"/>
    <s v="Nagykátai Bushido SE"/>
    <s v="utánpótlás"/>
    <s v="serdülő"/>
    <m/>
  </r>
  <r>
    <x v="6"/>
    <n v="2"/>
    <n v="1117"/>
    <s v="Kumite"/>
    <s v="Kumite, U14/Serdülő fiú 0-44,9 kg"/>
    <x v="37"/>
    <s v="9"/>
    <s v="16 fős egyenes kiesés"/>
    <s v="3"/>
    <s v="Szabó Zoltán Szüa"/>
    <s v="POWER SE."/>
    <s v="HUN"/>
    <n v="4"/>
    <m/>
    <s v="Szigetszentmiklós"/>
    <d v="2026-03-22T00:00:00"/>
    <x v="530"/>
    <x v="0"/>
    <s v="POWER SE."/>
    <s v="utánpótlás"/>
    <s v="serdülő"/>
    <m/>
  </r>
  <r>
    <x v="6"/>
    <n v="2"/>
    <n v="1118"/>
    <s v="Kumite"/>
    <s v="Kumite, U14/Serdülő fiú 0-44,9 kg"/>
    <x v="37"/>
    <s v="9"/>
    <s v="16 fős egyenes kiesés"/>
    <s v="3"/>
    <s v="Hegedűs Zsombor"/>
    <s v="Nagykátai Bushido SE"/>
    <s v="HUN"/>
    <n v="4"/>
    <m/>
    <s v="Szigetszentmiklós"/>
    <d v="2026-03-22T00:00:00"/>
    <x v="556"/>
    <x v="0"/>
    <s v="Nagykátai Bushido SE"/>
    <s v="utánpótlás"/>
    <s v="serdülő"/>
    <m/>
  </r>
  <r>
    <x v="6"/>
    <n v="2"/>
    <n v="1119"/>
    <s v="Kumite"/>
    <s v="Kumite, U14/Serdülő fiú 0-44,9 kg"/>
    <x v="37"/>
    <s v="9"/>
    <s v="16 fős egyenes kiesés"/>
    <s v="5"/>
    <s v="Bara András"/>
    <s v="Wheelmaker dojo SE"/>
    <s v="HUN"/>
    <n v="0"/>
    <s v="nem volt nyertes mérkőzése"/>
    <s v="Szigetszentmiklós"/>
    <d v="2026-03-22T00:00:00"/>
    <x v="548"/>
    <x v="1"/>
    <s v="Wheelmaker dojo SE"/>
    <s v="utánpótlás"/>
    <s v="serdülő"/>
    <m/>
  </r>
  <r>
    <x v="6"/>
    <n v="2"/>
    <n v="1120"/>
    <s v="Kumite"/>
    <s v="Kumite, U14/Serdülő fiú 0-44,9 kg"/>
    <x v="37"/>
    <s v="9"/>
    <s v="16 fős egyenes kiesés"/>
    <s v="6"/>
    <s v="Székely Lázár"/>
    <s v="KYO Fighter SE"/>
    <s v="HUN"/>
    <n v="0"/>
    <s v="nem volt nyertes mérkőzése"/>
    <s v="Szigetszentmiklós"/>
    <d v="2026-03-22T00:00:00"/>
    <x v="394"/>
    <x v="0"/>
    <s v="KYO Fighter SE"/>
    <s v="utánpótlás"/>
    <s v="serdülő"/>
    <m/>
  </r>
  <r>
    <x v="6"/>
    <n v="2"/>
    <n v="1121"/>
    <s v="Kumite"/>
    <s v="Kumite, U14/Serdülő fiú 0-44,9 kg"/>
    <x v="37"/>
    <s v="9"/>
    <s v="16 fős egyenes kiesés"/>
    <s v="7-8"/>
    <s v="Béres Bence"/>
    <s v="VTSE"/>
    <s v="HUN"/>
    <n v="0"/>
    <s v="nem volt nyertes mérkőzése"/>
    <s v="Szigetszentmiklós"/>
    <d v="2026-03-22T00:00:00"/>
    <x v="160"/>
    <x v="1"/>
    <s v="VTSE"/>
    <s v="utánpótlás"/>
    <s v="serdülő"/>
    <m/>
  </r>
  <r>
    <x v="6"/>
    <n v="2"/>
    <n v="1122"/>
    <s v="Kumite"/>
    <s v="Kumite, U14/Serdülő fiú 0-44,9 kg"/>
    <x v="37"/>
    <s v="9"/>
    <s v="16 fős egyenes kiesés"/>
    <s v="7-8"/>
    <s v="Palmer Ádám"/>
    <s v="Wheelmaker dojo SE"/>
    <s v="HUN"/>
    <n v="0"/>
    <s v="nem volt nyertes mérkőzése"/>
    <s v="Szigetszentmiklós"/>
    <d v="2026-03-22T00:00:00"/>
    <x v="547"/>
    <x v="1"/>
    <s v="Wheelmaker dojo SE"/>
    <s v="utánpótlás"/>
    <s v="serdülő"/>
    <m/>
  </r>
  <r>
    <x v="6"/>
    <n v="2"/>
    <n v="1123"/>
    <s v="Kumite"/>
    <s v="Kumite, U14/Serdülő fiú 0-44,9 kg"/>
    <x v="37"/>
    <s v="9"/>
    <s v="16 fős egyenes kiesés"/>
    <s v="11-16"/>
    <s v="Rudi Gergő"/>
    <s v="Rakurai"/>
    <s v="HUN"/>
    <n v="0"/>
    <m/>
    <s v="Szigetszentmiklós"/>
    <d v="2026-03-22T00:00:00"/>
    <x v="498"/>
    <x v="0"/>
    <s v="Rakurai"/>
    <s v="utánpótlás"/>
    <s v="serdülő"/>
    <m/>
  </r>
  <r>
    <x v="6"/>
    <n v="2"/>
    <n v="1124"/>
    <s v="Kumite"/>
    <s v="Kumite, U14/Serdülő fiú 45-54,9 kg"/>
    <x v="79"/>
    <s v="10"/>
    <s v="16 fős egyenes kiesés"/>
    <s v="1"/>
    <s v="Viszugyel Bálint"/>
    <s v="VTSE"/>
    <s v="HUN"/>
    <n v="8"/>
    <m/>
    <s v="Szigetszentmiklós"/>
    <d v="2026-03-22T00:00:00"/>
    <x v="170"/>
    <x v="1"/>
    <s v="VTSE"/>
    <s v="utánpótlás"/>
    <s v="serdülő"/>
    <m/>
  </r>
  <r>
    <x v="6"/>
    <n v="2"/>
    <n v="1125"/>
    <s v="Kumite"/>
    <s v="Kumite, U14/Serdülő fiú 45-54,9 kg"/>
    <x v="79"/>
    <s v="10"/>
    <s v="16 fős egyenes kiesés"/>
    <s v="2"/>
    <s v="Vig Bendegúz"/>
    <s v="VTSE"/>
    <s v="HUN"/>
    <n v="6"/>
    <m/>
    <s v="Szigetszentmiklós"/>
    <d v="2026-03-22T00:00:00"/>
    <x v="171"/>
    <x v="1"/>
    <s v="VTSE"/>
    <s v="utánpótlás"/>
    <s v="serdülő"/>
    <m/>
  </r>
  <r>
    <x v="6"/>
    <n v="2"/>
    <n v="1126"/>
    <s v="Kumite"/>
    <s v="Kumite, U14/Serdülő fiú 45-54,9 kg"/>
    <x v="79"/>
    <s v="10"/>
    <s v="16 fős egyenes kiesés"/>
    <s v="3"/>
    <s v="Tóth Kornél"/>
    <s v="KKE - Spartacus"/>
    <s v="HUN"/>
    <n v="4"/>
    <m/>
    <s v="Szigetszentmiklós"/>
    <d v="2026-03-22T00:00:00"/>
    <x v="163"/>
    <x v="0"/>
    <s v="KKE - Spartacus"/>
    <s v="utánpótlás"/>
    <s v="serdülő"/>
    <m/>
  </r>
  <r>
    <x v="6"/>
    <n v="2"/>
    <n v="1127"/>
    <s v="Kumite"/>
    <s v="Kumite, U14/Serdülő fiú 45-54,9 kg"/>
    <x v="79"/>
    <s v="10"/>
    <s v="16 fős egyenes kiesés"/>
    <s v="3"/>
    <s v="Simao Roberto"/>
    <s v="Délegyházi Karate SE"/>
    <s v="HUN"/>
    <n v="4"/>
    <m/>
    <s v="Szigetszentmiklós"/>
    <d v="2026-03-22T00:00:00"/>
    <x v="550"/>
    <x v="1"/>
    <s v="Délegyházi Karate SE"/>
    <s v="utánpótlás"/>
    <s v="serdülő"/>
    <m/>
  </r>
  <r>
    <x v="6"/>
    <n v="2"/>
    <n v="1128"/>
    <s v="Kumite"/>
    <s v="Kumite, U14/Serdülő fiú 45-54,9 kg"/>
    <x v="79"/>
    <s v="10"/>
    <s v="16 fős egyenes kiesés"/>
    <s v="5"/>
    <s v="Vékony Márk"/>
    <s v="Wheelmaker dojo SE"/>
    <s v="HUN"/>
    <n v="0"/>
    <s v="nem volt nyertes mérkőzése"/>
    <s v="Szigetszentmiklós"/>
    <d v="2026-03-22T00:00:00"/>
    <x v="549"/>
    <x v="1"/>
    <s v="Wheelmaker dojo SE"/>
    <s v="utánpótlás"/>
    <s v="serdülő"/>
    <m/>
  </r>
  <r>
    <x v="6"/>
    <n v="2"/>
    <n v="1129"/>
    <s v="Kumite"/>
    <s v="Kumite, U14/Serdülő fiú 45-54,9 kg"/>
    <x v="79"/>
    <s v="10"/>
    <s v="16 fős egyenes kiesés"/>
    <s v="6"/>
    <s v="Kollár Gergő"/>
    <s v="TADASHII "/>
    <s v="HUN"/>
    <n v="0"/>
    <s v="nem volt nyertes mérkőzése"/>
    <s v="Szigetszentmiklós"/>
    <d v="2026-03-22T00:00:00"/>
    <x v="551"/>
    <x v="1"/>
    <s v="TADASHII "/>
    <s v="utánpótlás"/>
    <s v="serdülő"/>
    <m/>
  </r>
  <r>
    <x v="6"/>
    <n v="2"/>
    <n v="1130"/>
    <s v="Kumite"/>
    <s v="Kumite, U14/Serdülő fiú 45-54,9 kg"/>
    <x v="79"/>
    <s v="10"/>
    <s v="16 fős egyenes kiesés"/>
    <s v="7-8"/>
    <s v="Kámán Márton"/>
    <s v="Rakurai"/>
    <s v="HUN"/>
    <n v="2"/>
    <m/>
    <s v="Szigetszentmiklós"/>
    <d v="2026-03-22T00:00:00"/>
    <x v="165"/>
    <x v="0"/>
    <s v="Rakurai"/>
    <s v="utánpótlás"/>
    <s v="serdülő"/>
    <m/>
  </r>
  <r>
    <x v="6"/>
    <n v="2"/>
    <n v="1131"/>
    <s v="Kumite"/>
    <s v="Kumite, U14/Serdülő fiú 45-54,9 kg"/>
    <x v="79"/>
    <s v="10"/>
    <s v="16 fős egyenes kiesés"/>
    <s v="7-8"/>
    <s v="Hadnagy Barnabás"/>
    <s v="Rokku KKSE"/>
    <s v="HUN"/>
    <n v="2"/>
    <m/>
    <s v="Szigetszentmiklós"/>
    <d v="2026-03-22T00:00:00"/>
    <x v="174"/>
    <x v="0"/>
    <s v="Rokku KKSE"/>
    <s v="utánpótlás"/>
    <s v="serdülő"/>
    <m/>
  </r>
  <r>
    <x v="6"/>
    <n v="2"/>
    <n v="1132"/>
    <s v="Kumite"/>
    <s v="Kumite, U14/Serdülő fiú 45-54,9 kg"/>
    <x v="79"/>
    <s v="10"/>
    <s v="16 fős egyenes kiesés"/>
    <s v="11-16"/>
    <s v="Ujj Szabolcs"/>
    <s v="Marcali SKK"/>
    <s v="HUN"/>
    <n v="0"/>
    <m/>
    <s v="Szigetszentmiklós"/>
    <d v="2026-03-22T00:00:00"/>
    <x v="532"/>
    <x v="0"/>
    <s v="Marcali SKK"/>
    <s v="utánpótlás"/>
    <s v="serdülő"/>
    <m/>
  </r>
  <r>
    <x v="6"/>
    <n v="2"/>
    <n v="1133"/>
    <s v="Kumite"/>
    <s v="Kumite, U14/Serdülő fiú 45-54,9 kg"/>
    <x v="79"/>
    <s v="10"/>
    <s v="16 fős egyenes kiesés"/>
    <s v="11-16"/>
    <s v="Lőrincz Bence"/>
    <s v="ASE Bulldog KKSZCS"/>
    <s v="HUN"/>
    <n v="0"/>
    <m/>
    <s v="Szigetszentmiklós"/>
    <d v="2026-03-22T00:00:00"/>
    <x v="533"/>
    <x v="0"/>
    <s v="ASE Bulldog KKSZCS"/>
    <s v="utánpótlás"/>
    <s v="serdülő"/>
    <m/>
  </r>
  <r>
    <x v="6"/>
    <n v="2"/>
    <n v="1134"/>
    <s v="Kumite"/>
    <s v="Kumite, U14/Serdülő fiú 55-64,9 kg"/>
    <x v="80"/>
    <s v="4"/>
    <s v="4 fős körmérkőzés"/>
    <s v="1"/>
    <s v="Száraz Zsombor"/>
    <s v="Derecske BUDO"/>
    <s v="HUN"/>
    <n v="6"/>
    <m/>
    <s v="Szigetszentmiklós"/>
    <d v="2026-03-22T00:00:00"/>
    <x v="389"/>
    <x v="0"/>
    <s v="Derecske BUDO"/>
    <s v="utánpótlás"/>
    <s v="serdülő"/>
    <m/>
  </r>
  <r>
    <x v="6"/>
    <n v="2"/>
    <n v="1135"/>
    <s v="Kumite"/>
    <s v="Kumite, U14/Serdülő fiú 55-64,9 kg"/>
    <x v="80"/>
    <s v="4"/>
    <s v="4 fős körmérkőzés"/>
    <s v="2"/>
    <s v="Tokaji Bocsárd Norbert"/>
    <s v="KHSE"/>
    <s v="HUN"/>
    <n v="5"/>
    <m/>
    <s v="Szigetszentmiklós"/>
    <d v="2026-03-22T00:00:00"/>
    <x v="391"/>
    <x v="0"/>
    <s v="KHSE"/>
    <s v="utánpótlás"/>
    <s v="serdülő"/>
    <m/>
  </r>
  <r>
    <x v="6"/>
    <n v="2"/>
    <n v="1136"/>
    <s v="Kumite"/>
    <s v="Kumite, U14/Serdülő fiú 55-64,9 kg"/>
    <x v="80"/>
    <s v="4"/>
    <s v="4 fős körmérkőzés"/>
    <s v="3"/>
    <s v="Bánfi Botond"/>
    <s v="Rokku KKSE"/>
    <s v="HUN"/>
    <n v="3"/>
    <m/>
    <s v="Szigetszentmiklós"/>
    <d v="2026-03-22T00:00:00"/>
    <x v="172"/>
    <x v="0"/>
    <s v="Rokku KKSE"/>
    <s v="utánpótlás"/>
    <s v="serdülő"/>
    <m/>
  </r>
  <r>
    <x v="6"/>
    <n v="2"/>
    <n v="1137"/>
    <s v="Kumite"/>
    <s v="Kumite, U14/Serdülő fiú 55-64,9 kg"/>
    <x v="80"/>
    <s v="4"/>
    <s v="4 fős körmérkőzés"/>
    <s v="4"/>
    <s v="Reinhofer Patrik"/>
    <s v="Rokku KKSE"/>
    <s v="HUN"/>
    <n v="0"/>
    <s v="nem volt nyertes mérkőzése"/>
    <s v="Szigetszentmiklós"/>
    <d v="2026-03-22T00:00:00"/>
    <x v="184"/>
    <x v="0"/>
    <s v="Rokku KKSE"/>
    <s v="utánpótlás"/>
    <s v="serdülő"/>
    <m/>
  </r>
  <r>
    <x v="6"/>
    <n v="2"/>
    <n v="1138"/>
    <s v="Kumite"/>
    <s v="Kumite, U14/Serdülő fiú 65- kg"/>
    <x v="81"/>
    <s v="8"/>
    <s v="8 fős egyenes kiesés"/>
    <s v="1"/>
    <s v="Villasenor Babos Viktor Éliás"/>
    <s v="Rakurai"/>
    <s v="HUN"/>
    <n v="6"/>
    <m/>
    <s v="Szigetszentmiklós"/>
    <d v="2026-03-22T00:00:00"/>
    <x v="176"/>
    <x v="0"/>
    <s v="Rakurai"/>
    <s v="utánpótlás"/>
    <s v="serdülő"/>
    <m/>
  </r>
  <r>
    <x v="6"/>
    <n v="2"/>
    <n v="1139"/>
    <s v="Kumite"/>
    <s v="Kumite, U14/Serdülő fiú 65- kg"/>
    <x v="81"/>
    <s v="8"/>
    <s v="8 fős egyenes kiesés"/>
    <s v="2"/>
    <s v="Finta Csanád"/>
    <s v="Rakurai"/>
    <s v="HUN"/>
    <n v="5"/>
    <m/>
    <s v="Szigetszentmiklós"/>
    <d v="2026-03-22T00:00:00"/>
    <x v="178"/>
    <x v="0"/>
    <s v="Rakurai"/>
    <s v="utánpótlás"/>
    <s v="serdülő"/>
    <m/>
  </r>
  <r>
    <x v="6"/>
    <n v="2"/>
    <n v="1140"/>
    <s v="Kumite"/>
    <s v="Kumite, U14/Serdülő fiú 65- kg"/>
    <x v="81"/>
    <s v="8"/>
    <s v="8 fős egyenes kiesés"/>
    <s v="3"/>
    <s v="Salga Márton"/>
    <s v="Rokku KKSE"/>
    <s v="HUN"/>
    <n v="3"/>
    <m/>
    <s v="Szigetszentmiklós"/>
    <d v="2026-03-22T00:00:00"/>
    <x v="177"/>
    <x v="0"/>
    <s v="Rokku KKSE"/>
    <s v="utánpótlás"/>
    <s v="serdülő"/>
    <m/>
  </r>
  <r>
    <x v="6"/>
    <n v="2"/>
    <n v="1141"/>
    <s v="Kumite"/>
    <s v="Kumite, U14/Serdülő fiú 65- kg"/>
    <x v="81"/>
    <s v="8"/>
    <s v="8 fős egyenes kiesés"/>
    <s v="3"/>
    <s v="Tóth Dominik István"/>
    <s v="Griff SE"/>
    <s v="HUN"/>
    <n v="3"/>
    <m/>
    <s v="Szigetszentmiklós"/>
    <d v="2026-03-22T00:00:00"/>
    <x v="535"/>
    <x v="0"/>
    <s v="Griff SE"/>
    <s v="utánpótlás"/>
    <s v="serdülő"/>
    <m/>
  </r>
  <r>
    <x v="6"/>
    <n v="2"/>
    <n v="1142"/>
    <s v="Kumite"/>
    <s v="Kumite, U14/Serdülő fiú 65- kg"/>
    <x v="81"/>
    <s v="8"/>
    <s v="8 fős egyenes kiesés"/>
    <s v="5"/>
    <s v="Nagy Richárd"/>
    <s v="POWER SE."/>
    <s v="HUN"/>
    <n v="0"/>
    <m/>
    <s v="Szigetszentmiklós"/>
    <d v="2026-03-22T00:00:00"/>
    <x v="534"/>
    <x v="0"/>
    <s v="POWER SE."/>
    <s v="utánpótlás"/>
    <s v="serdülő"/>
    <m/>
  </r>
  <r>
    <x v="6"/>
    <n v="2"/>
    <n v="1143"/>
    <s v="Kumite"/>
    <s v="Kumite, U14/Serdülő fiú 65- kg"/>
    <x v="81"/>
    <s v="8"/>
    <s v="8 fős egyenes kiesés"/>
    <s v="6"/>
    <s v="Gaál-Vajai Tamás"/>
    <s v="Főnix Dojo"/>
    <s v="HUN"/>
    <n v="0"/>
    <m/>
    <s v="Szigetszentmiklós"/>
    <d v="2026-03-22T00:00:00"/>
    <x v="179"/>
    <x v="0"/>
    <s v="Főnix Dojo"/>
    <s v="utánpótlás"/>
    <s v="serdülő"/>
    <m/>
  </r>
  <r>
    <x v="6"/>
    <n v="2"/>
    <n v="1144"/>
    <s v="Kumite"/>
    <s v="Kumite, U14/Serdülő fiú 65- kg"/>
    <x v="81"/>
    <s v="8"/>
    <s v="8 fős egyenes kiesés"/>
    <s v="7-8"/>
    <s v="Virág Marcell Máté"/>
    <s v="KHSE"/>
    <s v="HUN"/>
    <n v="0"/>
    <m/>
    <s v="Szigetszentmiklós"/>
    <d v="2026-03-22T00:00:00"/>
    <x v="388"/>
    <x v="0"/>
    <s v="KHSE"/>
    <s v="utánpótlás"/>
    <s v="serdülő"/>
    <m/>
  </r>
  <r>
    <x v="6"/>
    <n v="2"/>
    <n v="1145"/>
    <s v="Kumite"/>
    <s v="Kumite, U14/Serdülő fiú 65- kg"/>
    <x v="81"/>
    <s v="8"/>
    <s v="8 fős egyenes kiesés"/>
    <s v="7-8"/>
    <s v="Nagy Nimród"/>
    <s v="Rakurai"/>
    <s v="HUN"/>
    <n v="0"/>
    <m/>
    <s v="Szigetszentmiklós"/>
    <d v="2026-03-22T00:00:00"/>
    <x v="502"/>
    <x v="0"/>
    <s v="Rakurai"/>
    <s v="utánpótlás"/>
    <s v="serdülő"/>
    <m/>
  </r>
  <r>
    <x v="6"/>
    <n v="2"/>
    <n v="1146"/>
    <s v="Kumite"/>
    <s v="Kumite, U14/Serdölő lány 0-39,9 kg"/>
    <x v="43"/>
    <s v="2"/>
    <s v="2 fős egyenes kiesés"/>
    <s v="1"/>
    <s v="Bogdán Szonja Boróka"/>
    <s v="Rakurai"/>
    <s v="HUN"/>
    <n v="3"/>
    <m/>
    <s v="Szigetszentmiklós"/>
    <d v="2026-03-22T00:00:00"/>
    <x v="193"/>
    <x v="0"/>
    <s v="Rakurai"/>
    <s v="utánpótlás"/>
    <s v="gyerek"/>
    <m/>
  </r>
  <r>
    <x v="6"/>
    <n v="2"/>
    <n v="1147"/>
    <s v="Kumite"/>
    <s v="Kumite, U14/Serdölő lány 0-39,9 kg"/>
    <x v="43"/>
    <s v="2"/>
    <s v="2 fős egyenes kiesés"/>
    <s v="2"/>
    <s v="Koszorus Brigitta"/>
    <s v="SONGOKU SE"/>
    <s v="HUN"/>
    <n v="0"/>
    <m/>
    <s v="Szigetszentmiklós"/>
    <d v="2026-03-22T00:00:00"/>
    <x v="406"/>
    <x v="0"/>
    <s v="SONGOKU SE"/>
    <s v="utánpótlás"/>
    <s v="gyerek"/>
    <m/>
  </r>
  <r>
    <x v="6"/>
    <n v="2"/>
    <n v="1148"/>
    <s v="Kumite"/>
    <s v="Kumite, U14/Serdölő lány 45-54,9 kg"/>
    <x v="57"/>
    <s v="7"/>
    <s v="8 fős egyenes kiesés"/>
    <s v="1"/>
    <s v="Villasenor Babos Natália "/>
    <s v="Rakurai"/>
    <s v="HUN"/>
    <n v="6"/>
    <m/>
    <s v="Szigetszentmiklós"/>
    <d v="2026-03-22T00:00:00"/>
    <x v="199"/>
    <x v="0"/>
    <s v="Rakurai"/>
    <s v="utánpótlás"/>
    <s v="gyerek"/>
    <m/>
  </r>
  <r>
    <x v="6"/>
    <n v="2"/>
    <n v="1149"/>
    <s v="Kumite"/>
    <s v="Kumite, U14/Serdölő lány 45-54,9 kg"/>
    <x v="57"/>
    <s v="7"/>
    <s v="8 fős egyenes kiesés"/>
    <s v="2"/>
    <s v="Volenszki Adél"/>
    <s v="WARRIORS TEAM"/>
    <s v="HUN"/>
    <n v="5"/>
    <m/>
    <s v="Szigetszentmiklós"/>
    <d v="2026-03-22T00:00:00"/>
    <x v="205"/>
    <x v="0"/>
    <s v="WARRIORS TEAM"/>
    <s v="utánpótlás"/>
    <s v="gyerek"/>
    <m/>
  </r>
  <r>
    <x v="6"/>
    <n v="2"/>
    <n v="1150"/>
    <s v="Kumite"/>
    <s v="Kumite, U14/Serdölő lány 45-54,9 kg"/>
    <x v="57"/>
    <s v="7"/>
    <s v="8 fős egyenes kiesés"/>
    <s v="3"/>
    <s v="Reichert Hanna "/>
    <s v="VTSE"/>
    <s v="HUN"/>
    <n v="3"/>
    <m/>
    <s v="Szigetszentmiklós"/>
    <d v="2026-03-22T00:00:00"/>
    <x v="195"/>
    <x v="1"/>
    <s v="VTSE"/>
    <s v="utánpótlás"/>
    <s v="gyerek"/>
    <m/>
  </r>
  <r>
    <x v="6"/>
    <n v="2"/>
    <n v="1151"/>
    <s v="Kumite"/>
    <s v="Kumite, U14/Serdölő lány 45-54,9 kg"/>
    <x v="57"/>
    <s v="7"/>
    <s v="8 fős egyenes kiesés"/>
    <s v="3"/>
    <s v="Nagy Anna"/>
    <s v="Főnix Dojo"/>
    <s v="HUN"/>
    <n v="0"/>
    <s v="nem volt nyertes mérkőzése"/>
    <s v="Szigetszentmiklós"/>
    <d v="2026-03-22T00:00:00"/>
    <x v="202"/>
    <x v="0"/>
    <s v="Főnix Dojo"/>
    <s v="utánpótlás"/>
    <s v="gyerek"/>
    <m/>
  </r>
  <r>
    <x v="6"/>
    <n v="2"/>
    <n v="1152"/>
    <s v="Kumite"/>
    <s v="Kumite, U14/Serdölő lány 45-54,9 kg"/>
    <x v="57"/>
    <s v="7"/>
    <s v="8 fős egyenes kiesés"/>
    <s v="5"/>
    <s v="Kiss Jázmin"/>
    <s v="TADASHII "/>
    <s v="HUN"/>
    <n v="0"/>
    <m/>
    <s v="Szigetszentmiklós"/>
    <d v="2026-03-22T00:00:00"/>
    <x v="408"/>
    <x v="1"/>
    <s v="TADASHII "/>
    <s v="utánpótlás"/>
    <s v="gyerek"/>
    <m/>
  </r>
  <r>
    <x v="6"/>
    <n v="2"/>
    <n v="1153"/>
    <s v="Kumite"/>
    <s v="Kumite, U14/Serdölő lány 45-54,9 kg"/>
    <x v="57"/>
    <s v="7"/>
    <s v="8 fős egyenes kiesés"/>
    <s v="6"/>
    <s v="Kiss-Juhász Hanga"/>
    <s v="Tora HSE"/>
    <s v="HUN"/>
    <n v="0"/>
    <m/>
    <s v="Szigetszentmiklós"/>
    <d v="2026-03-22T00:00:00"/>
    <x v="536"/>
    <x v="1"/>
    <s v="Tora HSE"/>
    <s v="utánpótlás"/>
    <s v="gyerek"/>
    <m/>
  </r>
  <r>
    <x v="6"/>
    <n v="2"/>
    <n v="1154"/>
    <s v="Kumite"/>
    <s v="Kumite, U14/Serdölő lány 45-54,9 kg"/>
    <x v="57"/>
    <s v="7"/>
    <s v="8 fős egyenes kiesés"/>
    <s v="7-8"/>
    <s v="Gaál-Vajai Tamara"/>
    <s v="Főnix Dojo"/>
    <s v="HUN"/>
    <n v="0"/>
    <m/>
    <s v="Szigetszentmiklós"/>
    <d v="2026-03-22T00:00:00"/>
    <x v="196"/>
    <x v="0"/>
    <s v="Főnix Dojo"/>
    <s v="utánpótlás"/>
    <s v="gyerek"/>
    <m/>
  </r>
  <r>
    <x v="6"/>
    <n v="2"/>
    <n v="1155"/>
    <s v="Kumite"/>
    <s v="Kumite, U14/Serdölő lány 55-64,9 kg"/>
    <x v="45"/>
    <s v="4"/>
    <s v="4 fős körmérkőzés"/>
    <s v="1"/>
    <s v="Bennárik Bella"/>
    <s v="WARRIORS TEAM"/>
    <s v="HUN"/>
    <n v="6"/>
    <m/>
    <s v="Szigetszentmiklós"/>
    <d v="2026-03-22T00:00:00"/>
    <x v="206"/>
    <x v="0"/>
    <s v="WARRIORS TEAM"/>
    <s v="utánpótlás"/>
    <s v="gyerek"/>
    <m/>
  </r>
  <r>
    <x v="6"/>
    <n v="2"/>
    <n v="1156"/>
    <s v="Kumite"/>
    <s v="Kumite, U14/Serdölő lány 55-64,9 kg"/>
    <x v="45"/>
    <s v="4"/>
    <s v="4 fős körmérkőzés"/>
    <s v="2"/>
    <s v="Nándori Emma"/>
    <s v="Kemecse SE"/>
    <s v="HUN"/>
    <n v="5"/>
    <m/>
    <s v="Szigetszentmiklós"/>
    <d v="2026-03-22T00:00:00"/>
    <x v="403"/>
    <x v="0"/>
    <s v="Kemecse SE"/>
    <s v="utánpótlás"/>
    <s v="gyerek"/>
    <m/>
  </r>
  <r>
    <x v="6"/>
    <n v="2"/>
    <n v="1157"/>
    <s v="Kumite"/>
    <s v="Kumite, U14/Serdölő lány 55-64,9 kg"/>
    <x v="45"/>
    <s v="4"/>
    <s v="4 fős körmérkőzés"/>
    <s v="3"/>
    <s v="Virág Boglárka Csenge"/>
    <s v="Keszth.KKK"/>
    <s v="HUN"/>
    <n v="3"/>
    <m/>
    <s v="Szigetszentmiklós"/>
    <d v="2026-03-22T00:00:00"/>
    <x v="537"/>
    <x v="0"/>
    <s v="Keszth.KKK"/>
    <s v="utánpótlás"/>
    <s v="gyerek"/>
    <m/>
  </r>
  <r>
    <x v="6"/>
    <n v="2"/>
    <n v="1158"/>
    <s v="Kumite"/>
    <s v="Kumite, U14/Serdölő lány 55-64,9 kg"/>
    <x v="45"/>
    <s v="4"/>
    <s v="4 fős körmérkőzés"/>
    <s v="4"/>
    <s v="Szabó Anna Tímea"/>
    <s v="Katana SE"/>
    <s v="HUN"/>
    <n v="0"/>
    <s v="nem volt nyertes mérkőzése"/>
    <s v="Szigetszentmiklós"/>
    <d v="2026-03-22T00:00:00"/>
    <x v="207"/>
    <x v="0"/>
    <s v="Katana SE"/>
    <s v="utánpótlás"/>
    <s v="gyerek"/>
    <m/>
  </r>
  <r>
    <x v="6"/>
    <n v="2"/>
    <n v="1159"/>
    <s v="Kumite"/>
    <s v="Kumite, U14/Serdölő lány 65- kg"/>
    <x v="46"/>
    <s v="2"/>
    <s v="2 fős egyenes kiesés"/>
    <s v="1"/>
    <s v="Bota Sára"/>
    <s v="Rakurai"/>
    <s v="HUN"/>
    <n v="3"/>
    <m/>
    <s v="Szigetszentmiklós"/>
    <d v="2026-03-22T00:00:00"/>
    <x v="211"/>
    <x v="0"/>
    <s v="Rakurai"/>
    <s v="utánpótlás"/>
    <s v="gyerek"/>
    <m/>
  </r>
  <r>
    <x v="6"/>
    <n v="2"/>
    <n v="1160"/>
    <s v="Kumite"/>
    <s v="Kumite, U14/Serdölő lány 65- kg"/>
    <x v="46"/>
    <s v="2"/>
    <s v="2 fős egyenes kiesés"/>
    <s v="2"/>
    <s v="Tóth-Krisó Míra"/>
    <s v="Katana SE"/>
    <s v="HUN"/>
    <n v="0"/>
    <m/>
    <s v="Szigetszentmiklós"/>
    <d v="2026-03-22T00:00:00"/>
    <x v="214"/>
    <x v="0"/>
    <s v="Katana SE"/>
    <s v="utánpótlás"/>
    <s v="gyerek"/>
    <m/>
  </r>
  <r>
    <x v="6"/>
    <n v="2"/>
    <n v="1161"/>
    <s v="Kumite"/>
    <s v="Kumite, U16/Ifjúsági lány 0-49,9 kg"/>
    <x v="56"/>
    <s v="3"/>
    <s v="3 fős körmérkőzés"/>
    <s v="1"/>
    <s v="Nagy Hanna Míra"/>
    <s v="Genbu dojo"/>
    <s v="HUN"/>
    <n v="4"/>
    <m/>
    <s v="Szigetszentmiklós"/>
    <d v="2026-03-22T00:00:00"/>
    <x v="261"/>
    <x v="1"/>
    <s v="Genbu dojo"/>
    <s v="utánpótlás"/>
    <s v="ifjúsági"/>
    <m/>
  </r>
  <r>
    <x v="6"/>
    <n v="2"/>
    <n v="1162"/>
    <s v="Kumite"/>
    <s v="Kumite, U16/Ifjúsági lány 0-49,9 kg"/>
    <x v="56"/>
    <s v="3"/>
    <s v="3 fős körmérkőzés"/>
    <s v="2"/>
    <s v="Sülyi Luca"/>
    <s v="Főnix Dojo"/>
    <s v="HUN"/>
    <n v="3"/>
    <m/>
    <s v="Szigetszentmiklós"/>
    <d v="2026-03-22T00:00:00"/>
    <x v="249"/>
    <x v="0"/>
    <s v="Főnix Dojo"/>
    <s v="utánpótlás"/>
    <s v="ifjúsági"/>
    <m/>
  </r>
  <r>
    <x v="6"/>
    <n v="2"/>
    <n v="1163"/>
    <s v="Kumite"/>
    <s v="Kumite, U16/Ifjúsági lány 0-49,9 kg"/>
    <x v="56"/>
    <s v="3"/>
    <s v="3 fős körmérkőzés"/>
    <s v="3"/>
    <s v="Balogh Dóra Panna"/>
    <s v="POWER SE."/>
    <s v="HUN"/>
    <n v="0"/>
    <m/>
    <s v="Szigetszentmiklós"/>
    <d v="2026-03-22T00:00:00"/>
    <x v="538"/>
    <x v="0"/>
    <s v="POWER SE."/>
    <s v="utánpótlás"/>
    <s v="ifjúsági"/>
    <m/>
  </r>
  <r>
    <x v="6"/>
    <n v="2"/>
    <n v="1164"/>
    <s v="Kumite"/>
    <s v="Kumite, U16/Ifjúsági lány 50-54,9 kg"/>
    <x v="57"/>
    <s v="4"/>
    <s v="4 fős körmérkőzés"/>
    <s v="1"/>
    <s v="Furó Liliána"/>
    <s v="KHSE"/>
    <s v="HUN"/>
    <n v="6"/>
    <m/>
    <s v="Szigetszentmiklós"/>
    <d v="2026-03-22T00:00:00"/>
    <x v="439"/>
    <x v="0"/>
    <s v="KHSE"/>
    <s v="utánpótlás"/>
    <s v="ifjúsági"/>
    <m/>
  </r>
  <r>
    <x v="6"/>
    <n v="2"/>
    <n v="1165"/>
    <s v="Kumite"/>
    <s v="Kumite, U16/Ifjúsági lány 50-54,9 kg"/>
    <x v="57"/>
    <s v="4"/>
    <s v="4 fős körmérkőzés"/>
    <s v="2"/>
    <s v="Kiss Boglárka"/>
    <s v="Derecske BUDO"/>
    <s v="HUN"/>
    <n v="5"/>
    <m/>
    <s v="Szigetszentmiklós"/>
    <d v="2026-03-22T00:00:00"/>
    <x v="440"/>
    <x v="0"/>
    <s v="Derecske BUDO"/>
    <s v="utánpótlás"/>
    <s v="ifjúsági"/>
    <m/>
  </r>
  <r>
    <x v="6"/>
    <n v="2"/>
    <n v="1166"/>
    <s v="Kumite"/>
    <s v="Kumite, U16/Ifjúsági lány 50-54,9 kg"/>
    <x v="57"/>
    <s v="4"/>
    <s v="4 fős körmérkőzés"/>
    <s v="3"/>
    <s v="Apjok Réka"/>
    <s v="Tora HSE"/>
    <s v="HUN"/>
    <n v="3"/>
    <m/>
    <s v="Szigetszentmiklós"/>
    <d v="2026-03-22T00:00:00"/>
    <x v="539"/>
    <x v="1"/>
    <s v="Tora HSE"/>
    <s v="utánpótlás"/>
    <s v="ifjúsági"/>
    <m/>
  </r>
  <r>
    <x v="6"/>
    <n v="2"/>
    <n v="1167"/>
    <s v="Kumite"/>
    <s v="Kumite, U16/Ifjúsági lány 50-54,9 kg"/>
    <x v="57"/>
    <s v="4"/>
    <s v="4 fős körmérkőzés"/>
    <s v="4"/>
    <s v="Ható Amanda"/>
    <s v="Rakurai"/>
    <s v="HUN"/>
    <n v="0"/>
    <s v="nem volt nyertes mérkőzése"/>
    <s v="Szigetszentmiklós"/>
    <d v="2026-03-22T00:00:00"/>
    <x v="253"/>
    <x v="0"/>
    <s v="Rakurai"/>
    <s v="utánpótlás"/>
    <s v="ifjúsági"/>
    <m/>
  </r>
  <r>
    <x v="6"/>
    <n v="2"/>
    <n v="1168"/>
    <s v="Kumite"/>
    <s v="Kumite, U16/Ifjúsági lány 55-59,9 kg"/>
    <x v="58"/>
    <s v="3"/>
    <s v="3 fős körmérkőzés"/>
    <s v="1"/>
    <s v="Lukács Éva"/>
    <s v="VTSE"/>
    <s v="HUN"/>
    <n v="4"/>
    <m/>
    <s v="Szigetszentmiklós"/>
    <d v="2026-03-22T00:00:00"/>
    <x v="254"/>
    <x v="1"/>
    <s v="VTSE"/>
    <s v="utánpótlás"/>
    <s v="ifjúsági"/>
    <m/>
  </r>
  <r>
    <x v="6"/>
    <n v="2"/>
    <n v="1169"/>
    <s v="Kumite"/>
    <s v="Kumite, U16/Ifjúsági lány 55-59,9 kg"/>
    <x v="58"/>
    <s v="3"/>
    <s v="3 fős körmérkőzés"/>
    <s v="2"/>
    <s v="Demeter Zsófia"/>
    <s v="WARRIORS TEAM"/>
    <s v="HUN"/>
    <n v="3"/>
    <m/>
    <s v="Szigetszentmiklós"/>
    <d v="2026-03-22T00:00:00"/>
    <x v="256"/>
    <x v="0"/>
    <s v="WARRIORS TEAM"/>
    <s v="utánpótlás"/>
    <s v="ifjúsági"/>
    <m/>
  </r>
  <r>
    <x v="6"/>
    <n v="2"/>
    <n v="1170"/>
    <s v="Kumite"/>
    <s v="Kumite, U16/Ifjúsági lány 55-59,9 kg"/>
    <x v="58"/>
    <s v="3"/>
    <s v="3 fős körmérkőzés"/>
    <s v="3"/>
    <s v="Zsin Zsófia"/>
    <s v="BHMSE"/>
    <s v="HUN"/>
    <n v="2"/>
    <s v="volt nyertes mérkőzése"/>
    <s v="Szigetszentmiklós"/>
    <d v="2026-03-22T00:00:00"/>
    <x v="514"/>
    <x v="0"/>
    <s v="BHMSE"/>
    <s v="utánpótlás"/>
    <s v="ifjúsági"/>
    <m/>
  </r>
  <r>
    <x v="6"/>
    <n v="2"/>
    <n v="1171"/>
    <s v="Kumite"/>
    <s v="Kumite, U16/Ifjúsági lány 60-64,9 kg"/>
    <x v="71"/>
    <s v="6"/>
    <s v="6 fős vegyes"/>
    <s v="1"/>
    <s v="Pénzes Zsófia"/>
    <s v="KHSE"/>
    <s v="HUN"/>
    <n v="6"/>
    <m/>
    <s v="Szigetszentmiklós"/>
    <d v="2026-03-22T00:00:00"/>
    <x v="442"/>
    <x v="0"/>
    <s v="KHSE"/>
    <s v="utánpótlás"/>
    <s v="ifjúsági"/>
    <m/>
  </r>
  <r>
    <x v="6"/>
    <n v="2"/>
    <n v="1172"/>
    <s v="Kumite"/>
    <s v="Kumite, U16/Ifjúsági lány 60-64,9 kg"/>
    <x v="71"/>
    <s v="6"/>
    <s v="6 fős vegyes"/>
    <s v="2"/>
    <s v="Fránki Réka"/>
    <s v="TADASHII "/>
    <s v="HUN"/>
    <n v="5"/>
    <m/>
    <s v="Szigetszentmiklós"/>
    <d v="2026-03-22T00:00:00"/>
    <x v="552"/>
    <x v="1"/>
    <s v="TADASHII "/>
    <s v="utánpótlás"/>
    <s v="ifjúsági"/>
    <m/>
  </r>
  <r>
    <x v="6"/>
    <n v="2"/>
    <n v="1173"/>
    <s v="Kumite"/>
    <s v="Kumite, U16/Ifjúsági lány 60-64,9 kg"/>
    <x v="71"/>
    <s v="6"/>
    <s v="6 fős vegyes"/>
    <s v="3"/>
    <s v="Bognár Boglárka"/>
    <s v="Rakurai"/>
    <s v="HUN"/>
    <n v="3"/>
    <m/>
    <s v="Szigetszentmiklós"/>
    <d v="2026-03-22T00:00:00"/>
    <x v="255"/>
    <x v="0"/>
    <s v="Rakurai"/>
    <s v="utánpótlás"/>
    <s v="ifjúsági"/>
    <m/>
  </r>
  <r>
    <x v="6"/>
    <n v="2"/>
    <n v="1174"/>
    <s v="Kumite"/>
    <s v="Kumite, U16/Ifjúsági lány 60-64,9 kg"/>
    <x v="71"/>
    <s v="6"/>
    <s v="6 fős vegyes"/>
    <s v="4"/>
    <s v="Albert Szilvia Cintia"/>
    <s v="Derecske BUDO"/>
    <s v="HUN"/>
    <n v="0"/>
    <m/>
    <s v="Szigetszentmiklós"/>
    <d v="2026-03-22T00:00:00"/>
    <x v="443"/>
    <x v="0"/>
    <s v="Derecske BUDO"/>
    <s v="utánpótlás"/>
    <s v="ifjúsági"/>
    <m/>
  </r>
  <r>
    <x v="6"/>
    <n v="2"/>
    <n v="1175"/>
    <s v="Kumite"/>
    <s v="Kumite, U16/Ifjúsági lány 60-64,9 kg"/>
    <x v="71"/>
    <s v="6"/>
    <s v="6 fős vegyes"/>
    <s v="5"/>
    <s v="Kovács Viktória"/>
    <s v="Nintai KKSE"/>
    <s v="HUN"/>
    <n v="0"/>
    <m/>
    <s v="Szigetszentmiklós"/>
    <d v="2026-03-22T00:00:00"/>
    <x v="553"/>
    <x v="1"/>
    <s v="Nintai KKSE"/>
    <s v="utánpótlás"/>
    <s v="ifjúsági"/>
    <m/>
  </r>
  <r>
    <x v="6"/>
    <n v="2"/>
    <n v="1176"/>
    <s v="Kumite"/>
    <s v="Kumite, U16/Ifjúsági lány 60-64,9 kg"/>
    <x v="71"/>
    <s v="6"/>
    <s v="6 fős vegyes"/>
    <s v="6"/>
    <s v="Fránki Dorina"/>
    <s v="TADASHII "/>
    <s v="HUN"/>
    <n v="0"/>
    <m/>
    <s v="Szigetszentmiklós"/>
    <d v="2026-03-22T00:00:00"/>
    <x v="557"/>
    <x v="1"/>
    <s v="TADASHII "/>
    <s v="utánpótlás"/>
    <s v="ifjúsági"/>
    <m/>
  </r>
  <r>
    <x v="6"/>
    <n v="2"/>
    <n v="1177"/>
    <s v="Kumite"/>
    <s v="Kumite, U16/Ifjúsági lány 65- kg"/>
    <x v="59"/>
    <s v="2"/>
    <s v="2 fős egyenes kiesés"/>
    <s v="1"/>
    <s v="Csonka Kata"/>
    <s v="Kamikaze S"/>
    <s v="HUN"/>
    <n v="3"/>
    <m/>
    <s v="Szigetszentmiklós"/>
    <d v="2026-03-22T00:00:00"/>
    <x v="257"/>
    <x v="0"/>
    <s v="Kamikaze S"/>
    <s v="utánpótlás"/>
    <s v="ifjúsági"/>
    <m/>
  </r>
  <r>
    <x v="6"/>
    <n v="2"/>
    <n v="1178"/>
    <s v="Kumite"/>
    <s v="Kumite, U16/Ifjúsági lány 65- kg"/>
    <x v="59"/>
    <s v="2"/>
    <s v="2 fős egyenes kiesés"/>
    <s v="2"/>
    <s v="Komondi Veronika Nilla"/>
    <s v="Keszth.KKK"/>
    <s v="HUN"/>
    <n v="0"/>
    <m/>
    <s v="Szigetszentmiklós"/>
    <d v="2026-03-22T00:00:00"/>
    <x v="259"/>
    <x v="0"/>
    <s v="Keszth.KKK"/>
    <s v="utánpótlás"/>
    <s v="ifjúsági"/>
    <m/>
  </r>
  <r>
    <x v="7"/>
    <n v="1"/>
    <n v="2"/>
    <s v="Kumite"/>
    <s v="Kumite, junior lány 55 kg"/>
    <x v="66"/>
    <m/>
    <m/>
    <n v="3"/>
    <s v="Ágoston Sára"/>
    <s v="KHSE"/>
    <m/>
    <n v="15"/>
    <m/>
    <s v="Batumi, Georgia"/>
    <d v="2026-05-09T00:00:00"/>
    <x v="473"/>
    <x v="0"/>
    <s v="KHSE"/>
    <s v="utánpótlás"/>
    <s v="junior"/>
    <m/>
  </r>
  <r>
    <x v="7"/>
    <n v="1"/>
    <n v="3"/>
    <s v="Kumite"/>
    <s v="Kumite, junior lány 55 kg"/>
    <x v="66"/>
    <m/>
    <m/>
    <n v="3"/>
    <s v="Lukács Kamilla"/>
    <s v="Victory"/>
    <m/>
    <n v="15"/>
    <m/>
    <s v="Batumi, Georgia"/>
    <d v="2026-05-09T00:00:00"/>
    <x v="472"/>
    <x v="0"/>
    <s v="Victory"/>
    <s v="utánpótlás"/>
    <s v="junior"/>
    <m/>
  </r>
  <r>
    <x v="7"/>
    <n v="1"/>
    <n v="4"/>
    <s v="Kumite"/>
    <s v="Kumite, junior lány 65 kg"/>
    <x v="68"/>
    <m/>
    <m/>
    <s v="5-8"/>
    <s v="Szutor Anna"/>
    <s v="Shogun"/>
    <m/>
    <n v="8"/>
    <m/>
    <s v="Batumi, Georgia"/>
    <d v="2026-05-09T00:00:00"/>
    <x v="477"/>
    <x v="0"/>
    <s v="Shogun"/>
    <s v="utánpótlás"/>
    <s v="junior"/>
    <m/>
  </r>
  <r>
    <x v="7"/>
    <n v="1"/>
    <n v="4"/>
    <s v="Kumite"/>
    <s v="Kumite, junior lány 65 kg"/>
    <x v="68"/>
    <m/>
    <m/>
    <s v="5-8"/>
    <s v="Éles Léna"/>
    <s v="Victory"/>
    <m/>
    <n v="8"/>
    <m/>
    <s v="Batumi, Georgia"/>
    <d v="2026-05-09T00:00:00"/>
    <x v="558"/>
    <x v="0"/>
    <s v="Victory"/>
    <s v="utánpótlás"/>
    <s v="junior"/>
    <m/>
  </r>
  <r>
    <x v="7"/>
    <n v="1"/>
    <n v="4"/>
    <s v="Kumite"/>
    <s v="Kumite, junior lány +65 kg"/>
    <x v="75"/>
    <m/>
    <m/>
    <s v="5-8"/>
    <s v="Vórincsák Vivien"/>
    <s v="KHSE"/>
    <m/>
    <n v="8"/>
    <m/>
    <s v="Batumi, Georgia"/>
    <d v="2026-05-09T00:00:00"/>
    <x v="479"/>
    <x v="0"/>
    <s v="KHSE"/>
    <s v="utánpótlás"/>
    <s v="junior"/>
    <m/>
  </r>
  <r>
    <x v="7"/>
    <n v="1"/>
    <n v="5"/>
    <s v="Kumite"/>
    <s v="Kumite, junior lány +65 kg"/>
    <x v="75"/>
    <m/>
    <m/>
    <n v="3"/>
    <s v="Ecsedi Réka"/>
    <s v="KHSE"/>
    <m/>
    <n v="15"/>
    <m/>
    <s v="Batumi, Georgia"/>
    <d v="2026-05-09T00:00:00"/>
    <x v="480"/>
    <x v="0"/>
    <s v="KHSE"/>
    <s v="utánpótlás"/>
    <s v="junior"/>
    <m/>
  </r>
  <r>
    <x v="7"/>
    <n v="1"/>
    <n v="6"/>
    <s v="Kumite"/>
    <s v="Kumite, junior fiú 70 kg"/>
    <x v="62"/>
    <m/>
    <m/>
    <s v="5-8"/>
    <s v="Böszörményi Gergő"/>
    <s v="Victory"/>
    <m/>
    <n v="8"/>
    <m/>
    <s v="Batumi, Georgia"/>
    <d v="2026-05-09T00:00:00"/>
    <x v="454"/>
    <x v="0"/>
    <s v="Victory"/>
    <s v="utánpótlás"/>
    <s v="junior"/>
    <m/>
  </r>
  <r>
    <x v="7"/>
    <n v="1"/>
    <n v="7"/>
    <s v="Kumite"/>
    <s v="Kumite, junior fiú 80 kg"/>
    <x v="74"/>
    <m/>
    <m/>
    <s v="5-8"/>
    <s v="Bessenyei Csongor"/>
    <s v="Shogun"/>
    <m/>
    <n v="8"/>
    <m/>
    <s v="Batumi, Georgia"/>
    <d v="2026-05-09T00:00:00"/>
    <x v="460"/>
    <x v="0"/>
    <s v="Shogun"/>
    <s v="utánpótlás"/>
    <s v="junior"/>
    <m/>
  </r>
  <r>
    <x v="7"/>
    <n v="1"/>
    <n v="8"/>
    <s v="Kata"/>
    <s v="Kata, junior fiú"/>
    <x v="64"/>
    <m/>
    <m/>
    <s v="5-8"/>
    <s v="Bessenyei Csongor"/>
    <s v="Shogun"/>
    <m/>
    <n v="6"/>
    <m/>
    <s v="Batumi, Georgia"/>
    <d v="2026-05-09T00:00:00"/>
    <x v="460"/>
    <x v="0"/>
    <s v="Shogun"/>
    <s v="utánpótlás"/>
    <s v="junior"/>
    <m/>
  </r>
  <r>
    <x v="7"/>
    <n v="1"/>
    <n v="9"/>
    <s v="Kata"/>
    <s v="Kata, junior fiú"/>
    <x v="64"/>
    <m/>
    <m/>
    <n v="3"/>
    <s v="Terbócs Roland"/>
    <s v="Shogun"/>
    <m/>
    <n v="10"/>
    <m/>
    <s v="Batumi, Georgia"/>
    <d v="2026-05-09T00:00:00"/>
    <x v="466"/>
    <x v="0"/>
    <s v="Shogun"/>
    <s v="utánpótlás"/>
    <s v="junior"/>
    <m/>
  </r>
  <r>
    <x v="7"/>
    <n v="1"/>
    <n v="10"/>
    <s v="Kumite"/>
    <s v="Kumite, felnőtt női 50 kg"/>
    <x v="10"/>
    <m/>
    <m/>
    <s v="5-8"/>
    <s v="Dévényi Lora"/>
    <s v="Victory"/>
    <m/>
    <n v="15"/>
    <m/>
    <s v="Batumi, Georgia"/>
    <d v="2026-05-10T00:00:00"/>
    <x v="37"/>
    <x v="0"/>
    <s v="Victory"/>
    <s v="felnőtt"/>
    <s v="felnőtt"/>
    <m/>
  </r>
  <r>
    <x v="7"/>
    <n v="1"/>
    <n v="11"/>
    <s v="Kumite"/>
    <s v="Kumite, felnőtt női 54 kg (EB-n 54 kg)"/>
    <x v="11"/>
    <m/>
    <m/>
    <s v="5-8"/>
    <s v="Gyenge Judit"/>
    <s v="KHSE"/>
    <m/>
    <n v="15"/>
    <m/>
    <s v="Batumi, Georgia"/>
    <d v="2026-05-10T00:00:00"/>
    <x v="41"/>
    <x v="0"/>
    <s v="KHSE"/>
    <s v="felnőtt"/>
    <s v="felnőtt"/>
    <m/>
  </r>
  <r>
    <x v="7"/>
    <n v="1"/>
    <n v="12"/>
    <s v="Kumite"/>
    <s v="Kumite, felnőtt női 54 kg (EB-n 54 kg)"/>
    <x v="11"/>
    <m/>
    <m/>
    <n v="2"/>
    <s v="Litvák Lili"/>
    <s v="KHSE"/>
    <m/>
    <n v="45"/>
    <m/>
    <s v="Batumi, Georgia"/>
    <d v="2026-05-10T00:00:00"/>
    <x v="39"/>
    <x v="0"/>
    <s v="KHSE"/>
    <s v="felnőtt"/>
    <s v="felnőtt"/>
    <m/>
  </r>
  <r>
    <x v="7"/>
    <n v="1"/>
    <n v="13"/>
    <s v="Kumite"/>
    <s v="Kumite, felnőtt női 65 kg"/>
    <x v="13"/>
    <m/>
    <m/>
    <n v="3"/>
    <s v="Mező Lili"/>
    <s v="Victory"/>
    <m/>
    <n v="30"/>
    <m/>
    <s v="Batumi, Georgia"/>
    <d v="2026-05-10T00:00:00"/>
    <x v="45"/>
    <x v="0"/>
    <s v="Victory"/>
    <s v="felnőtt"/>
    <s v="felnőtt"/>
    <m/>
  </r>
  <r>
    <x v="7"/>
    <n v="1"/>
    <n v="14"/>
    <s v="Kumite"/>
    <s v="Kumite, felnőtt női 65 kg"/>
    <x v="13"/>
    <m/>
    <m/>
    <s v="5-8"/>
    <s v="Mészáros Mercédesz"/>
    <s v="Shogun"/>
    <m/>
    <n v="15"/>
    <m/>
    <s v="Batumi, Georgia"/>
    <d v="2026-05-10T00:00:00"/>
    <x v="559"/>
    <x v="0"/>
    <s v="Shogun"/>
    <s v="felnőtt"/>
    <s v="felnőtt"/>
    <m/>
  </r>
  <r>
    <x v="7"/>
    <n v="1"/>
    <n v="15"/>
    <s v="Kumite"/>
    <s v="Kumite, felnőtt női +65 kg"/>
    <x v="14"/>
    <m/>
    <m/>
    <n v="3"/>
    <s v="Tóth Csenge"/>
    <s v="Victory"/>
    <m/>
    <n v="30"/>
    <m/>
    <s v="Batumi, Georgia"/>
    <d v="2026-05-10T00:00:00"/>
    <x v="48"/>
    <x v="0"/>
    <s v="Victory"/>
    <s v="felnőtt"/>
    <s v="felnőtt"/>
    <m/>
  </r>
  <r>
    <x v="7"/>
    <n v="1"/>
    <n v="16"/>
    <s v="Kumite"/>
    <s v="Kumite, felnőtt női +65 kg"/>
    <x v="14"/>
    <m/>
    <m/>
    <s v="5-8"/>
    <s v="Gergely Henrietta"/>
    <s v="BHMSE"/>
    <m/>
    <n v="15"/>
    <m/>
    <s v="Batumi, Georgia"/>
    <d v="2026-05-10T00:00:00"/>
    <x v="49"/>
    <x v="0"/>
    <s v="BHMSE"/>
    <s v="felnőtt"/>
    <s v="felnőtt"/>
    <m/>
  </r>
  <r>
    <x v="7"/>
    <n v="1"/>
    <n v="17"/>
    <s v="Kumite"/>
    <s v="Kumite, felnőtt férfi 80 kg"/>
    <x v="0"/>
    <m/>
    <m/>
    <n v="3"/>
    <s v="Fekete Gergely"/>
    <s v="Victory"/>
    <m/>
    <n v="30"/>
    <m/>
    <s v="Batumi, Georgia"/>
    <d v="2026-05-10T00:00:00"/>
    <x v="0"/>
    <x v="0"/>
    <s v="Victory"/>
    <s v="felnőtt"/>
    <s v="felnőtt"/>
    <m/>
  </r>
  <r>
    <x v="7"/>
    <n v="1"/>
    <n v="18"/>
    <s v="Kumite"/>
    <s v="Kumite, felnőtt férfi 90 kg"/>
    <x v="3"/>
    <m/>
    <m/>
    <n v="1"/>
    <s v="Lajtos Patrik"/>
    <s v="Victory"/>
    <m/>
    <n v="60"/>
    <m/>
    <s v="Batumi, Georgia"/>
    <d v="2026-05-10T00:00:00"/>
    <x v="9"/>
    <x v="0"/>
    <s v="Victory"/>
    <s v="felnőtt"/>
    <s v="felnőtt"/>
    <m/>
  </r>
  <r>
    <x v="7"/>
    <n v="1"/>
    <n v="19"/>
    <s v="Kata"/>
    <s v="Kata, felnőtt csapat"/>
    <x v="17"/>
    <m/>
    <m/>
    <s v="5-8"/>
    <s v="Litvák Lili"/>
    <s v="KHSE"/>
    <m/>
    <n v="3.3"/>
    <m/>
    <s v="Batumi, Georgia"/>
    <d v="2026-05-09T00:00:00"/>
    <x v="39"/>
    <x v="0"/>
    <s v="KHSE"/>
    <s v="felnőtt"/>
    <s v="felnőtt"/>
    <m/>
  </r>
  <r>
    <x v="7"/>
    <n v="1"/>
    <n v="20"/>
    <s v="Kata"/>
    <s v="Kata, felnőtt csapat"/>
    <x v="17"/>
    <m/>
    <m/>
    <s v="5-8"/>
    <s v="Rácz Dorottya"/>
    <s v="KHSE"/>
    <m/>
    <n v="3.3"/>
    <m/>
    <s v="Batumi, Georgia"/>
    <d v="2026-05-09T00:00:00"/>
    <x v="53"/>
    <x v="0"/>
    <s v="KHSE"/>
    <s v="felnőtt"/>
    <s v="felnőtt"/>
    <m/>
  </r>
  <r>
    <x v="7"/>
    <n v="1"/>
    <n v="20"/>
    <s v="Kata"/>
    <s v="Kata, felnőtt csapat"/>
    <x v="17"/>
    <m/>
    <m/>
    <s v="5-8"/>
    <s v="Jernyei Nikolett"/>
    <s v="KHSE"/>
    <m/>
    <n v="3.3"/>
    <m/>
    <s v="Batumi, Georgia"/>
    <d v="2026-05-09T00:00:00"/>
    <x v="61"/>
    <x v="0"/>
    <s v="KHSE"/>
    <s v="felnőtt"/>
    <s v="felnőtt"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  <r>
    <x v="8"/>
    <m/>
    <m/>
    <m/>
    <m/>
    <x v="82"/>
    <m/>
    <m/>
    <m/>
    <m/>
    <m/>
    <m/>
    <m/>
    <m/>
    <m/>
    <m/>
    <x v="560"/>
    <x v="2"/>
    <m/>
    <m/>
    <m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73">
  <r>
    <n v="12"/>
    <m/>
    <s v="Veszprém"/>
    <d v="2026-02-14T00:00:00"/>
    <x v="0"/>
    <x v="0"/>
    <s v="Victory"/>
    <x v="0"/>
  </r>
  <r>
    <n v="9"/>
    <m/>
    <s v="Veszprém"/>
    <d v="2026-02-14T00:00:00"/>
    <x v="1"/>
    <x v="0"/>
    <s v="Ippon KKSE"/>
    <x v="0"/>
  </r>
  <r>
    <n v="6"/>
    <m/>
    <s v="Veszprém"/>
    <d v="2026-02-14T00:00:00"/>
    <x v="2"/>
    <x v="0"/>
    <s v="Kisvárda KKDOSC"/>
    <x v="0"/>
  </r>
  <r>
    <n v="10"/>
    <m/>
    <s v="Veszprém"/>
    <d v="2026-02-14T00:00:00"/>
    <x v="3"/>
    <x v="0"/>
    <s v="Kisvárda KKDOSC"/>
    <x v="0"/>
  </r>
  <r>
    <n v="6"/>
    <m/>
    <s v="Veszprém"/>
    <d v="2026-02-14T00:00:00"/>
    <x v="4"/>
    <x v="0"/>
    <s v="Shogun"/>
    <x v="0"/>
  </r>
  <r>
    <n v="0"/>
    <s v="nem volt nyertes mérkőzése"/>
    <s v="Veszprém"/>
    <d v="2026-02-14T00:00:00"/>
    <x v="5"/>
    <x v="0"/>
    <s v="Victory"/>
    <x v="0"/>
  </r>
  <r>
    <n v="10"/>
    <m/>
    <s v="Veszprém"/>
    <d v="2026-02-14T00:00:00"/>
    <x v="6"/>
    <x v="0"/>
    <s v="Ippon KKSE"/>
    <x v="0"/>
  </r>
  <r>
    <n v="6"/>
    <m/>
    <s v="Veszprém"/>
    <d v="2026-02-14T00:00:00"/>
    <x v="7"/>
    <x v="0"/>
    <s v="Főnix Dojo"/>
    <x v="0"/>
  </r>
  <r>
    <n v="0"/>
    <s v="nem volt nyertes mérkőzése"/>
    <s v="Veszprém"/>
    <d v="2026-02-14T00:00:00"/>
    <x v="8"/>
    <x v="0"/>
    <s v="Victory"/>
    <x v="0"/>
  </r>
  <r>
    <n v="6"/>
    <m/>
    <s v="Veszprém"/>
    <d v="2026-02-14T00:00:00"/>
    <x v="9"/>
    <x v="0"/>
    <s v="Victory"/>
    <x v="0"/>
  </r>
  <r>
    <n v="0"/>
    <s v="nem volt nyertes mérkőzése"/>
    <s v="Veszprém"/>
    <d v="2026-02-14T00:00:00"/>
    <x v="10"/>
    <x v="1"/>
    <s v="TADASHII "/>
    <x v="0"/>
  </r>
  <r>
    <n v="12"/>
    <m/>
    <s v="Veszprém"/>
    <d v="2026-02-14T00:00:00"/>
    <x v="11"/>
    <x v="0"/>
    <s v="Shogun"/>
    <x v="0"/>
  </r>
  <r>
    <n v="9"/>
    <m/>
    <s v="Veszprém"/>
    <d v="2026-02-14T00:00:00"/>
    <x v="12"/>
    <x v="0"/>
    <s v="Ippon KKSE"/>
    <x v="0"/>
  </r>
  <r>
    <n v="6"/>
    <m/>
    <s v="Veszprém"/>
    <d v="2026-02-14T00:00:00"/>
    <x v="13"/>
    <x v="0"/>
    <s v="Castrum"/>
    <x v="0"/>
  </r>
  <r>
    <n v="6"/>
    <m/>
    <s v="Veszprém"/>
    <d v="2026-02-14T00:00:00"/>
    <x v="14"/>
    <x v="0"/>
    <s v="KHSE"/>
    <x v="0"/>
  </r>
  <r>
    <n v="5"/>
    <m/>
    <s v="Veszprém"/>
    <d v="2026-02-14T00:00:00"/>
    <x v="15"/>
    <x v="0"/>
    <s v="KHSE"/>
    <x v="0"/>
  </r>
  <r>
    <n v="3"/>
    <m/>
    <s v="Veszprém"/>
    <d v="2026-02-14T00:00:00"/>
    <x v="16"/>
    <x v="0"/>
    <s v="Shogun"/>
    <x v="0"/>
  </r>
  <r>
    <n v="6"/>
    <m/>
    <s v="Veszprém"/>
    <d v="2026-02-14T00:00:00"/>
    <x v="17"/>
    <x v="1"/>
    <s v="Seiken STKE"/>
    <x v="0"/>
  </r>
  <r>
    <n v="5"/>
    <m/>
    <s v="Veszprém"/>
    <d v="2026-02-14T00:00:00"/>
    <x v="18"/>
    <x v="1"/>
    <s v="Beledi KÉSZ SE"/>
    <x v="0"/>
  </r>
  <r>
    <n v="3"/>
    <m/>
    <s v="Veszprém"/>
    <d v="2026-02-14T00:00:00"/>
    <x v="19"/>
    <x v="1"/>
    <s v="Beledi KÉSZ SE"/>
    <x v="0"/>
  </r>
  <r>
    <n v="0"/>
    <s v="nem volt nyertes mérkőzése"/>
    <s v="Veszprém"/>
    <d v="2026-02-14T00:00:00"/>
    <x v="20"/>
    <x v="1"/>
    <s v="Beledi KÉSZ SE"/>
    <x v="0"/>
  </r>
  <r>
    <n v="6"/>
    <m/>
    <s v="Veszprém"/>
    <d v="2026-02-14T00:00:00"/>
    <x v="21"/>
    <x v="0"/>
    <s v="Shogun"/>
    <x v="0"/>
  </r>
  <r>
    <n v="4"/>
    <m/>
    <s v="Veszprém"/>
    <d v="2026-02-14T00:00:00"/>
    <x v="22"/>
    <x v="1"/>
    <s v="Nintai KKSE"/>
    <x v="0"/>
  </r>
  <r>
    <n v="0"/>
    <s v="nem volt nyertes mérkőzése"/>
    <s v="Veszprém"/>
    <d v="2026-02-14T00:00:00"/>
    <x v="23"/>
    <x v="1"/>
    <s v="KyoDabas SE."/>
    <x v="0"/>
  </r>
  <r>
    <n v="4"/>
    <m/>
    <s v="Veszprém"/>
    <d v="2026-02-14T00:00:00"/>
    <x v="24"/>
    <x v="1"/>
    <s v="Seiken STKE"/>
    <x v="0"/>
  </r>
  <r>
    <n v="0"/>
    <s v="nem volt nyertes mérkőzése"/>
    <s v="Veszprém"/>
    <d v="2026-02-14T00:00:00"/>
    <x v="25"/>
    <x v="0"/>
    <s v="KHSE"/>
    <x v="0"/>
  </r>
  <r>
    <n v="6"/>
    <m/>
    <s v="Veszprém"/>
    <d v="2026-02-14T00:00:00"/>
    <x v="26"/>
    <x v="0"/>
    <s v="KHSE"/>
    <x v="0"/>
  </r>
  <r>
    <n v="4"/>
    <m/>
    <s v="Veszprém"/>
    <d v="2026-02-14T00:00:00"/>
    <x v="27"/>
    <x v="0"/>
    <s v="Castrum"/>
    <x v="0"/>
  </r>
  <r>
    <n v="0"/>
    <s v="nem volt nyertes mérkőzése"/>
    <s v="Veszprém"/>
    <d v="2026-02-14T00:00:00"/>
    <x v="28"/>
    <x v="0"/>
    <s v="Főnix Dojo"/>
    <x v="0"/>
  </r>
  <r>
    <n v="10"/>
    <m/>
    <s v="Veszprém"/>
    <d v="2026-02-14T00:00:00"/>
    <x v="29"/>
    <x v="0"/>
    <s v="Bendiák Dojo"/>
    <x v="0"/>
  </r>
  <r>
    <n v="8"/>
    <m/>
    <s v="Veszprém"/>
    <d v="2026-02-14T00:00:00"/>
    <x v="30"/>
    <x v="0"/>
    <s v="Kamikaze S"/>
    <x v="0"/>
  </r>
  <r>
    <n v="6"/>
    <m/>
    <s v="Veszprém"/>
    <d v="2026-02-14T00:00:00"/>
    <x v="31"/>
    <x v="1"/>
    <s v="TADASHII "/>
    <x v="0"/>
  </r>
  <r>
    <n v="4"/>
    <m/>
    <s v="Veszprém"/>
    <d v="2026-02-14T00:00:00"/>
    <x v="3"/>
    <x v="0"/>
    <s v="Kisvárda KKDOSC"/>
    <x v="0"/>
  </r>
  <r>
    <n v="3"/>
    <m/>
    <s v="Veszprém"/>
    <d v="2026-02-14T00:00:00"/>
    <x v="32"/>
    <x v="0"/>
    <s v="Nozomu Dojo"/>
    <x v="0"/>
  </r>
  <r>
    <n v="3"/>
    <m/>
    <s v="Veszprém"/>
    <d v="2026-02-14T00:00:00"/>
    <x v="33"/>
    <x v="0"/>
    <s v="Shogun"/>
    <x v="0"/>
  </r>
  <r>
    <n v="0"/>
    <s v="10 induló &gt; nem jár már pont"/>
    <s v="Veszprém"/>
    <d v="2026-02-14T00:00:00"/>
    <x v="34"/>
    <x v="0"/>
    <s v="KSE Tarján"/>
    <x v="0"/>
  </r>
  <r>
    <n v="0"/>
    <s v="10 induló &gt; nem jár már pont"/>
    <s v="Veszprém"/>
    <d v="2026-02-14T00:00:00"/>
    <x v="35"/>
    <x v="1"/>
    <s v="Genbu dojo"/>
    <x v="0"/>
  </r>
  <r>
    <n v="0"/>
    <s v="10 induló &gt; nem jár már pont"/>
    <s v="Veszprém"/>
    <d v="2026-02-14T00:00:00"/>
    <x v="24"/>
    <x v="1"/>
    <s v="Seiken STKE"/>
    <x v="0"/>
  </r>
  <r>
    <n v="0"/>
    <s v="10 induló &gt; nem jár már pont"/>
    <s v="Veszprém"/>
    <d v="2026-02-14T00:00:00"/>
    <x v="36"/>
    <x v="0"/>
    <s v="BHMSE"/>
    <x v="0"/>
  </r>
  <r>
    <n v="6"/>
    <m/>
    <s v="Veszprém"/>
    <d v="2026-02-14T00:00:00"/>
    <x v="37"/>
    <x v="0"/>
    <s v="Victory"/>
    <x v="0"/>
  </r>
  <r>
    <n v="0"/>
    <s v="nem volt nyertes mérkőzése"/>
    <s v="Veszprém"/>
    <d v="2026-02-14T00:00:00"/>
    <x v="38"/>
    <x v="0"/>
    <s v="Bátor KSE"/>
    <x v="0"/>
  </r>
  <r>
    <n v="10"/>
    <m/>
    <s v="Veszprém"/>
    <d v="2026-02-14T00:00:00"/>
    <x v="39"/>
    <x v="0"/>
    <s v="KHSE"/>
    <x v="0"/>
  </r>
  <r>
    <n v="6"/>
    <m/>
    <s v="Veszprém"/>
    <d v="2026-02-14T00:00:00"/>
    <x v="40"/>
    <x v="1"/>
    <s v="TADASHII "/>
    <x v="0"/>
  </r>
  <r>
    <n v="0"/>
    <s v="nem volt nyertes mérkőzése"/>
    <s v="Veszprém"/>
    <d v="2026-02-14T00:00:00"/>
    <x v="41"/>
    <x v="0"/>
    <s v="KHSE"/>
    <x v="0"/>
  </r>
  <r>
    <n v="12"/>
    <m/>
    <s v="Veszprém"/>
    <d v="2026-02-14T00:00:00"/>
    <x v="42"/>
    <x v="1"/>
    <s v="Seiken STKE"/>
    <x v="0"/>
  </r>
  <r>
    <n v="9"/>
    <m/>
    <s v="Veszprém"/>
    <d v="2026-02-14T00:00:00"/>
    <x v="43"/>
    <x v="1"/>
    <s v="VTSE"/>
    <x v="0"/>
  </r>
  <r>
    <n v="6"/>
    <m/>
    <s v="Veszprém"/>
    <d v="2026-02-14T00:00:00"/>
    <x v="44"/>
    <x v="0"/>
    <s v="BHMSE"/>
    <x v="0"/>
  </r>
  <r>
    <n v="12"/>
    <m/>
    <s v="Veszprém"/>
    <d v="2026-02-14T00:00:00"/>
    <x v="45"/>
    <x v="0"/>
    <s v="Victory"/>
    <x v="0"/>
  </r>
  <r>
    <n v="9"/>
    <m/>
    <s v="Veszprém"/>
    <d v="2026-02-14T00:00:00"/>
    <x v="46"/>
    <x v="0"/>
    <s v="Castrum"/>
    <x v="0"/>
  </r>
  <r>
    <n v="6"/>
    <m/>
    <s v="Veszprém"/>
    <d v="2026-02-14T00:00:00"/>
    <x v="47"/>
    <x v="0"/>
    <s v="Griff SE"/>
    <x v="0"/>
  </r>
  <r>
    <n v="12"/>
    <m/>
    <s v="Veszprém"/>
    <d v="2026-02-14T00:00:00"/>
    <x v="48"/>
    <x v="0"/>
    <s v="Victory"/>
    <x v="0"/>
  </r>
  <r>
    <n v="9"/>
    <m/>
    <s v="Veszprém"/>
    <d v="2026-02-14T00:00:00"/>
    <x v="49"/>
    <x v="0"/>
    <s v="BHMSE"/>
    <x v="0"/>
  </r>
  <r>
    <n v="6"/>
    <m/>
    <s v="Veszprém"/>
    <d v="2026-02-14T00:00:00"/>
    <x v="50"/>
    <x v="0"/>
    <s v="Kamikaze S"/>
    <x v="0"/>
  </r>
  <r>
    <n v="6"/>
    <m/>
    <s v="Veszprém"/>
    <d v="2026-02-14T00:00:00"/>
    <x v="51"/>
    <x v="0"/>
    <s v="KHSE"/>
    <x v="0"/>
  </r>
  <r>
    <n v="4"/>
    <m/>
    <s v="Veszprém"/>
    <d v="2026-02-14T00:00:00"/>
    <x v="52"/>
    <x v="0"/>
    <s v="Főnix Dojo"/>
    <x v="0"/>
  </r>
  <r>
    <n v="0"/>
    <s v="nem volt nyertes mérkőzése"/>
    <s v="Veszprém"/>
    <d v="2026-02-14T00:00:00"/>
    <x v="53"/>
    <x v="0"/>
    <s v="KHSE"/>
    <x v="0"/>
  </r>
  <r>
    <n v="10.000000010000001"/>
    <m/>
    <s v="Veszprém"/>
    <d v="2026-02-14T00:00:00"/>
    <x v="40"/>
    <x v="1"/>
    <s v="TADASHII "/>
    <x v="0"/>
  </r>
  <r>
    <n v="8.0000000100000008"/>
    <m/>
    <s v="Veszprém"/>
    <d v="2026-02-14T00:00:00"/>
    <x v="54"/>
    <x v="0"/>
    <s v="Kagami"/>
    <x v="0"/>
  </r>
  <r>
    <n v="6.0000000099999999"/>
    <m/>
    <s v="Veszprém"/>
    <d v="2026-02-14T00:00:00"/>
    <x v="42"/>
    <x v="1"/>
    <s v="Seiken STKE"/>
    <x v="0"/>
  </r>
  <r>
    <n v="4.0000000099999999"/>
    <m/>
    <s v="Veszprém"/>
    <d v="2026-02-14T00:00:00"/>
    <x v="55"/>
    <x v="0"/>
    <s v="Kagami"/>
    <x v="0"/>
  </r>
  <r>
    <n v="3.0000000099999999"/>
    <m/>
    <s v="Veszprém"/>
    <d v="2026-02-14T00:00:00"/>
    <x v="39"/>
    <x v="0"/>
    <s v="KHSE"/>
    <x v="0"/>
  </r>
  <r>
    <n v="3.0000000099999999"/>
    <m/>
    <s v="Veszprém"/>
    <d v="2026-02-14T00:00:00"/>
    <x v="56"/>
    <x v="0"/>
    <s v="Shogun"/>
    <x v="0"/>
  </r>
  <r>
    <n v="3.0000000099999999"/>
    <m/>
    <s v="Veszprém"/>
    <d v="2026-02-14T00:00:00"/>
    <x v="57"/>
    <x v="0"/>
    <s v="Shogun"/>
    <x v="0"/>
  </r>
  <r>
    <n v="3.0000000099999999"/>
    <m/>
    <s v="Veszprém"/>
    <d v="2026-02-14T00:00:00"/>
    <x v="58"/>
    <x v="0"/>
    <s v="Kagami"/>
    <x v="0"/>
  </r>
  <r>
    <n v="0"/>
    <s v="14 induló &gt; nem jár már pont"/>
    <s v="Veszprém"/>
    <d v="2026-02-14T00:00:00"/>
    <x v="59"/>
    <x v="0"/>
    <s v="Siófok KSE"/>
    <x v="0"/>
  </r>
  <r>
    <n v="0"/>
    <s v="14 induló &gt; nem jár már pont"/>
    <s v="Veszprém"/>
    <d v="2026-02-14T00:00:00"/>
    <x v="60"/>
    <x v="0"/>
    <s v="Shogun"/>
    <x v="0"/>
  </r>
  <r>
    <n v="0"/>
    <s v="14 induló &gt; nem jár már pont"/>
    <s v="Veszprém"/>
    <d v="2026-02-14T00:00:00"/>
    <x v="61"/>
    <x v="0"/>
    <s v="KHSE"/>
    <x v="0"/>
  </r>
  <r>
    <n v="0"/>
    <s v="14 induló &gt; nem jár már pont"/>
    <s v="Veszprém"/>
    <d v="2026-02-14T00:00:00"/>
    <x v="62"/>
    <x v="0"/>
    <s v="BHMSE"/>
    <x v="0"/>
  </r>
  <r>
    <n v="0"/>
    <s v="14 induló &gt; nem jár már pont"/>
    <s v="Veszprém"/>
    <d v="2026-02-14T00:00:00"/>
    <x v="63"/>
    <x v="1"/>
    <s v="Beledi KÉSZ SE"/>
    <x v="0"/>
  </r>
  <r>
    <n v="0"/>
    <s v="14 induló &gt; nem jár már pont"/>
    <s v="Veszprém"/>
    <d v="2026-02-14T00:00:00"/>
    <x v="64"/>
    <x v="0"/>
    <s v="Rakurai"/>
    <x v="0"/>
  </r>
  <r>
    <n v="0"/>
    <s v="2 induló estetán nem jár pont"/>
    <s v="Veszprém"/>
    <d v="2026-02-14T00:00:00"/>
    <x v="65"/>
    <x v="0"/>
    <s v="KHSE"/>
    <x v="0"/>
  </r>
  <r>
    <n v="0"/>
    <s v="2 induló estetán nem jár pont"/>
    <s v="Veszprém"/>
    <d v="2026-02-14T00:00:00"/>
    <x v="66"/>
    <x v="0"/>
    <s v="Kagami"/>
    <x v="0"/>
  </r>
  <r>
    <n v="6"/>
    <m/>
    <s v="Várpalota"/>
    <d v="2026-02-28T00:00:00"/>
    <x v="67"/>
    <x v="0"/>
    <s v="Nagykátai Bushido SE"/>
    <x v="1"/>
  </r>
  <r>
    <n v="5"/>
    <m/>
    <s v="Várpalota"/>
    <d v="2026-02-28T00:00:00"/>
    <x v="68"/>
    <x v="0"/>
    <s v="Kamikaze S"/>
    <x v="1"/>
  </r>
  <r>
    <n v="3"/>
    <m/>
    <s v="Várpalota"/>
    <d v="2026-02-28T00:00:00"/>
    <x v="69"/>
    <x v="1"/>
    <s v="VTSE"/>
    <x v="1"/>
  </r>
  <r>
    <n v="6"/>
    <m/>
    <s v="Várpalota"/>
    <d v="2026-02-28T00:00:00"/>
    <x v="70"/>
    <x v="0"/>
    <s v="BHMSE"/>
    <x v="1"/>
  </r>
  <r>
    <n v="5"/>
    <m/>
    <s v="Várpalota"/>
    <d v="2026-02-28T00:00:00"/>
    <x v="71"/>
    <x v="0"/>
    <s v="Ippon KKSE"/>
    <x v="1"/>
  </r>
  <r>
    <n v="3"/>
    <m/>
    <s v="Várpalota"/>
    <d v="2026-02-28T00:00:00"/>
    <x v="72"/>
    <x v="1"/>
    <s v="Beledi KÉSZ SE"/>
    <x v="1"/>
  </r>
  <r>
    <n v="6"/>
    <m/>
    <s v="Várpalota"/>
    <d v="2026-02-28T00:00:00"/>
    <x v="73"/>
    <x v="0"/>
    <s v="Katana SE"/>
    <x v="1"/>
  </r>
  <r>
    <n v="5"/>
    <m/>
    <s v="Várpalota"/>
    <d v="2026-02-28T00:00:00"/>
    <x v="74"/>
    <x v="0"/>
    <s v="Nagykátai Bushido SE"/>
    <x v="1"/>
  </r>
  <r>
    <n v="0"/>
    <s v="nem volt nyertes mérkőzése"/>
    <s v="Várpalota"/>
    <d v="2026-02-28T00:00:00"/>
    <x v="75"/>
    <x v="0"/>
    <s v="BHMSE"/>
    <x v="1"/>
  </r>
  <r>
    <n v="3"/>
    <m/>
    <s v="Várpalota"/>
    <d v="2026-02-28T00:00:00"/>
    <x v="76"/>
    <x v="1"/>
    <s v="Beledi KÉSZ SE"/>
    <x v="1"/>
  </r>
  <r>
    <n v="0"/>
    <m/>
    <s v="Várpalota"/>
    <d v="2026-02-28T00:00:00"/>
    <x v="77"/>
    <x v="0"/>
    <s v="Főnix Dojo"/>
    <x v="1"/>
  </r>
  <r>
    <n v="0"/>
    <m/>
    <s v="Várpalota"/>
    <d v="2026-02-28T00:00:00"/>
    <x v="78"/>
    <x v="0"/>
    <s v="Castrum"/>
    <x v="1"/>
  </r>
  <r>
    <n v="0"/>
    <m/>
    <s v="Várpalota"/>
    <d v="2026-02-28T00:00:00"/>
    <x v="79"/>
    <x v="0"/>
    <s v="Rakurai"/>
    <x v="1"/>
  </r>
  <r>
    <n v="6"/>
    <m/>
    <s v="Várpalota"/>
    <d v="2026-02-28T00:00:00"/>
    <x v="80"/>
    <x v="0"/>
    <s v="KSE Tarján"/>
    <x v="1"/>
  </r>
  <r>
    <n v="5"/>
    <m/>
    <s v="Várpalota"/>
    <d v="2026-02-28T00:00:00"/>
    <x v="69"/>
    <x v="1"/>
    <s v="VTSE"/>
    <x v="1"/>
  </r>
  <r>
    <n v="3"/>
    <m/>
    <s v="Várpalota"/>
    <d v="2026-02-28T00:00:00"/>
    <x v="81"/>
    <x v="0"/>
    <s v="KSE Tarján"/>
    <x v="1"/>
  </r>
  <r>
    <n v="3"/>
    <m/>
    <s v="Várpalota"/>
    <d v="2026-02-28T00:00:00"/>
    <x v="82"/>
    <x v="0"/>
    <s v="Siófok KSE"/>
    <x v="1"/>
  </r>
  <r>
    <n v="0"/>
    <s v="nem volt nyertes mérkőzése"/>
    <s v="Várpalota"/>
    <d v="2026-02-28T00:00:00"/>
    <x v="83"/>
    <x v="0"/>
    <s v="Katana SE"/>
    <x v="1"/>
  </r>
  <r>
    <n v="0"/>
    <s v="nem volt nyertes mérkőzése"/>
    <s v="Várpalota"/>
    <d v="2026-02-28T00:00:00"/>
    <x v="84"/>
    <x v="0"/>
    <s v="BHMSE"/>
    <x v="1"/>
  </r>
  <r>
    <n v="0"/>
    <s v="nem volt nyertes mérkőzése"/>
    <s v="Várpalota"/>
    <d v="2026-02-28T00:00:00"/>
    <x v="85"/>
    <x v="0"/>
    <s v="Katana SE"/>
    <x v="1"/>
  </r>
  <r>
    <n v="0"/>
    <s v="nem volt nyertes mérkőzése"/>
    <s v="Várpalota"/>
    <d v="2026-02-28T00:00:00"/>
    <x v="75"/>
    <x v="0"/>
    <s v="BHMSE"/>
    <x v="1"/>
  </r>
  <r>
    <n v="0"/>
    <m/>
    <s v="Várpalota"/>
    <d v="2026-02-28T00:00:00"/>
    <x v="86"/>
    <x v="0"/>
    <s v="BHMSE"/>
    <x v="1"/>
  </r>
  <r>
    <n v="0"/>
    <m/>
    <s v="Várpalota"/>
    <d v="2026-02-28T00:00:00"/>
    <x v="87"/>
    <x v="0"/>
    <s v="BHMSE"/>
    <x v="1"/>
  </r>
  <r>
    <n v="0"/>
    <m/>
    <s v="Várpalota"/>
    <d v="2026-02-28T00:00:00"/>
    <x v="88"/>
    <x v="0"/>
    <s v="BHMSE"/>
    <x v="1"/>
  </r>
  <r>
    <n v="0"/>
    <m/>
    <s v="Várpalota"/>
    <d v="2026-02-28T00:00:00"/>
    <x v="70"/>
    <x v="0"/>
    <s v="BHMSE"/>
    <x v="1"/>
  </r>
  <r>
    <n v="3"/>
    <m/>
    <s v="Várpalota"/>
    <d v="2026-02-28T00:00:00"/>
    <x v="89"/>
    <x v="0"/>
    <s v="BHMSE"/>
    <x v="1"/>
  </r>
  <r>
    <n v="0"/>
    <m/>
    <s v="Várpalota"/>
    <d v="2026-02-28T00:00:00"/>
    <x v="90"/>
    <x v="0"/>
    <s v="Rokku KKSE"/>
    <x v="1"/>
  </r>
  <r>
    <n v="3"/>
    <m/>
    <s v="Várpalota"/>
    <d v="2026-02-28T00:00:00"/>
    <x v="91"/>
    <x v="0"/>
    <s v="Rakurai"/>
    <x v="1"/>
  </r>
  <r>
    <n v="0"/>
    <m/>
    <s v="Várpalota"/>
    <d v="2026-02-28T00:00:00"/>
    <x v="92"/>
    <x v="0"/>
    <s v="Rokku KKSE"/>
    <x v="1"/>
  </r>
  <r>
    <n v="6"/>
    <m/>
    <s v="Várpalota"/>
    <d v="2026-02-28T00:00:00"/>
    <x v="93"/>
    <x v="0"/>
    <s v="Meiyo dojo"/>
    <x v="1"/>
  </r>
  <r>
    <n v="5"/>
    <m/>
    <s v="Várpalota"/>
    <d v="2026-02-28T00:00:00"/>
    <x v="94"/>
    <x v="0"/>
    <s v="Meiyo dojo"/>
    <x v="1"/>
  </r>
  <r>
    <n v="3"/>
    <m/>
    <s v="Várpalota"/>
    <d v="2026-02-28T00:00:00"/>
    <x v="95"/>
    <x v="0"/>
    <s v="Meiyo dojo"/>
    <x v="1"/>
  </r>
  <r>
    <n v="5"/>
    <m/>
    <s v="Várpalota"/>
    <d v="2026-02-28T00:00:00"/>
    <x v="96"/>
    <x v="0"/>
    <s v="KSE Tarján"/>
    <x v="1"/>
  </r>
  <r>
    <n v="4"/>
    <m/>
    <s v="Várpalota"/>
    <d v="2026-02-28T00:00:00"/>
    <x v="97"/>
    <x v="0"/>
    <s v="Nagykátai Bushido SE"/>
    <x v="1"/>
  </r>
  <r>
    <n v="2"/>
    <m/>
    <s v="Várpalota"/>
    <d v="2026-02-28T00:00:00"/>
    <x v="92"/>
    <x v="0"/>
    <s v="Rokku KKSE"/>
    <x v="1"/>
  </r>
  <r>
    <n v="2"/>
    <m/>
    <s v="Várpalota"/>
    <d v="2026-02-28T00:00:00"/>
    <x v="93"/>
    <x v="0"/>
    <s v="Meiyo dojo"/>
    <x v="1"/>
  </r>
  <r>
    <n v="0"/>
    <m/>
    <s v="Várpalota"/>
    <d v="2026-02-28T00:00:00"/>
    <x v="98"/>
    <x v="0"/>
    <s v="BHMSE"/>
    <x v="1"/>
  </r>
  <r>
    <n v="0"/>
    <m/>
    <s v="Várpalota"/>
    <d v="2026-02-28T00:00:00"/>
    <x v="89"/>
    <x v="0"/>
    <s v="BHMSE"/>
    <x v="1"/>
  </r>
  <r>
    <n v="0"/>
    <m/>
    <s v="Várpalota"/>
    <d v="2026-02-28T00:00:00"/>
    <x v="90"/>
    <x v="0"/>
    <s v="Rokku KKSE"/>
    <x v="1"/>
  </r>
  <r>
    <n v="0"/>
    <m/>
    <s v="Várpalota"/>
    <d v="2026-02-28T00:00:00"/>
    <x v="94"/>
    <x v="0"/>
    <s v="Meiyo dojo"/>
    <x v="1"/>
  </r>
  <r>
    <n v="8"/>
    <m/>
    <s v="Várpalota"/>
    <d v="2026-02-28T00:00:00"/>
    <x v="99"/>
    <x v="0"/>
    <s v="Katana SE"/>
    <x v="1"/>
  </r>
  <r>
    <n v="6"/>
    <m/>
    <s v="Várpalota"/>
    <d v="2026-02-28T00:00:00"/>
    <x v="100"/>
    <x v="0"/>
    <s v="Nagykátai Bushido SE"/>
    <x v="1"/>
  </r>
  <r>
    <n v="4"/>
    <m/>
    <s v="Várpalota"/>
    <d v="2026-02-28T00:00:00"/>
    <x v="101"/>
    <x v="0"/>
    <s v="Kamikaze S"/>
    <x v="1"/>
  </r>
  <r>
    <n v="4"/>
    <m/>
    <s v="Várpalota"/>
    <d v="2026-02-28T00:00:00"/>
    <x v="102"/>
    <x v="1"/>
    <s v="VTSE"/>
    <x v="1"/>
  </r>
  <r>
    <n v="0"/>
    <s v="nem volt nyertes mérkőzése"/>
    <s v="Várpalota"/>
    <d v="2026-02-28T00:00:00"/>
    <x v="103"/>
    <x v="0"/>
    <s v="Rokku KKSE"/>
    <x v="1"/>
  </r>
  <r>
    <n v="0"/>
    <s v="nem volt nyertes mérkőzése"/>
    <s v="Várpalota"/>
    <d v="2026-02-28T00:00:00"/>
    <x v="104"/>
    <x v="0"/>
    <s v="BHMSE"/>
    <x v="1"/>
  </r>
  <r>
    <n v="2"/>
    <m/>
    <s v="Várpalota"/>
    <d v="2026-02-28T00:00:00"/>
    <x v="105"/>
    <x v="0"/>
    <s v="Katana SE"/>
    <x v="1"/>
  </r>
  <r>
    <n v="0"/>
    <s v="nem volt nyertes mérkőzése"/>
    <s v="Várpalota"/>
    <d v="2026-02-28T00:00:00"/>
    <x v="106"/>
    <x v="0"/>
    <s v="BHMSE"/>
    <x v="1"/>
  </r>
  <r>
    <n v="0"/>
    <m/>
    <s v="Várpalota"/>
    <d v="2026-02-28T00:00:00"/>
    <x v="107"/>
    <x v="0"/>
    <s v="Kamikaze S"/>
    <x v="1"/>
  </r>
  <r>
    <n v="0"/>
    <m/>
    <s v="Várpalota"/>
    <d v="2026-02-28T00:00:00"/>
    <x v="108"/>
    <x v="0"/>
    <s v="Katana SE"/>
    <x v="1"/>
  </r>
  <r>
    <n v="0"/>
    <m/>
    <s v="Várpalota"/>
    <d v="2026-02-28T00:00:00"/>
    <x v="109"/>
    <x v="0"/>
    <s v="Castrum"/>
    <x v="1"/>
  </r>
  <r>
    <n v="6"/>
    <m/>
    <s v="Várpalota"/>
    <d v="2026-02-28T00:00:00"/>
    <x v="110"/>
    <x v="0"/>
    <s v="Katana SE"/>
    <x v="1"/>
  </r>
  <r>
    <n v="5"/>
    <m/>
    <s v="Várpalota"/>
    <d v="2026-02-28T00:00:00"/>
    <x v="111"/>
    <x v="0"/>
    <s v="Katana SE"/>
    <x v="1"/>
  </r>
  <r>
    <n v="0"/>
    <s v="nem volt nyertes mérkőzése"/>
    <s v="Várpalota"/>
    <d v="2026-02-28T00:00:00"/>
    <x v="112"/>
    <x v="0"/>
    <s v="KKE - Spartacus"/>
    <x v="1"/>
  </r>
  <r>
    <n v="3"/>
    <m/>
    <s v="Várpalota"/>
    <d v="2026-02-28T00:00:00"/>
    <x v="113"/>
    <x v="0"/>
    <s v="Rakurai"/>
    <x v="1"/>
  </r>
  <r>
    <n v="0"/>
    <m/>
    <s v="Várpalota"/>
    <d v="2026-02-28T00:00:00"/>
    <x v="114"/>
    <x v="0"/>
    <s v="Nagykátai Bushido SE"/>
    <x v="1"/>
  </r>
  <r>
    <n v="0"/>
    <m/>
    <s v="Várpalota"/>
    <d v="2026-02-28T00:00:00"/>
    <x v="115"/>
    <x v="0"/>
    <s v="Griff SE"/>
    <x v="1"/>
  </r>
  <r>
    <n v="0"/>
    <m/>
    <s v="Várpalota"/>
    <d v="2026-02-28T00:00:00"/>
    <x v="116"/>
    <x v="0"/>
    <s v="BHMSE"/>
    <x v="1"/>
  </r>
  <r>
    <n v="6"/>
    <m/>
    <s v="Várpalota"/>
    <d v="2026-02-28T00:00:00"/>
    <x v="117"/>
    <x v="0"/>
    <s v="KSE Tarján"/>
    <x v="1"/>
  </r>
  <r>
    <n v="5"/>
    <m/>
    <s v="Várpalota"/>
    <d v="2026-02-28T00:00:00"/>
    <x v="118"/>
    <x v="0"/>
    <s v="Griff SE"/>
    <x v="1"/>
  </r>
  <r>
    <n v="3"/>
    <m/>
    <s v="Várpalota"/>
    <d v="2026-02-28T00:00:00"/>
    <x v="119"/>
    <x v="0"/>
    <s v="Katana SE"/>
    <x v="1"/>
  </r>
  <r>
    <n v="0"/>
    <s v="nem volt nyertes mérkőzése"/>
    <s v="Várpalota"/>
    <d v="2026-02-28T00:00:00"/>
    <x v="120"/>
    <x v="0"/>
    <s v="Kamikaze S"/>
    <x v="1"/>
  </r>
  <r>
    <n v="0"/>
    <m/>
    <s v="Várpalota"/>
    <d v="2026-02-28T00:00:00"/>
    <x v="121"/>
    <x v="0"/>
    <s v="Katana SE"/>
    <x v="1"/>
  </r>
  <r>
    <n v="0"/>
    <m/>
    <s v="Várpalota"/>
    <d v="2026-02-28T00:00:00"/>
    <x v="122"/>
    <x v="0"/>
    <s v="BHMSE"/>
    <x v="1"/>
  </r>
  <r>
    <n v="0"/>
    <m/>
    <s v="Várpalota"/>
    <d v="2026-02-28T00:00:00"/>
    <x v="123"/>
    <x v="0"/>
    <s v="Rokku KKSE"/>
    <x v="1"/>
  </r>
  <r>
    <n v="8"/>
    <m/>
    <s v="Várpalota"/>
    <d v="2026-02-28T00:00:00"/>
    <x v="124"/>
    <x v="0"/>
    <s v="BHMSE"/>
    <x v="1"/>
  </r>
  <r>
    <n v="6"/>
    <m/>
    <s v="Várpalota"/>
    <d v="2026-02-28T00:00:00"/>
    <x v="125"/>
    <x v="0"/>
    <s v="Nagykátai Bushido SE"/>
    <x v="1"/>
  </r>
  <r>
    <n v="4"/>
    <m/>
    <s v="Várpalota"/>
    <d v="2026-02-28T00:00:00"/>
    <x v="126"/>
    <x v="0"/>
    <s v="WARRIORS TEAM"/>
    <x v="1"/>
  </r>
  <r>
    <n v="3"/>
    <m/>
    <s v="Várpalota"/>
    <d v="2026-02-28T00:00:00"/>
    <x v="127"/>
    <x v="1"/>
    <s v="Beledi KÉSZ SE"/>
    <x v="1"/>
  </r>
  <r>
    <n v="6"/>
    <m/>
    <s v="Várpalota"/>
    <d v="2026-02-28T00:00:00"/>
    <x v="128"/>
    <x v="0"/>
    <s v="Ippon KKSE"/>
    <x v="1"/>
  </r>
  <r>
    <n v="5"/>
    <m/>
    <s v="Várpalota"/>
    <d v="2026-02-28T00:00:00"/>
    <x v="129"/>
    <x v="0"/>
    <s v="BHMSE"/>
    <x v="1"/>
  </r>
  <r>
    <n v="3"/>
    <m/>
    <s v="Várpalota"/>
    <d v="2026-02-28T00:00:00"/>
    <x v="130"/>
    <x v="0"/>
    <s v="Rakurai"/>
    <x v="1"/>
  </r>
  <r>
    <n v="6"/>
    <m/>
    <s v="Várpalota"/>
    <d v="2026-02-28T00:00:00"/>
    <x v="131"/>
    <x v="0"/>
    <s v="Shinkyo SE"/>
    <x v="1"/>
  </r>
  <r>
    <n v="5"/>
    <m/>
    <s v="Várpalota"/>
    <d v="2026-02-28T00:00:00"/>
    <x v="104"/>
    <x v="0"/>
    <s v="BHMSE"/>
    <x v="1"/>
  </r>
  <r>
    <n v="3"/>
    <m/>
    <s v="Várpalota"/>
    <d v="2026-02-28T00:00:00"/>
    <x v="117"/>
    <x v="0"/>
    <s v="KSE Tarján"/>
    <x v="1"/>
  </r>
  <r>
    <n v="3"/>
    <m/>
    <s v="Várpalota"/>
    <d v="2026-02-28T00:00:00"/>
    <x v="124"/>
    <x v="0"/>
    <s v="BHMSE"/>
    <x v="1"/>
  </r>
  <r>
    <n v="1"/>
    <m/>
    <s v="Várpalota"/>
    <d v="2026-02-28T00:00:00"/>
    <x v="132"/>
    <x v="0"/>
    <s v="BHMSE"/>
    <x v="1"/>
  </r>
  <r>
    <n v="1"/>
    <m/>
    <s v="Várpalota"/>
    <d v="2026-02-28T00:00:00"/>
    <x v="133"/>
    <x v="0"/>
    <s v="Rokku KKSE"/>
    <x v="1"/>
  </r>
  <r>
    <n v="0"/>
    <s v="nem volt nyertes mérkőzése"/>
    <s v="Várpalota"/>
    <d v="2026-02-28T00:00:00"/>
    <x v="116"/>
    <x v="0"/>
    <s v="BHMSE"/>
    <x v="1"/>
  </r>
  <r>
    <n v="0"/>
    <s v="nem volt nyertes mérkőzése"/>
    <s v="Várpalota"/>
    <d v="2026-02-28T00:00:00"/>
    <x v="134"/>
    <x v="0"/>
    <s v="BHMSE"/>
    <x v="1"/>
  </r>
  <r>
    <n v="0"/>
    <m/>
    <s v="Várpalota"/>
    <d v="2026-02-28T00:00:00"/>
    <x v="113"/>
    <x v="0"/>
    <s v="Rakurai"/>
    <x v="1"/>
  </r>
  <r>
    <n v="0"/>
    <m/>
    <s v="Várpalota"/>
    <d v="2026-02-28T00:00:00"/>
    <x v="121"/>
    <x v="0"/>
    <s v="Katana SE"/>
    <x v="1"/>
  </r>
  <r>
    <n v="0"/>
    <m/>
    <s v="Várpalota"/>
    <d v="2026-02-28T00:00:00"/>
    <x v="135"/>
    <x v="1"/>
    <s v="Pagoda"/>
    <x v="1"/>
  </r>
  <r>
    <n v="0"/>
    <m/>
    <s v="Várpalota"/>
    <d v="2026-02-28T00:00:00"/>
    <x v="122"/>
    <x v="0"/>
    <s v="BHMSE"/>
    <x v="1"/>
  </r>
  <r>
    <n v="0"/>
    <m/>
    <s v="Várpalota"/>
    <d v="2026-02-28T00:00:00"/>
    <x v="136"/>
    <x v="0"/>
    <s v="BHMSE"/>
    <x v="1"/>
  </r>
  <r>
    <n v="0"/>
    <m/>
    <s v="Várpalota"/>
    <d v="2026-02-28T00:00:00"/>
    <x v="137"/>
    <x v="0"/>
    <s v="Siófok KSE"/>
    <x v="1"/>
  </r>
  <r>
    <n v="6"/>
    <m/>
    <s v="Várpalota"/>
    <d v="2026-02-28T00:00:00"/>
    <x v="138"/>
    <x v="0"/>
    <s v="BHMSE"/>
    <x v="1"/>
  </r>
  <r>
    <n v="5"/>
    <m/>
    <s v="Várpalota"/>
    <d v="2026-02-28T00:00:00"/>
    <x v="139"/>
    <x v="0"/>
    <s v="Griff SE"/>
    <x v="1"/>
  </r>
  <r>
    <n v="3"/>
    <m/>
    <s v="Várpalota"/>
    <d v="2026-02-28T00:00:00"/>
    <x v="140"/>
    <x v="0"/>
    <s v="Rakurai"/>
    <x v="1"/>
  </r>
  <r>
    <n v="6"/>
    <m/>
    <s v="Várpalota"/>
    <d v="2026-02-28T00:00:00"/>
    <x v="141"/>
    <x v="1"/>
    <s v="Genbu dojo"/>
    <x v="1"/>
  </r>
  <r>
    <n v="5"/>
    <m/>
    <s v="Várpalota"/>
    <d v="2026-02-28T00:00:00"/>
    <x v="142"/>
    <x v="1"/>
    <s v="Genbu dojo"/>
    <x v="1"/>
  </r>
  <r>
    <n v="3"/>
    <m/>
    <s v="Várpalota"/>
    <d v="2026-02-28T00:00:00"/>
    <x v="143"/>
    <x v="0"/>
    <s v="WARRIORS TEAM"/>
    <x v="1"/>
  </r>
  <r>
    <n v="6"/>
    <m/>
    <s v="Várpalota"/>
    <d v="2026-02-28T00:00:00"/>
    <x v="144"/>
    <x v="1"/>
    <s v="VTSE"/>
    <x v="1"/>
  </r>
  <r>
    <n v="5"/>
    <m/>
    <s v="Várpalota"/>
    <d v="2026-02-28T00:00:00"/>
    <x v="145"/>
    <x v="0"/>
    <s v="Nagykátai Bushido SE"/>
    <x v="1"/>
  </r>
  <r>
    <n v="3"/>
    <m/>
    <s v="Várpalota"/>
    <d v="2026-02-28T00:00:00"/>
    <x v="146"/>
    <x v="0"/>
    <s v="BHMSE"/>
    <x v="1"/>
  </r>
  <r>
    <n v="0"/>
    <s v="nem volt nyertes mérkőzése"/>
    <s v="Várpalota"/>
    <d v="2026-02-28T00:00:00"/>
    <x v="147"/>
    <x v="0"/>
    <s v="Főnix Dojo"/>
    <x v="1"/>
  </r>
  <r>
    <n v="0"/>
    <m/>
    <s v="Várpalota"/>
    <d v="2026-02-28T00:00:00"/>
    <x v="148"/>
    <x v="0"/>
    <s v="Rokku KKSE"/>
    <x v="1"/>
  </r>
  <r>
    <n v="0"/>
    <m/>
    <s v="Várpalota"/>
    <d v="2026-02-28T00:00:00"/>
    <x v="149"/>
    <x v="0"/>
    <s v="Meiyo dojo"/>
    <x v="1"/>
  </r>
  <r>
    <n v="0"/>
    <m/>
    <s v="Várpalota"/>
    <d v="2026-02-28T00:00:00"/>
    <x v="150"/>
    <x v="0"/>
    <s v="KSE Tarján"/>
    <x v="1"/>
  </r>
  <r>
    <n v="6"/>
    <m/>
    <s v="Várpalota"/>
    <d v="2026-02-28T00:00:00"/>
    <x v="138"/>
    <x v="0"/>
    <s v="BHMSE"/>
    <x v="1"/>
  </r>
  <r>
    <n v="5"/>
    <m/>
    <s v="Várpalota"/>
    <d v="2026-02-28T00:00:00"/>
    <x v="151"/>
    <x v="0"/>
    <s v="BHMSE"/>
    <x v="1"/>
  </r>
  <r>
    <n v="3"/>
    <m/>
    <s v="Várpalota"/>
    <d v="2026-02-28T00:00:00"/>
    <x v="152"/>
    <x v="0"/>
    <s v="Rakurai"/>
    <x v="1"/>
  </r>
  <r>
    <n v="3"/>
    <m/>
    <s v="Várpalota"/>
    <d v="2026-02-28T00:00:00"/>
    <x v="153"/>
    <x v="0"/>
    <s v="BHMSE"/>
    <x v="1"/>
  </r>
  <r>
    <n v="0"/>
    <s v="nem volt nyertes mérkőzése"/>
    <s v="Várpalota"/>
    <d v="2026-02-28T00:00:00"/>
    <x v="148"/>
    <x v="0"/>
    <s v="Rokku KKSE"/>
    <x v="1"/>
  </r>
  <r>
    <n v="0"/>
    <s v="nem volt nyertes mérkőzése"/>
    <s v="Várpalota"/>
    <d v="2026-02-28T00:00:00"/>
    <x v="154"/>
    <x v="1"/>
    <s v="Beledi KÉSZ SE"/>
    <x v="1"/>
  </r>
  <r>
    <n v="0"/>
    <s v="nem volt nyertes mérkőzése"/>
    <s v="Várpalota"/>
    <d v="2026-02-28T00:00:00"/>
    <x v="146"/>
    <x v="0"/>
    <s v="BHMSE"/>
    <x v="1"/>
  </r>
  <r>
    <n v="0"/>
    <s v="nem volt nyertes mérkőzése"/>
    <s v="Várpalota"/>
    <d v="2026-02-28T00:00:00"/>
    <x v="149"/>
    <x v="0"/>
    <s v="Meiyo dojo"/>
    <x v="1"/>
  </r>
  <r>
    <n v="0"/>
    <m/>
    <s v="Várpalota"/>
    <d v="2026-02-28T00:00:00"/>
    <x v="155"/>
    <x v="0"/>
    <s v="Katana SE"/>
    <x v="1"/>
  </r>
  <r>
    <n v="3"/>
    <m/>
    <s v="Várpalota"/>
    <d v="2026-02-28T00:00:00"/>
    <x v="156"/>
    <x v="0"/>
    <s v="BHMSE"/>
    <x v="1"/>
  </r>
  <r>
    <n v="0"/>
    <m/>
    <s v="Várpalota"/>
    <d v="2026-02-28T00:00:00"/>
    <x v="157"/>
    <x v="0"/>
    <s v="Siófok KSE"/>
    <x v="1"/>
  </r>
  <r>
    <n v="8"/>
    <m/>
    <s v="Várpalota"/>
    <d v="2026-02-28T00:00:00"/>
    <x v="158"/>
    <x v="0"/>
    <s v="KKE - Spartacus"/>
    <x v="1"/>
  </r>
  <r>
    <n v="6"/>
    <m/>
    <s v="Várpalota"/>
    <d v="2026-02-28T00:00:00"/>
    <x v="159"/>
    <x v="0"/>
    <s v="Rakurai"/>
    <x v="1"/>
  </r>
  <r>
    <n v="4"/>
    <m/>
    <s v="Várpalota"/>
    <d v="2026-02-28T00:00:00"/>
    <x v="160"/>
    <x v="1"/>
    <s v="VTSE"/>
    <x v="1"/>
  </r>
  <r>
    <n v="3"/>
    <m/>
    <s v="Várpalota"/>
    <d v="2026-02-28T00:00:00"/>
    <x v="161"/>
    <x v="0"/>
    <s v="Siófok KSE"/>
    <x v="1"/>
  </r>
  <r>
    <n v="6"/>
    <m/>
    <s v="Várpalota"/>
    <d v="2026-02-28T00:00:00"/>
    <x v="162"/>
    <x v="0"/>
    <s v="KSE Tarján"/>
    <x v="1"/>
  </r>
  <r>
    <n v="5"/>
    <m/>
    <s v="Várpalota"/>
    <d v="2026-02-28T00:00:00"/>
    <x v="163"/>
    <x v="0"/>
    <s v="KKE - Spartacus"/>
    <x v="1"/>
  </r>
  <r>
    <n v="0"/>
    <s v="nem volt nyertes mérkőzése"/>
    <s v="Várpalota"/>
    <d v="2026-02-28T00:00:00"/>
    <x v="164"/>
    <x v="0"/>
    <s v="BHMSE"/>
    <x v="1"/>
  </r>
  <r>
    <n v="3"/>
    <m/>
    <s v="Várpalota"/>
    <d v="2026-02-28T00:00:00"/>
    <x v="165"/>
    <x v="0"/>
    <s v="Rakurai"/>
    <x v="1"/>
  </r>
  <r>
    <n v="0"/>
    <m/>
    <s v="Várpalota"/>
    <d v="2026-02-28T00:00:00"/>
    <x v="166"/>
    <x v="0"/>
    <s v="ARSC"/>
    <x v="1"/>
  </r>
  <r>
    <n v="0"/>
    <m/>
    <s v="Várpalota"/>
    <d v="2026-02-28T00:00:00"/>
    <x v="167"/>
    <x v="1"/>
    <s v="Ichiro Dojo"/>
    <x v="1"/>
  </r>
  <r>
    <n v="0"/>
    <m/>
    <s v="Várpalota"/>
    <d v="2026-02-28T00:00:00"/>
    <x v="168"/>
    <x v="0"/>
    <s v="Griff SE"/>
    <x v="1"/>
  </r>
  <r>
    <n v="6"/>
    <m/>
    <s v="Várpalota"/>
    <d v="2026-02-28T00:00:00"/>
    <x v="169"/>
    <x v="0"/>
    <s v="BHMSE"/>
    <x v="1"/>
  </r>
  <r>
    <n v="5"/>
    <m/>
    <s v="Várpalota"/>
    <d v="2026-02-28T00:00:00"/>
    <x v="170"/>
    <x v="1"/>
    <s v="VTSE"/>
    <x v="1"/>
  </r>
  <r>
    <n v="3"/>
    <m/>
    <s v="Várpalota"/>
    <d v="2026-02-28T00:00:00"/>
    <x v="171"/>
    <x v="1"/>
    <s v="VTSE"/>
    <x v="1"/>
  </r>
  <r>
    <n v="3"/>
    <m/>
    <s v="Várpalota"/>
    <d v="2026-02-28T00:00:00"/>
    <x v="172"/>
    <x v="0"/>
    <s v="Rokku KKSE"/>
    <x v="1"/>
  </r>
  <r>
    <n v="0"/>
    <m/>
    <s v="Várpalota"/>
    <d v="2026-02-28T00:00:00"/>
    <x v="173"/>
    <x v="0"/>
    <s v="Főnix Dojo"/>
    <x v="1"/>
  </r>
  <r>
    <n v="0"/>
    <m/>
    <s v="Várpalota"/>
    <d v="2026-02-28T00:00:00"/>
    <x v="174"/>
    <x v="0"/>
    <s v="Rokku KKSE"/>
    <x v="1"/>
  </r>
  <r>
    <n v="0"/>
    <m/>
    <s v="Várpalota"/>
    <d v="2026-02-28T00:00:00"/>
    <x v="175"/>
    <x v="0"/>
    <s v="KSE Tarján"/>
    <x v="1"/>
  </r>
  <r>
    <n v="8"/>
    <m/>
    <s v="Várpalota"/>
    <d v="2026-02-28T00:00:00"/>
    <x v="176"/>
    <x v="0"/>
    <s v="Rakurai"/>
    <x v="1"/>
  </r>
  <r>
    <n v="6"/>
    <m/>
    <s v="Várpalota"/>
    <d v="2026-02-28T00:00:00"/>
    <x v="177"/>
    <x v="0"/>
    <s v="Rokku KKSE"/>
    <x v="1"/>
  </r>
  <r>
    <n v="4"/>
    <m/>
    <s v="Várpalota"/>
    <d v="2026-02-28T00:00:00"/>
    <x v="178"/>
    <x v="0"/>
    <s v="Rakurai"/>
    <x v="1"/>
  </r>
  <r>
    <n v="3"/>
    <m/>
    <s v="Várpalota"/>
    <d v="2026-02-28T00:00:00"/>
    <x v="179"/>
    <x v="0"/>
    <s v="Főnix Dojo"/>
    <x v="1"/>
  </r>
  <r>
    <n v="6"/>
    <m/>
    <s v="Várpalota"/>
    <d v="2026-02-28T00:00:00"/>
    <x v="180"/>
    <x v="1"/>
    <s v="Ichiro Dojo"/>
    <x v="1"/>
  </r>
  <r>
    <n v="5"/>
    <m/>
    <s v="Várpalota"/>
    <d v="2026-02-28T00:00:00"/>
    <x v="181"/>
    <x v="0"/>
    <s v="Rokku KKSE"/>
    <x v="1"/>
  </r>
  <r>
    <n v="3"/>
    <m/>
    <s v="Várpalota"/>
    <d v="2026-02-28T00:00:00"/>
    <x v="182"/>
    <x v="0"/>
    <s v="Cs.S.E."/>
    <x v="1"/>
  </r>
  <r>
    <n v="3"/>
    <m/>
    <s v="Várpalota"/>
    <d v="2026-02-28T00:00:00"/>
    <x v="183"/>
    <x v="0"/>
    <s v="KSE Tarján"/>
    <x v="1"/>
  </r>
  <r>
    <n v="0"/>
    <m/>
    <s v="Várpalota"/>
    <d v="2026-02-28T00:00:00"/>
    <x v="184"/>
    <x v="0"/>
    <s v="Rokku KKSE"/>
    <x v="1"/>
  </r>
  <r>
    <n v="0"/>
    <m/>
    <s v="Várpalota"/>
    <d v="2026-02-28T00:00:00"/>
    <x v="185"/>
    <x v="0"/>
    <s v="Rakurai"/>
    <x v="1"/>
  </r>
  <r>
    <n v="0"/>
    <m/>
    <s v="Várpalota"/>
    <d v="2026-02-28T00:00:00"/>
    <x v="186"/>
    <x v="0"/>
    <s v="Fitt KKSE"/>
    <x v="1"/>
  </r>
  <r>
    <n v="0"/>
    <m/>
    <s v="Várpalota"/>
    <d v="2026-02-28T00:00:00"/>
    <x v="187"/>
    <x v="0"/>
    <s v="KKE - Spartacus"/>
    <x v="1"/>
  </r>
  <r>
    <n v="6"/>
    <m/>
    <s v="Várpalota"/>
    <d v="2026-02-28T00:00:00"/>
    <x v="188"/>
    <x v="0"/>
    <s v="KSE Tarján"/>
    <x v="1"/>
  </r>
  <r>
    <n v="5"/>
    <m/>
    <s v="Várpalota"/>
    <d v="2026-02-28T00:00:00"/>
    <x v="182"/>
    <x v="0"/>
    <s v="Cs.S.E."/>
    <x v="1"/>
  </r>
  <r>
    <n v="3"/>
    <m/>
    <s v="Várpalota"/>
    <d v="2026-02-28T00:00:00"/>
    <x v="189"/>
    <x v="0"/>
    <s v="Rakurai"/>
    <x v="1"/>
  </r>
  <r>
    <n v="3"/>
    <m/>
    <s v="Várpalota"/>
    <d v="2026-02-28T00:00:00"/>
    <x v="166"/>
    <x v="0"/>
    <s v="ARSC"/>
    <x v="1"/>
  </r>
  <r>
    <n v="0"/>
    <s v="nem volt nyertes mérkőzése"/>
    <s v="Várpalota"/>
    <d v="2026-02-28T00:00:00"/>
    <x v="190"/>
    <x v="0"/>
    <s v="Siófok KSE"/>
    <x v="1"/>
  </r>
  <r>
    <n v="1"/>
    <m/>
    <s v="Várpalota"/>
    <d v="2026-02-28T00:00:00"/>
    <x v="156"/>
    <x v="0"/>
    <s v="BHMSE"/>
    <x v="1"/>
  </r>
  <r>
    <n v="0"/>
    <s v="nem volt nyertes mérkőzése"/>
    <s v="Várpalota"/>
    <d v="2026-02-28T00:00:00"/>
    <x v="157"/>
    <x v="0"/>
    <s v="Siófok KSE"/>
    <x v="1"/>
  </r>
  <r>
    <n v="0"/>
    <m/>
    <s v="Várpalota"/>
    <d v="2026-02-28T00:00:00"/>
    <x v="161"/>
    <x v="0"/>
    <s v="Siófok KSE"/>
    <x v="1"/>
  </r>
  <r>
    <n v="0"/>
    <m/>
    <s v="Várpalota"/>
    <d v="2026-02-28T00:00:00"/>
    <x v="169"/>
    <x v="0"/>
    <s v="BHMSE"/>
    <x v="1"/>
  </r>
  <r>
    <n v="0"/>
    <m/>
    <s v="Várpalota"/>
    <d v="2026-02-28T00:00:00"/>
    <x v="191"/>
    <x v="0"/>
    <s v="Ippon KKSE"/>
    <x v="1"/>
  </r>
  <r>
    <n v="0"/>
    <m/>
    <s v="Várpalota"/>
    <d v="2026-02-28T00:00:00"/>
    <x v="192"/>
    <x v="1"/>
    <s v="KyoDabas SE."/>
    <x v="1"/>
  </r>
  <r>
    <n v="3"/>
    <m/>
    <s v="Várpalota"/>
    <d v="2026-02-28T00:00:00"/>
    <x v="193"/>
    <x v="0"/>
    <s v="Rakurai"/>
    <x v="1"/>
  </r>
  <r>
    <n v="0"/>
    <m/>
    <s v="Várpalota"/>
    <d v="2026-02-28T00:00:00"/>
    <x v="194"/>
    <x v="0"/>
    <s v="Siófok KSE"/>
    <x v="1"/>
  </r>
  <r>
    <n v="8"/>
    <m/>
    <s v="Várpalota"/>
    <d v="2026-02-28T00:00:00"/>
    <x v="195"/>
    <x v="1"/>
    <s v="VTSE"/>
    <x v="1"/>
  </r>
  <r>
    <n v="6"/>
    <m/>
    <s v="Várpalota"/>
    <d v="2026-02-28T00:00:00"/>
    <x v="196"/>
    <x v="0"/>
    <s v="Főnix Dojo"/>
    <x v="1"/>
  </r>
  <r>
    <n v="4"/>
    <m/>
    <s v="Várpalota"/>
    <d v="2026-02-28T00:00:00"/>
    <x v="197"/>
    <x v="0"/>
    <s v="Castrum"/>
    <x v="1"/>
  </r>
  <r>
    <n v="4"/>
    <m/>
    <s v="Várpalota"/>
    <d v="2026-02-28T00:00:00"/>
    <x v="198"/>
    <x v="0"/>
    <s v="POWER SE."/>
    <x v="1"/>
  </r>
  <r>
    <n v="0"/>
    <s v="nem volt nyertes mérkőzése"/>
    <s v="Várpalota"/>
    <d v="2026-02-28T00:00:00"/>
    <x v="199"/>
    <x v="0"/>
    <s v="Rakurai"/>
    <x v="1"/>
  </r>
  <r>
    <n v="2"/>
    <m/>
    <s v="Várpalota"/>
    <d v="2026-02-28T00:00:00"/>
    <x v="200"/>
    <x v="0"/>
    <s v="POWER SE."/>
    <x v="1"/>
  </r>
  <r>
    <n v="0"/>
    <s v="nem volt nyertes mérkőzése"/>
    <s v="Várpalota"/>
    <d v="2026-02-28T00:00:00"/>
    <x v="201"/>
    <x v="0"/>
    <s v="ASE Bulldog KKSZCS"/>
    <x v="1"/>
  </r>
  <r>
    <n v="0"/>
    <s v="nem volt nyertes mérkőzése"/>
    <s v="Várpalota"/>
    <d v="2026-02-28T00:00:00"/>
    <x v="202"/>
    <x v="0"/>
    <s v="Főnix Dojo"/>
    <x v="1"/>
  </r>
  <r>
    <n v="0"/>
    <m/>
    <s v="Várpalota"/>
    <d v="2026-02-28T00:00:00"/>
    <x v="203"/>
    <x v="0"/>
    <s v="WARRIORS TEAM"/>
    <x v="1"/>
  </r>
  <r>
    <n v="0"/>
    <m/>
    <s v="Várpalota"/>
    <d v="2026-02-28T00:00:00"/>
    <x v="204"/>
    <x v="0"/>
    <s v="WARRIORS TEAM"/>
    <x v="1"/>
  </r>
  <r>
    <n v="0"/>
    <m/>
    <s v="Várpalota"/>
    <d v="2026-02-28T00:00:00"/>
    <x v="205"/>
    <x v="0"/>
    <s v="WARRIORS TEAM"/>
    <x v="1"/>
  </r>
  <r>
    <n v="6"/>
    <m/>
    <s v="Várpalota"/>
    <d v="2026-02-28T00:00:00"/>
    <x v="206"/>
    <x v="0"/>
    <s v="WARRIORS TEAM"/>
    <x v="1"/>
  </r>
  <r>
    <n v="5"/>
    <m/>
    <s v="Várpalota"/>
    <d v="2026-02-28T00:00:00"/>
    <x v="207"/>
    <x v="0"/>
    <s v="Katana SE"/>
    <x v="1"/>
  </r>
  <r>
    <n v="3"/>
    <m/>
    <s v="Várpalota"/>
    <d v="2026-02-28T00:00:00"/>
    <x v="208"/>
    <x v="0"/>
    <s v="Ippon KKSE"/>
    <x v="1"/>
  </r>
  <r>
    <n v="4"/>
    <m/>
    <s v="Várpalota"/>
    <d v="2026-02-28T00:00:00"/>
    <x v="209"/>
    <x v="1"/>
    <s v="VTSE"/>
    <x v="1"/>
  </r>
  <r>
    <n v="3"/>
    <m/>
    <s v="Várpalota"/>
    <d v="2026-02-28T00:00:00"/>
    <x v="210"/>
    <x v="0"/>
    <s v="Ippon KKSE"/>
    <x v="1"/>
  </r>
  <r>
    <n v="2"/>
    <m/>
    <s v="Várpalota"/>
    <d v="2026-02-28T00:00:00"/>
    <x v="211"/>
    <x v="0"/>
    <s v="Rakurai"/>
    <x v="1"/>
  </r>
  <r>
    <n v="3"/>
    <m/>
    <s v="Várpalota"/>
    <d v="2026-02-28T00:00:00"/>
    <x v="212"/>
    <x v="0"/>
    <s v="Kamikaze S"/>
    <x v="1"/>
  </r>
  <r>
    <n v="0"/>
    <m/>
    <s v="Várpalota"/>
    <d v="2026-02-28T00:00:00"/>
    <x v="213"/>
    <x v="0"/>
    <s v="BHMSE"/>
    <x v="1"/>
  </r>
  <r>
    <n v="8"/>
    <m/>
    <s v="Várpalota"/>
    <d v="2026-02-28T00:00:00"/>
    <x v="207"/>
    <x v="0"/>
    <s v="Katana SE"/>
    <x v="1"/>
  </r>
  <r>
    <n v="6"/>
    <m/>
    <s v="Várpalota"/>
    <d v="2026-02-28T00:00:00"/>
    <x v="214"/>
    <x v="0"/>
    <s v="Katana SE"/>
    <x v="1"/>
  </r>
  <r>
    <n v="4"/>
    <m/>
    <s v="Várpalota"/>
    <d v="2026-02-28T00:00:00"/>
    <x v="215"/>
    <x v="0"/>
    <s v="BHMSE"/>
    <x v="1"/>
  </r>
  <r>
    <n v="4"/>
    <m/>
    <s v="Várpalota"/>
    <d v="2026-02-28T00:00:00"/>
    <x v="216"/>
    <x v="0"/>
    <s v="KSE Tarján"/>
    <x v="1"/>
  </r>
  <r>
    <n v="2"/>
    <m/>
    <s v="Várpalota"/>
    <d v="2026-02-28T00:00:00"/>
    <x v="217"/>
    <x v="1"/>
    <s v="Ichiro Dojo"/>
    <x v="1"/>
  </r>
  <r>
    <n v="2"/>
    <m/>
    <s v="Várpalota"/>
    <d v="2026-02-28T00:00:00"/>
    <x v="213"/>
    <x v="0"/>
    <s v="BHMSE"/>
    <x v="1"/>
  </r>
  <r>
    <n v="2"/>
    <m/>
    <s v="Várpalota"/>
    <d v="2026-02-28T00:00:00"/>
    <x v="201"/>
    <x v="0"/>
    <s v="ASE Bulldog KKSZCS"/>
    <x v="1"/>
  </r>
  <r>
    <n v="2"/>
    <m/>
    <s v="Várpalota"/>
    <d v="2026-02-28T00:00:00"/>
    <x v="198"/>
    <x v="0"/>
    <s v="POWER SE."/>
    <x v="1"/>
  </r>
  <r>
    <n v="0"/>
    <m/>
    <s v="Várpalota"/>
    <d v="2026-02-28T00:00:00"/>
    <x v="218"/>
    <x v="0"/>
    <s v="RDKKSE"/>
    <x v="1"/>
  </r>
  <r>
    <n v="0"/>
    <m/>
    <s v="Várpalota"/>
    <d v="2026-02-28T00:00:00"/>
    <x v="219"/>
    <x v="0"/>
    <s v="Fitt KKSE"/>
    <x v="1"/>
  </r>
  <r>
    <n v="0"/>
    <m/>
    <s v="Várpalota"/>
    <d v="2026-02-28T00:00:00"/>
    <x v="220"/>
    <x v="0"/>
    <s v="KSE Tarján"/>
    <x v="1"/>
  </r>
  <r>
    <n v="0"/>
    <m/>
    <s v="Várpalota"/>
    <d v="2026-02-28T00:00:00"/>
    <x v="196"/>
    <x v="0"/>
    <s v="Főnix Dojo"/>
    <x v="1"/>
  </r>
  <r>
    <n v="0"/>
    <m/>
    <s v="Várpalota"/>
    <d v="2026-02-28T00:00:00"/>
    <x v="202"/>
    <x v="0"/>
    <s v="Főnix Dojo"/>
    <x v="1"/>
  </r>
  <r>
    <n v="0"/>
    <m/>
    <s v="Várpalota"/>
    <d v="2026-02-28T00:00:00"/>
    <x v="221"/>
    <x v="0"/>
    <s v="Katana SE"/>
    <x v="1"/>
  </r>
  <r>
    <n v="0"/>
    <m/>
    <s v="Várpalota"/>
    <d v="2026-02-28T00:00:00"/>
    <x v="210"/>
    <x v="0"/>
    <s v="Ippon KKSE"/>
    <x v="1"/>
  </r>
  <r>
    <n v="0"/>
    <m/>
    <s v="Várpalota"/>
    <d v="2026-02-28T00:00:00"/>
    <x v="222"/>
    <x v="0"/>
    <s v="WARRIORS TEAM"/>
    <x v="1"/>
  </r>
  <r>
    <n v="6"/>
    <m/>
    <s v="Várpalota"/>
    <d v="2026-02-28T00:00:00"/>
    <x v="223"/>
    <x v="0"/>
    <s v="BHMSE"/>
    <x v="1"/>
  </r>
  <r>
    <n v="5"/>
    <m/>
    <s v="Várpalota"/>
    <d v="2026-02-28T00:00:00"/>
    <x v="224"/>
    <x v="1"/>
    <s v="VTSE"/>
    <x v="1"/>
  </r>
  <r>
    <n v="3"/>
    <m/>
    <s v="Várpalota"/>
    <d v="2026-02-28T00:00:00"/>
    <x v="225"/>
    <x v="0"/>
    <s v="BHMSE"/>
    <x v="1"/>
  </r>
  <r>
    <n v="3"/>
    <m/>
    <s v="Várpalota"/>
    <d v="2026-02-28T00:00:00"/>
    <x v="226"/>
    <x v="1"/>
    <s v="VTSE"/>
    <x v="1"/>
  </r>
  <r>
    <n v="0"/>
    <m/>
    <s v="Várpalota"/>
    <d v="2026-02-28T00:00:00"/>
    <x v="227"/>
    <x v="0"/>
    <s v="Ippon KKSE"/>
    <x v="1"/>
  </r>
  <r>
    <n v="3"/>
    <m/>
    <s v="Várpalota"/>
    <d v="2026-02-28T00:00:00"/>
    <x v="228"/>
    <x v="1"/>
    <s v="Ichiro Dojo"/>
    <x v="1"/>
  </r>
  <r>
    <n v="0"/>
    <m/>
    <s v="Várpalota"/>
    <d v="2026-02-28T00:00:00"/>
    <x v="229"/>
    <x v="0"/>
    <s v="Katana SE"/>
    <x v="1"/>
  </r>
  <r>
    <n v="6"/>
    <m/>
    <s v="Várpalota"/>
    <d v="2026-02-28T00:00:00"/>
    <x v="230"/>
    <x v="0"/>
    <s v="Főnix Dojo"/>
    <x v="1"/>
  </r>
  <r>
    <n v="5"/>
    <m/>
    <s v="Várpalota"/>
    <d v="2026-02-28T00:00:00"/>
    <x v="231"/>
    <x v="1"/>
    <s v="Ichiro Dojo"/>
    <x v="1"/>
  </r>
  <r>
    <n v="3"/>
    <m/>
    <s v="Várpalota"/>
    <d v="2026-02-28T00:00:00"/>
    <x v="232"/>
    <x v="0"/>
    <s v="WARRIORS TEAM"/>
    <x v="1"/>
  </r>
  <r>
    <n v="3"/>
    <m/>
    <s v="Várpalota"/>
    <d v="2026-02-28T00:00:00"/>
    <x v="233"/>
    <x v="1"/>
    <s v="VTSE"/>
    <x v="1"/>
  </r>
  <r>
    <n v="0"/>
    <m/>
    <s v="Várpalota"/>
    <d v="2026-02-28T00:00:00"/>
    <x v="234"/>
    <x v="0"/>
    <s v="BHMSE"/>
    <x v="1"/>
  </r>
  <r>
    <n v="0"/>
    <m/>
    <s v="Várpalota"/>
    <d v="2026-02-28T00:00:00"/>
    <x v="235"/>
    <x v="0"/>
    <s v="POWER SE."/>
    <x v="1"/>
  </r>
  <r>
    <n v="0"/>
    <m/>
    <s v="Várpalota"/>
    <d v="2026-02-28T00:00:00"/>
    <x v="236"/>
    <x v="0"/>
    <s v="POWER SE."/>
    <x v="1"/>
  </r>
  <r>
    <n v="4"/>
    <m/>
    <s v="Várpalota"/>
    <d v="2026-02-28T00:00:00"/>
    <x v="237"/>
    <x v="0"/>
    <s v="Kamikaze S"/>
    <x v="1"/>
  </r>
  <r>
    <n v="3"/>
    <m/>
    <s v="Várpalota"/>
    <d v="2026-02-28T00:00:00"/>
    <x v="238"/>
    <x v="0"/>
    <s v="WARRIORS TEAM"/>
    <x v="1"/>
  </r>
  <r>
    <n v="0"/>
    <s v="nem volt nyertes mérkőzése"/>
    <s v="Várpalota"/>
    <d v="2026-02-28T00:00:00"/>
    <x v="239"/>
    <x v="0"/>
    <s v="Cs.S.E."/>
    <x v="1"/>
  </r>
  <r>
    <n v="8"/>
    <m/>
    <s v="Várpalota"/>
    <d v="2026-02-28T00:00:00"/>
    <x v="240"/>
    <x v="0"/>
    <s v="WARRIORS TEAM"/>
    <x v="1"/>
  </r>
  <r>
    <n v="6"/>
    <m/>
    <s v="Várpalota"/>
    <d v="2026-02-28T00:00:00"/>
    <x v="241"/>
    <x v="0"/>
    <s v="Kamikaze S"/>
    <x v="1"/>
  </r>
  <r>
    <n v="4"/>
    <m/>
    <s v="Várpalota"/>
    <d v="2026-02-28T00:00:00"/>
    <x v="242"/>
    <x v="0"/>
    <s v="RDKKSE"/>
    <x v="1"/>
  </r>
  <r>
    <n v="3"/>
    <m/>
    <s v="Várpalota"/>
    <d v="2026-02-28T00:00:00"/>
    <x v="243"/>
    <x v="0"/>
    <s v="BHMSE"/>
    <x v="1"/>
  </r>
  <r>
    <n v="5"/>
    <s v="6 fő esetén első 3 kap pontot"/>
    <s v="Várpalota"/>
    <d v="2026-02-28T00:00:00"/>
    <x v="239"/>
    <x v="0"/>
    <s v="Cs.S.E."/>
    <x v="1"/>
  </r>
  <r>
    <n v="4"/>
    <s v="6 fő esetén első 3 kap pontot"/>
    <s v="Várpalota"/>
    <d v="2026-02-28T00:00:00"/>
    <x v="244"/>
    <x v="0"/>
    <s v="KSE Tarján"/>
    <x v="1"/>
  </r>
  <r>
    <n v="2"/>
    <s v="6 fő esetén első 3 kap pontot"/>
    <s v="Várpalota"/>
    <d v="2026-02-28T00:00:00"/>
    <x v="245"/>
    <x v="0"/>
    <s v="BHMSE"/>
    <x v="1"/>
  </r>
  <r>
    <n v="0"/>
    <s v="6 fő esetén első 3 kap pontot"/>
    <s v="Várpalota"/>
    <d v="2026-02-28T00:00:00"/>
    <x v="246"/>
    <x v="0"/>
    <s v="BHMSE"/>
    <x v="1"/>
  </r>
  <r>
    <n v="0"/>
    <s v="6 fő esetén első 3 kap pontot"/>
    <s v="Várpalota"/>
    <d v="2026-02-28T00:00:00"/>
    <x v="225"/>
    <x v="0"/>
    <s v="BHMSE"/>
    <x v="1"/>
  </r>
  <r>
    <n v="0"/>
    <s v="6 fő esetén első 3 kap pontot"/>
    <s v="Várpalota"/>
    <d v="2026-02-28T00:00:00"/>
    <x v="247"/>
    <x v="0"/>
    <s v="ARSC"/>
    <x v="1"/>
  </r>
  <r>
    <n v="4"/>
    <m/>
    <s v="Várpalota"/>
    <d v="2026-02-28T00:00:00"/>
    <x v="248"/>
    <x v="1"/>
    <s v="Nagy Sándor Dojo"/>
    <x v="1"/>
  </r>
  <r>
    <n v="3"/>
    <m/>
    <s v="Várpalota"/>
    <d v="2026-02-28T00:00:00"/>
    <x v="249"/>
    <x v="0"/>
    <s v="Főnix Dojo"/>
    <x v="1"/>
  </r>
  <r>
    <n v="0"/>
    <s v="nem volt nyertes mérkőzése"/>
    <s v="Várpalota"/>
    <d v="2026-02-28T00:00:00"/>
    <x v="250"/>
    <x v="0"/>
    <s v="KSE Tarján"/>
    <x v="1"/>
  </r>
  <r>
    <n v="4"/>
    <m/>
    <s v="Várpalota"/>
    <d v="2026-02-28T00:00:00"/>
    <x v="251"/>
    <x v="0"/>
    <s v="Castrum"/>
    <x v="1"/>
  </r>
  <r>
    <n v="3"/>
    <m/>
    <s v="Várpalota"/>
    <d v="2026-02-28T00:00:00"/>
    <x v="252"/>
    <x v="0"/>
    <s v="Castrum"/>
    <x v="1"/>
  </r>
  <r>
    <n v="0"/>
    <s v="nem volt nyertes mérkőzése"/>
    <s v="Várpalota"/>
    <d v="2026-02-28T00:00:00"/>
    <x v="253"/>
    <x v="0"/>
    <s v="Rakurai"/>
    <x v="1"/>
  </r>
  <r>
    <n v="6"/>
    <m/>
    <s v="Várpalota"/>
    <d v="2026-02-28T00:00:00"/>
    <x v="254"/>
    <x v="1"/>
    <s v="VTSE"/>
    <x v="1"/>
  </r>
  <r>
    <n v="5"/>
    <m/>
    <s v="Várpalota"/>
    <d v="2026-02-28T00:00:00"/>
    <x v="255"/>
    <x v="0"/>
    <s v="Rakurai"/>
    <x v="1"/>
  </r>
  <r>
    <n v="3"/>
    <m/>
    <s v="Várpalota"/>
    <d v="2026-02-28T00:00:00"/>
    <x v="256"/>
    <x v="0"/>
    <s v="WARRIORS TEAM"/>
    <x v="1"/>
  </r>
  <r>
    <n v="8"/>
    <m/>
    <s v="Várpalota"/>
    <d v="2026-02-28T00:00:00"/>
    <x v="257"/>
    <x v="0"/>
    <s v="Kamikaze S"/>
    <x v="1"/>
  </r>
  <r>
    <n v="6"/>
    <m/>
    <s v="Várpalota"/>
    <d v="2026-02-28T00:00:00"/>
    <x v="258"/>
    <x v="0"/>
    <s v="Griff SE"/>
    <x v="1"/>
  </r>
  <r>
    <n v="4"/>
    <m/>
    <s v="Várpalota"/>
    <d v="2026-02-28T00:00:00"/>
    <x v="259"/>
    <x v="0"/>
    <s v="Keszth.KKK"/>
    <x v="1"/>
  </r>
  <r>
    <n v="3"/>
    <m/>
    <s v="Várpalota"/>
    <d v="2026-02-28T00:00:00"/>
    <x v="260"/>
    <x v="0"/>
    <s v="BHMSE"/>
    <x v="1"/>
  </r>
  <r>
    <n v="6"/>
    <s v="9 fő estén 1-5 helyezett kap pontot"/>
    <s v="Várpalota"/>
    <d v="2026-02-28T00:00:00"/>
    <x v="250"/>
    <x v="0"/>
    <s v="KSE Tarján"/>
    <x v="1"/>
  </r>
  <r>
    <n v="5"/>
    <s v="9 fő estén 1-5 helyezett kap pontot"/>
    <s v="Várpalota"/>
    <d v="2026-02-28T00:00:00"/>
    <x v="261"/>
    <x v="1"/>
    <s v="Genbu dojo"/>
    <x v="1"/>
  </r>
  <r>
    <n v="3"/>
    <s v="9 fő estén 1-5 helyezett kap pontot"/>
    <s v="Várpalota"/>
    <d v="2026-02-28T00:00:00"/>
    <x v="262"/>
    <x v="0"/>
    <s v="Nagykátai Bushido SE"/>
    <x v="1"/>
  </r>
  <r>
    <n v="2"/>
    <s v="9 fő estén 1-5 helyezett kap pontot"/>
    <s v="Várpalota"/>
    <d v="2026-02-28T00:00:00"/>
    <x v="263"/>
    <x v="0"/>
    <s v="BHMSE"/>
    <x v="1"/>
  </r>
  <r>
    <n v="1"/>
    <s v="9 fő estén 1-5 helyezett kap pontot"/>
    <s v="Várpalota"/>
    <d v="2026-02-28T00:00:00"/>
    <x v="248"/>
    <x v="1"/>
    <s v="Nagy Sándor Dojo"/>
    <x v="1"/>
  </r>
  <r>
    <n v="0"/>
    <s v="9 fő estén 1-5 helyezett kap pontot"/>
    <s v="Várpalota"/>
    <d v="2026-02-28T00:00:00"/>
    <x v="264"/>
    <x v="0"/>
    <s v="ARSC"/>
    <x v="1"/>
  </r>
  <r>
    <n v="0"/>
    <s v="9 fő estén 1-5 helyezett kap pontot"/>
    <s v="Várpalota"/>
    <d v="2026-02-28T00:00:00"/>
    <x v="265"/>
    <x v="0"/>
    <s v="ARSC"/>
    <x v="1"/>
  </r>
  <r>
    <n v="0"/>
    <s v="9 fő estén 1-5 helyezett kap pontot"/>
    <s v="Várpalota"/>
    <d v="2026-02-28T00:00:00"/>
    <x v="249"/>
    <x v="0"/>
    <s v="Főnix Dojo"/>
    <x v="1"/>
  </r>
  <r>
    <n v="0"/>
    <s v="9 fő estén 1-5 helyezett kap pontot"/>
    <s v="Várpalota"/>
    <d v="2026-02-28T00:00:00"/>
    <x v="266"/>
    <x v="0"/>
    <s v="BHMSE"/>
    <x v="1"/>
  </r>
  <r>
    <n v="8"/>
    <m/>
    <s v="Várpalota"/>
    <d v="2026-02-28T00:00:00"/>
    <x v="267"/>
    <x v="0"/>
    <s v="Nagykátai Bushido SE"/>
    <x v="1"/>
  </r>
  <r>
    <n v="6"/>
    <m/>
    <s v="Várpalota"/>
    <d v="2026-02-28T00:00:00"/>
    <x v="268"/>
    <x v="0"/>
    <s v="Ippon KKSE"/>
    <x v="1"/>
  </r>
  <r>
    <n v="4"/>
    <m/>
    <s v="Várpalota"/>
    <d v="2026-02-28T00:00:00"/>
    <x v="269"/>
    <x v="0"/>
    <s v="Ippon KKSE"/>
    <x v="1"/>
  </r>
  <r>
    <n v="3"/>
    <m/>
    <s v="Várpalota"/>
    <d v="2026-02-28T00:00:00"/>
    <x v="270"/>
    <x v="0"/>
    <s v="Goukai KSE"/>
    <x v="1"/>
  </r>
  <r>
    <n v="3"/>
    <m/>
    <s v="Várpalota"/>
    <d v="2026-02-28T00:00:00"/>
    <x v="271"/>
    <x v="1"/>
    <s v="VTSE"/>
    <x v="1"/>
  </r>
  <r>
    <n v="0"/>
    <m/>
    <s v="Várpalota"/>
    <d v="2026-02-28T00:00:00"/>
    <x v="272"/>
    <x v="1"/>
    <s v="Tora HSE"/>
    <x v="1"/>
  </r>
  <r>
    <n v="6"/>
    <m/>
    <s v="Várpalota"/>
    <d v="2026-02-28T00:00:00"/>
    <x v="273"/>
    <x v="1"/>
    <s v="IKIGAI DOJO BÖRCS"/>
    <x v="1"/>
  </r>
  <r>
    <n v="5"/>
    <m/>
    <s v="Várpalota"/>
    <d v="2026-02-28T00:00:00"/>
    <x v="274"/>
    <x v="0"/>
    <s v="Shinkyo SE"/>
    <x v="1"/>
  </r>
  <r>
    <n v="3"/>
    <s v="3 fő estén 1-2 helyezett kap pontot"/>
    <s v="Várpalota"/>
    <d v="2026-02-28T00:00:00"/>
    <x v="275"/>
    <x v="0"/>
    <s v="BHMSE"/>
    <x v="1"/>
  </r>
  <r>
    <n v="2"/>
    <s v="3 fő estén 1-2 helyezett kap pontot"/>
    <s v="Várpalota"/>
    <d v="2026-02-28T00:00:00"/>
    <x v="273"/>
    <x v="1"/>
    <s v="IKIGAI DOJO BÖRCS"/>
    <x v="1"/>
  </r>
  <r>
    <n v="0"/>
    <s v="3 fő estén 1-2 helyezett kap pontot"/>
    <s v="Várpalota"/>
    <d v="2026-02-28T00:00:00"/>
    <x v="276"/>
    <x v="1"/>
    <s v="Nagy Sándor Dojo"/>
    <x v="1"/>
  </r>
  <r>
    <n v="4"/>
    <m/>
    <s v="Várpalota"/>
    <d v="2026-02-28T00:00:00"/>
    <x v="277"/>
    <x v="0"/>
    <s v="Cs.S.E."/>
    <x v="1"/>
  </r>
  <r>
    <n v="3"/>
    <m/>
    <s v="Várpalota"/>
    <d v="2026-02-28T00:00:00"/>
    <x v="278"/>
    <x v="0"/>
    <s v="BHMSE"/>
    <x v="1"/>
  </r>
  <r>
    <n v="0"/>
    <s v="nem volt nyertes mérkőzése"/>
    <s v="Várpalota"/>
    <d v="2026-02-28T00:00:00"/>
    <x v="279"/>
    <x v="0"/>
    <s v="Főnix Dojo"/>
    <x v="1"/>
  </r>
  <r>
    <n v="3"/>
    <m/>
    <s v="Várpalota"/>
    <d v="2026-02-28T00:00:00"/>
    <x v="280"/>
    <x v="0"/>
    <s v="Castrum"/>
    <x v="1"/>
  </r>
  <r>
    <n v="0"/>
    <m/>
    <s v="Várpalota"/>
    <d v="2026-02-28T00:00:00"/>
    <x v="281"/>
    <x v="0"/>
    <s v="Rakurai"/>
    <x v="1"/>
  </r>
  <r>
    <n v="3"/>
    <m/>
    <s v="Várpalota"/>
    <d v="2026-02-28T00:00:00"/>
    <x v="282"/>
    <x v="0"/>
    <s v="BHMSE"/>
    <x v="1"/>
  </r>
  <r>
    <n v="6"/>
    <m/>
    <s v="Várpalota"/>
    <d v="2026-02-28T00:00:00"/>
    <x v="52"/>
    <x v="0"/>
    <s v="Főnix Dojo"/>
    <x v="1"/>
  </r>
  <r>
    <n v="5"/>
    <m/>
    <s v="Várpalota"/>
    <d v="2026-02-28T00:00:00"/>
    <x v="283"/>
    <x v="1"/>
    <s v="VTSE"/>
    <x v="1"/>
  </r>
  <r>
    <n v="3"/>
    <m/>
    <s v="Várpalota"/>
    <d v="2026-02-28T00:00:00"/>
    <x v="284"/>
    <x v="0"/>
    <s v="Rakurai"/>
    <x v="1"/>
  </r>
  <r>
    <n v="4"/>
    <m/>
    <s v="Várpalota"/>
    <d v="2026-02-28T00:00:00"/>
    <x v="285"/>
    <x v="1"/>
    <s v="VTSE"/>
    <x v="1"/>
  </r>
  <r>
    <n v="3"/>
    <m/>
    <s v="Várpalota"/>
    <d v="2026-02-28T00:00:00"/>
    <x v="286"/>
    <x v="0"/>
    <s v="BHMSE"/>
    <x v="1"/>
  </r>
  <r>
    <n v="0"/>
    <s v="nem volt nyertes mérkőzése"/>
    <s v="Várpalota"/>
    <d v="2026-02-28T00:00:00"/>
    <x v="287"/>
    <x v="0"/>
    <s v="Goukai KSE"/>
    <x v="1"/>
  </r>
  <r>
    <n v="6"/>
    <s v="10 fő estén 1-6 helyezett kap pontot"/>
    <s v="Várpalota"/>
    <d v="2026-02-28T00:00:00"/>
    <x v="288"/>
    <x v="0"/>
    <s v="KSE Tarján"/>
    <x v="1"/>
  </r>
  <r>
    <n v="5"/>
    <s v="10 fő estén 1-6 helyezett kap pontot"/>
    <s v="Várpalota"/>
    <d v="2026-02-28T00:00:00"/>
    <x v="284"/>
    <x v="0"/>
    <s v="Rakurai"/>
    <x v="1"/>
  </r>
  <r>
    <n v="3"/>
    <s v="10 fő estén 1-6 helyezett kap pontot"/>
    <s v="Várpalota"/>
    <d v="2026-02-28T00:00:00"/>
    <x v="52"/>
    <x v="0"/>
    <s v="Főnix Dojo"/>
    <x v="1"/>
  </r>
  <r>
    <n v="2"/>
    <s v="10 fő estén 1-6 helyezett kap pontot"/>
    <s v="Várpalota"/>
    <d v="2026-02-28T00:00:00"/>
    <x v="277"/>
    <x v="0"/>
    <s v="Cs.S.E."/>
    <x v="1"/>
  </r>
  <r>
    <n v="1"/>
    <s v="10 fő estén 1-6 helyezett kap pontot"/>
    <s v="Várpalota"/>
    <d v="2026-02-28T00:00:00"/>
    <x v="289"/>
    <x v="0"/>
    <s v="ARSC"/>
    <x v="1"/>
  </r>
  <r>
    <n v="1"/>
    <s v="10 fő estén 1-6 helyezett kap pontot"/>
    <s v="Várpalota"/>
    <d v="2026-02-28T00:00:00"/>
    <x v="290"/>
    <x v="0"/>
    <s v="Shinkyo SE"/>
    <x v="1"/>
  </r>
  <r>
    <n v="0"/>
    <s v="10 fő estén 1-6 helyezett kap pontot"/>
    <s v="Várpalota"/>
    <d v="2026-02-28T00:00:00"/>
    <x v="291"/>
    <x v="0"/>
    <s v="Siófok KSE"/>
    <x v="1"/>
  </r>
  <r>
    <n v="0"/>
    <s v="10 fő estén 1-6 helyezett kap pontot"/>
    <s v="Várpalota"/>
    <d v="2026-02-28T00:00:00"/>
    <x v="292"/>
    <x v="0"/>
    <s v="ARSC"/>
    <x v="1"/>
  </r>
  <r>
    <n v="0"/>
    <s v="10 fő estén 1-6 helyezett kap pontot"/>
    <s v="Várpalota"/>
    <d v="2026-02-28T00:00:00"/>
    <x v="293"/>
    <x v="1"/>
    <s v="Tora HSE"/>
    <x v="1"/>
  </r>
  <r>
    <n v="0"/>
    <s v="10 fő estén 1-6 helyezett kap pontot"/>
    <s v="Várpalota"/>
    <d v="2026-02-28T00:00:00"/>
    <x v="294"/>
    <x v="0"/>
    <s v="Kihaku SE"/>
    <x v="1"/>
  </r>
  <r>
    <n v="6"/>
    <m/>
    <s v="Gyöngyös"/>
    <d v="2026-03-07T00:00:00"/>
    <x v="295"/>
    <x v="0"/>
    <s v="Shogun"/>
    <x v="1"/>
  </r>
  <r>
    <n v="5"/>
    <m/>
    <s v="Gyöngyös"/>
    <d v="2026-03-07T00:00:00"/>
    <x v="296"/>
    <x v="0"/>
    <s v="Victory"/>
    <x v="1"/>
  </r>
  <r>
    <n v="3"/>
    <m/>
    <s v="Gyöngyös"/>
    <d v="2026-03-07T00:00:00"/>
    <x v="297"/>
    <x v="0"/>
    <s v="Shogun"/>
    <x v="1"/>
  </r>
  <r>
    <n v="6"/>
    <m/>
    <s v="Gyöngyös"/>
    <d v="2026-03-07T00:00:00"/>
    <x v="298"/>
    <x v="0"/>
    <s v="Kelemen-Team"/>
    <x v="1"/>
  </r>
  <r>
    <n v="5"/>
    <m/>
    <s v="Gyöngyös"/>
    <d v="2026-03-07T00:00:00"/>
    <x v="299"/>
    <x v="0"/>
    <s v="Victory"/>
    <x v="1"/>
  </r>
  <r>
    <n v="3"/>
    <m/>
    <s v="Gyöngyös"/>
    <d v="2026-03-07T00:00:00"/>
    <x v="300"/>
    <x v="0"/>
    <s v="Kemecse SE"/>
    <x v="1"/>
  </r>
  <r>
    <n v="3"/>
    <m/>
    <s v="Gyöngyös"/>
    <d v="2026-03-07T00:00:00"/>
    <x v="301"/>
    <x v="0"/>
    <s v="Victory"/>
    <x v="1"/>
  </r>
  <r>
    <n v="0"/>
    <m/>
    <s v="Gyöngyös"/>
    <d v="2026-03-07T00:00:00"/>
    <x v="302"/>
    <x v="0"/>
    <s v="Kelemen-Team"/>
    <x v="1"/>
  </r>
  <r>
    <n v="0"/>
    <m/>
    <s v="Gyöngyös"/>
    <d v="2026-03-07T00:00:00"/>
    <x v="303"/>
    <x v="0"/>
    <s v="KYO Fighter SE"/>
    <x v="1"/>
  </r>
  <r>
    <n v="0"/>
    <m/>
    <s v="Gyöngyös"/>
    <d v="2026-03-07T00:00:00"/>
    <x v="304"/>
    <x v="0"/>
    <s v="Shogun"/>
    <x v="1"/>
  </r>
  <r>
    <n v="8"/>
    <m/>
    <s v="Gyöngyös"/>
    <d v="2026-03-07T00:00:00"/>
    <x v="305"/>
    <x v="0"/>
    <s v="Shogun"/>
    <x v="1"/>
  </r>
  <r>
    <n v="6"/>
    <m/>
    <s v="Gyöngyös"/>
    <d v="2026-03-07T00:00:00"/>
    <x v="306"/>
    <x v="0"/>
    <s v="Bendiák Dojo"/>
    <x v="1"/>
  </r>
  <r>
    <n v="4"/>
    <m/>
    <s v="Gyöngyös"/>
    <d v="2026-03-07T00:00:00"/>
    <x v="307"/>
    <x v="0"/>
    <s v="Nozomu Dojo"/>
    <x v="1"/>
  </r>
  <r>
    <n v="3"/>
    <m/>
    <s v="Gyöngyös"/>
    <d v="2026-03-07T00:00:00"/>
    <x v="308"/>
    <x v="0"/>
    <s v="Kelemen-Team"/>
    <x v="1"/>
  </r>
  <r>
    <n v="6"/>
    <m/>
    <s v="Gyöngyös"/>
    <d v="2026-03-07T00:00:00"/>
    <x v="299"/>
    <x v="0"/>
    <s v="Victory"/>
    <x v="1"/>
  </r>
  <r>
    <n v="5"/>
    <m/>
    <s v="Gyöngyös"/>
    <d v="2026-03-07T00:00:00"/>
    <x v="305"/>
    <x v="0"/>
    <s v="Shogun"/>
    <x v="1"/>
  </r>
  <r>
    <n v="3"/>
    <m/>
    <s v="Gyöngyös"/>
    <d v="2026-03-07T00:00:00"/>
    <x v="309"/>
    <x v="0"/>
    <s v="Shogun"/>
    <x v="1"/>
  </r>
  <r>
    <n v="3"/>
    <m/>
    <s v="Gyöngyös"/>
    <d v="2026-03-07T00:00:00"/>
    <x v="304"/>
    <x v="0"/>
    <s v="Shogun"/>
    <x v="1"/>
  </r>
  <r>
    <n v="0"/>
    <s v="nem volt nyertes mérkőzése"/>
    <s v="Gyöngyös"/>
    <d v="2026-03-07T00:00:00"/>
    <x v="297"/>
    <x v="0"/>
    <s v="Shogun"/>
    <x v="1"/>
  </r>
  <r>
    <n v="0"/>
    <s v="nem volt nyertes mérkőzése"/>
    <s v="Gyöngyös"/>
    <d v="2026-03-07T00:00:00"/>
    <x v="310"/>
    <x v="0"/>
    <s v="Bendiák Dojo"/>
    <x v="1"/>
  </r>
  <r>
    <n v="0"/>
    <s v="nem volt nyertes mérkőzése"/>
    <s v="Gyöngyös"/>
    <d v="2026-03-07T00:00:00"/>
    <x v="295"/>
    <x v="0"/>
    <s v="Shogun"/>
    <x v="1"/>
  </r>
  <r>
    <n v="1"/>
    <m/>
    <s v="Gyöngyös"/>
    <d v="2026-03-07T00:00:00"/>
    <x v="301"/>
    <x v="0"/>
    <s v="Victory"/>
    <x v="1"/>
  </r>
  <r>
    <n v="0"/>
    <m/>
    <s v="Gyöngyös"/>
    <d v="2026-03-07T00:00:00"/>
    <x v="300"/>
    <x v="0"/>
    <s v="Kemecse SE"/>
    <x v="1"/>
  </r>
  <r>
    <n v="0"/>
    <m/>
    <s v="Gyöngyös"/>
    <d v="2026-03-07T00:00:00"/>
    <x v="311"/>
    <x v="0"/>
    <s v="Kelemen-Team"/>
    <x v="1"/>
  </r>
  <r>
    <n v="6"/>
    <m/>
    <s v="Gyöngyös"/>
    <d v="2026-03-07T00:00:00"/>
    <x v="312"/>
    <x v="0"/>
    <s v="Kelemen-Team"/>
    <x v="1"/>
  </r>
  <r>
    <n v="5"/>
    <m/>
    <s v="Gyöngyös"/>
    <d v="2026-03-07T00:00:00"/>
    <x v="313"/>
    <x v="0"/>
    <s v="Kelemen-Team"/>
    <x v="1"/>
  </r>
  <r>
    <n v="3"/>
    <m/>
    <s v="Gyöngyös"/>
    <d v="2026-03-07T00:00:00"/>
    <x v="314"/>
    <x v="0"/>
    <s v="Shogun"/>
    <x v="1"/>
  </r>
  <r>
    <n v="5"/>
    <m/>
    <s v="Gyöngyös"/>
    <d v="2026-03-07T00:00:00"/>
    <x v="315"/>
    <x v="0"/>
    <s v="KYO Fighter SE"/>
    <x v="1"/>
  </r>
  <r>
    <n v="4"/>
    <m/>
    <s v="Gyöngyös"/>
    <d v="2026-03-07T00:00:00"/>
    <x v="316"/>
    <x v="0"/>
    <s v="Kemecse SE"/>
    <x v="1"/>
  </r>
  <r>
    <n v="2"/>
    <m/>
    <s v="Gyöngyös"/>
    <d v="2026-03-07T00:00:00"/>
    <x v="317"/>
    <x v="0"/>
    <s v="Kelemen-Team"/>
    <x v="1"/>
  </r>
  <r>
    <n v="0"/>
    <m/>
    <s v="Gyöngyös"/>
    <d v="2026-03-07T00:00:00"/>
    <x v="314"/>
    <x v="0"/>
    <s v="Shogun"/>
    <x v="1"/>
  </r>
  <r>
    <n v="8"/>
    <m/>
    <s v="Gyöngyös"/>
    <d v="2026-03-07T00:00:00"/>
    <x v="318"/>
    <x v="0"/>
    <s v="Shogun"/>
    <x v="1"/>
  </r>
  <r>
    <n v="6"/>
    <m/>
    <s v="Gyöngyös"/>
    <d v="2026-03-07T00:00:00"/>
    <x v="319"/>
    <x v="0"/>
    <s v="Shogun"/>
    <x v="1"/>
  </r>
  <r>
    <n v="4"/>
    <m/>
    <s v="Gyöngyös"/>
    <d v="2026-03-07T00:00:00"/>
    <x v="320"/>
    <x v="0"/>
    <s v="Shogun"/>
    <x v="1"/>
  </r>
  <r>
    <n v="4"/>
    <m/>
    <s v="Gyöngyös"/>
    <d v="2026-03-07T00:00:00"/>
    <x v="321"/>
    <x v="0"/>
    <s v="Victory"/>
    <x v="1"/>
  </r>
  <r>
    <n v="2"/>
    <m/>
    <s v="Gyöngyös"/>
    <d v="2026-03-07T00:00:00"/>
    <x v="322"/>
    <x v="0"/>
    <s v="KYO Fighter SE"/>
    <x v="1"/>
  </r>
  <r>
    <n v="0"/>
    <s v="nem volt nyertes mérkőzése"/>
    <s v="Gyöngyös"/>
    <d v="2026-03-07T00:00:00"/>
    <x v="323"/>
    <x v="0"/>
    <s v="Shogun"/>
    <x v="1"/>
  </r>
  <r>
    <n v="0"/>
    <s v="nem volt nyertes mérkőzése"/>
    <s v="Gyöngyös"/>
    <d v="2026-03-07T00:00:00"/>
    <x v="324"/>
    <x v="0"/>
    <s v="Shogun"/>
    <x v="1"/>
  </r>
  <r>
    <n v="2"/>
    <m/>
    <s v="Gyöngyös"/>
    <d v="2026-03-07T00:00:00"/>
    <x v="325"/>
    <x v="0"/>
    <s v="Hajdúszoboszló"/>
    <x v="1"/>
  </r>
  <r>
    <n v="0"/>
    <m/>
    <s v="Gyöngyös"/>
    <d v="2026-03-07T00:00:00"/>
    <x v="326"/>
    <x v="0"/>
    <s v="Kelemen-Team"/>
    <x v="1"/>
  </r>
  <r>
    <n v="0"/>
    <m/>
    <s v="Gyöngyös"/>
    <d v="2026-03-07T00:00:00"/>
    <x v="327"/>
    <x v="0"/>
    <s v="Kelemen-Team"/>
    <x v="1"/>
  </r>
  <r>
    <n v="0"/>
    <m/>
    <s v="Gyöngyös"/>
    <d v="2026-03-07T00:00:00"/>
    <x v="328"/>
    <x v="0"/>
    <s v="Victory"/>
    <x v="1"/>
  </r>
  <r>
    <n v="8"/>
    <m/>
    <s v="Gyöngyös"/>
    <d v="2026-03-07T00:00:00"/>
    <x v="329"/>
    <x v="0"/>
    <s v="Buke Reikon HRSE"/>
    <x v="1"/>
  </r>
  <r>
    <n v="6"/>
    <m/>
    <s v="Gyöngyös"/>
    <d v="2026-03-07T00:00:00"/>
    <x v="330"/>
    <x v="0"/>
    <s v="Shogun"/>
    <x v="1"/>
  </r>
  <r>
    <n v="4"/>
    <m/>
    <s v="Gyöngyös"/>
    <d v="2026-03-07T00:00:00"/>
    <x v="331"/>
    <x v="0"/>
    <s v="Bátor KSE"/>
    <x v="1"/>
  </r>
  <r>
    <n v="3"/>
    <m/>
    <s v="Gyöngyös"/>
    <d v="2026-03-07T00:00:00"/>
    <x v="332"/>
    <x v="0"/>
    <s v="Keizoku SE"/>
    <x v="1"/>
  </r>
  <r>
    <n v="2"/>
    <m/>
    <s v="Gyöngyös"/>
    <d v="2026-03-07T00:00:00"/>
    <x v="333"/>
    <x v="0"/>
    <s v="Keizoku SE"/>
    <x v="1"/>
  </r>
  <r>
    <n v="8"/>
    <m/>
    <s v="Gyöngyös"/>
    <d v="2026-03-07T00:00:00"/>
    <x v="334"/>
    <x v="0"/>
    <s v="Kelemen-Team"/>
    <x v="1"/>
  </r>
  <r>
    <n v="6"/>
    <m/>
    <s v="Gyöngyös"/>
    <d v="2026-03-07T00:00:00"/>
    <x v="335"/>
    <x v="0"/>
    <s v="Shogun"/>
    <x v="1"/>
  </r>
  <r>
    <n v="4"/>
    <m/>
    <s v="Gyöngyös"/>
    <d v="2026-03-07T00:00:00"/>
    <x v="336"/>
    <x v="0"/>
    <s v="Buke Reikon HRSE"/>
    <x v="1"/>
  </r>
  <r>
    <n v="4"/>
    <m/>
    <s v="Gyöngyös"/>
    <d v="2026-03-07T00:00:00"/>
    <x v="337"/>
    <x v="0"/>
    <s v="Buke Reikon HRSE"/>
    <x v="1"/>
  </r>
  <r>
    <n v="0"/>
    <s v="nem volt nyertes mérkőzése"/>
    <s v="Gyöngyös"/>
    <d v="2026-03-07T00:00:00"/>
    <x v="338"/>
    <x v="0"/>
    <s v="Buke Reikon HRSE"/>
    <x v="1"/>
  </r>
  <r>
    <n v="0"/>
    <s v="nem volt nyertes mérkőzése"/>
    <s v="Gyöngyös"/>
    <d v="2026-03-07T00:00:00"/>
    <x v="339"/>
    <x v="0"/>
    <s v="Buke Reikon HRSE"/>
    <x v="1"/>
  </r>
  <r>
    <n v="0"/>
    <s v="nem volt nyertes mérkőzése"/>
    <s v="Gyöngyös"/>
    <d v="2026-03-07T00:00:00"/>
    <x v="340"/>
    <x v="0"/>
    <s v="Derecske BUDO"/>
    <x v="1"/>
  </r>
  <r>
    <n v="2"/>
    <m/>
    <s v="Gyöngyös"/>
    <d v="2026-03-07T00:00:00"/>
    <x v="341"/>
    <x v="0"/>
    <s v="Derecske BUDO"/>
    <x v="1"/>
  </r>
  <r>
    <n v="0"/>
    <m/>
    <s v="Gyöngyös"/>
    <d v="2026-03-07T00:00:00"/>
    <x v="342"/>
    <x v="0"/>
    <s v="Bátor KSE"/>
    <x v="1"/>
  </r>
  <r>
    <n v="0"/>
    <m/>
    <s v="Gyöngyös"/>
    <d v="2026-03-07T00:00:00"/>
    <x v="343"/>
    <x v="0"/>
    <s v="Buke Reikon HRSE"/>
    <x v="1"/>
  </r>
  <r>
    <n v="0"/>
    <m/>
    <s v="Gyöngyös"/>
    <d v="2026-03-07T00:00:00"/>
    <x v="344"/>
    <x v="0"/>
    <s v="Bátor KSE"/>
    <x v="1"/>
  </r>
  <r>
    <n v="8"/>
    <m/>
    <s v="Gyöngyös"/>
    <d v="2026-03-07T00:00:00"/>
    <x v="345"/>
    <x v="0"/>
    <s v="Victory"/>
    <x v="1"/>
  </r>
  <r>
    <n v="6"/>
    <m/>
    <s v="Gyöngyös"/>
    <d v="2026-03-07T00:00:00"/>
    <x v="346"/>
    <x v="0"/>
    <s v="Bátor KSE"/>
    <x v="1"/>
  </r>
  <r>
    <n v="4"/>
    <m/>
    <s v="Gyöngyös"/>
    <d v="2026-03-07T00:00:00"/>
    <x v="347"/>
    <x v="0"/>
    <s v="Shogun"/>
    <x v="1"/>
  </r>
  <r>
    <n v="4"/>
    <m/>
    <s v="Gyöngyös"/>
    <d v="2026-03-07T00:00:00"/>
    <x v="348"/>
    <x v="0"/>
    <s v="Shogun"/>
    <x v="1"/>
  </r>
  <r>
    <n v="0"/>
    <s v="nem volt nyertes mérkőzése"/>
    <s v="Gyöngyös"/>
    <d v="2026-03-07T00:00:00"/>
    <x v="349"/>
    <x v="0"/>
    <s v="Victory"/>
    <x v="1"/>
  </r>
  <r>
    <n v="2"/>
    <m/>
    <s v="Gyöngyös"/>
    <d v="2026-03-07T00:00:00"/>
    <x v="350"/>
    <x v="0"/>
    <s v="Nozomu Dojo"/>
    <x v="1"/>
  </r>
  <r>
    <n v="0"/>
    <s v="nem volt nyertes mérkőzése"/>
    <s v="Gyöngyös"/>
    <d v="2026-03-07T00:00:00"/>
    <x v="33"/>
    <x v="0"/>
    <s v="Shogun"/>
    <x v="1"/>
  </r>
  <r>
    <n v="0"/>
    <s v="nem volt nyertes mérkőzése"/>
    <s v="Gyöngyös"/>
    <d v="2026-03-07T00:00:00"/>
    <x v="351"/>
    <x v="0"/>
    <s v="Kelemen-Team"/>
    <x v="1"/>
  </r>
  <r>
    <n v="0"/>
    <m/>
    <s v="Gyöngyös"/>
    <d v="2026-03-07T00:00:00"/>
    <x v="352"/>
    <x v="0"/>
    <s v="Victory"/>
    <x v="1"/>
  </r>
  <r>
    <n v="8"/>
    <m/>
    <s v="Gyöngyös"/>
    <d v="2026-03-07T00:00:00"/>
    <x v="319"/>
    <x v="0"/>
    <s v="Shogun"/>
    <x v="1"/>
  </r>
  <r>
    <n v="6"/>
    <m/>
    <s v="Gyöngyös"/>
    <d v="2026-03-07T00:00:00"/>
    <x v="333"/>
    <x v="0"/>
    <s v="Keizoku SE"/>
    <x v="1"/>
  </r>
  <r>
    <n v="4"/>
    <m/>
    <s v="Gyöngyös"/>
    <d v="2026-03-07T00:00:00"/>
    <x v="330"/>
    <x v="0"/>
    <s v="Shogun"/>
    <x v="1"/>
  </r>
  <r>
    <n v="4"/>
    <m/>
    <s v="Gyöngyös"/>
    <d v="2026-03-07T00:00:00"/>
    <x v="347"/>
    <x v="0"/>
    <s v="Shogun"/>
    <x v="1"/>
  </r>
  <r>
    <n v="2"/>
    <m/>
    <s v="Gyöngyös"/>
    <d v="2026-03-07T00:00:00"/>
    <x v="320"/>
    <x v="0"/>
    <s v="Shogun"/>
    <x v="1"/>
  </r>
  <r>
    <n v="2"/>
    <m/>
    <s v="Gyöngyös"/>
    <d v="2026-03-07T00:00:00"/>
    <x v="323"/>
    <x v="0"/>
    <s v="Shogun"/>
    <x v="1"/>
  </r>
  <r>
    <n v="2"/>
    <m/>
    <s v="Gyöngyös"/>
    <d v="2026-03-07T00:00:00"/>
    <x v="324"/>
    <x v="0"/>
    <s v="Shogun"/>
    <x v="1"/>
  </r>
  <r>
    <n v="2"/>
    <m/>
    <s v="Gyöngyös"/>
    <d v="2026-03-07T00:00:00"/>
    <x v="335"/>
    <x v="0"/>
    <s v="Shogun"/>
    <x v="1"/>
  </r>
  <r>
    <n v="0"/>
    <m/>
    <s v="Gyöngyös"/>
    <d v="2026-03-07T00:00:00"/>
    <x v="332"/>
    <x v="0"/>
    <s v="Keizoku SE"/>
    <x v="1"/>
  </r>
  <r>
    <n v="0"/>
    <m/>
    <s v="Gyöngyös"/>
    <d v="2026-03-07T00:00:00"/>
    <x v="353"/>
    <x v="0"/>
    <s v="Shogun"/>
    <x v="1"/>
  </r>
  <r>
    <n v="0"/>
    <m/>
    <s v="Gyöngyös"/>
    <d v="2026-03-07T00:00:00"/>
    <x v="354"/>
    <x v="0"/>
    <s v="Bendiák Dojo"/>
    <x v="1"/>
  </r>
  <r>
    <n v="0"/>
    <m/>
    <s v="Gyöngyös"/>
    <d v="2026-03-07T00:00:00"/>
    <x v="322"/>
    <x v="0"/>
    <s v="KYO Fighter SE"/>
    <x v="1"/>
  </r>
  <r>
    <n v="0"/>
    <m/>
    <s v="Gyöngyös"/>
    <d v="2026-03-07T00:00:00"/>
    <x v="321"/>
    <x v="0"/>
    <s v="Victory"/>
    <x v="1"/>
  </r>
  <r>
    <n v="0"/>
    <m/>
    <s v="Gyöngyös"/>
    <d v="2026-03-07T00:00:00"/>
    <x v="328"/>
    <x v="0"/>
    <s v="Victory"/>
    <x v="1"/>
  </r>
  <r>
    <n v="0"/>
    <m/>
    <s v="Gyöngyös"/>
    <d v="2026-03-07T00:00:00"/>
    <x v="355"/>
    <x v="0"/>
    <s v="SONGOKU SE"/>
    <x v="1"/>
  </r>
  <r>
    <n v="0"/>
    <m/>
    <s v="Gyöngyös"/>
    <d v="2026-03-07T00:00:00"/>
    <x v="349"/>
    <x v="0"/>
    <s v="Victory"/>
    <x v="1"/>
  </r>
  <r>
    <n v="6"/>
    <m/>
    <s v="Gyöngyös"/>
    <d v="2026-03-07T00:00:00"/>
    <x v="356"/>
    <x v="0"/>
    <s v="Hajdúszoboszló"/>
    <x v="1"/>
  </r>
  <r>
    <n v="5"/>
    <m/>
    <s v="Gyöngyös"/>
    <d v="2026-03-07T00:00:00"/>
    <x v="357"/>
    <x v="0"/>
    <s v="Victory"/>
    <x v="1"/>
  </r>
  <r>
    <n v="3"/>
    <m/>
    <s v="Gyöngyös"/>
    <d v="2026-03-07T00:00:00"/>
    <x v="358"/>
    <x v="0"/>
    <s v="Shogun"/>
    <x v="1"/>
  </r>
  <r>
    <n v="3"/>
    <m/>
    <s v="Gyöngyös"/>
    <d v="2026-03-07T00:00:00"/>
    <x v="359"/>
    <x v="0"/>
    <s v="Victory"/>
    <x v="1"/>
  </r>
  <r>
    <n v="0"/>
    <m/>
    <s v="Gyöngyös"/>
    <d v="2026-03-07T00:00:00"/>
    <x v="360"/>
    <x v="0"/>
    <s v="Kisvárda KKDOSC"/>
    <x v="1"/>
  </r>
  <r>
    <n v="6"/>
    <m/>
    <s v="Gyöngyös"/>
    <d v="2026-03-07T00:00:00"/>
    <x v="361"/>
    <x v="0"/>
    <s v="Kelemen-Team"/>
    <x v="1"/>
  </r>
  <r>
    <n v="5"/>
    <m/>
    <s v="Gyöngyös"/>
    <d v="2026-03-07T00:00:00"/>
    <x v="362"/>
    <x v="0"/>
    <s v="ShinzóDojo"/>
    <x v="1"/>
  </r>
  <r>
    <n v="3"/>
    <m/>
    <s v="Gyöngyös"/>
    <d v="2026-03-07T00:00:00"/>
    <x v="363"/>
    <x v="0"/>
    <s v="Shogun"/>
    <x v="1"/>
  </r>
  <r>
    <n v="6"/>
    <m/>
    <s v="Gyöngyös"/>
    <d v="2026-03-07T00:00:00"/>
    <x v="364"/>
    <x v="0"/>
    <s v="Kagami"/>
    <x v="1"/>
  </r>
  <r>
    <n v="5"/>
    <m/>
    <s v="Gyöngyös"/>
    <d v="2026-03-07T00:00:00"/>
    <x v="365"/>
    <x v="0"/>
    <s v="Victory"/>
    <x v="1"/>
  </r>
  <r>
    <n v="3"/>
    <m/>
    <s v="Gyöngyös"/>
    <d v="2026-03-07T00:00:00"/>
    <x v="366"/>
    <x v="0"/>
    <s v="Kemecse SE"/>
    <x v="1"/>
  </r>
  <r>
    <n v="3"/>
    <m/>
    <s v="Gyöngyös"/>
    <d v="2026-03-07T00:00:00"/>
    <x v="359"/>
    <x v="0"/>
    <s v="Victory"/>
    <x v="1"/>
  </r>
  <r>
    <n v="1"/>
    <m/>
    <s v="Gyöngyös"/>
    <d v="2026-03-07T00:00:00"/>
    <x v="367"/>
    <x v="0"/>
    <s v="Shogun"/>
    <x v="1"/>
  </r>
  <r>
    <n v="1"/>
    <m/>
    <s v="Gyöngyös"/>
    <d v="2026-03-07T00:00:00"/>
    <x v="360"/>
    <x v="0"/>
    <s v="Kisvárda KKDOSC"/>
    <x v="1"/>
  </r>
  <r>
    <n v="0"/>
    <s v="nem volt nyertes mérkőzése"/>
    <s v="Gyöngyös"/>
    <d v="2026-03-07T00:00:00"/>
    <x v="368"/>
    <x v="0"/>
    <s v="Kelemen-Team"/>
    <x v="1"/>
  </r>
  <r>
    <n v="0"/>
    <s v="nem volt nyertes mérkőzése"/>
    <s v="Gyöngyös"/>
    <d v="2026-03-07T00:00:00"/>
    <x v="369"/>
    <x v="0"/>
    <s v="Bendiák Dojo"/>
    <x v="1"/>
  </r>
  <r>
    <n v="0"/>
    <m/>
    <s v="Gyöngyös"/>
    <d v="2026-03-07T00:00:00"/>
    <x v="370"/>
    <x v="0"/>
    <s v="Kemecse SE"/>
    <x v="1"/>
  </r>
  <r>
    <n v="0"/>
    <m/>
    <s v="Gyöngyös"/>
    <d v="2026-03-07T00:00:00"/>
    <x v="358"/>
    <x v="0"/>
    <s v="Shogun"/>
    <x v="1"/>
  </r>
  <r>
    <n v="0"/>
    <m/>
    <s v="Gyöngyös"/>
    <d v="2026-03-07T00:00:00"/>
    <x v="371"/>
    <x v="0"/>
    <s v="Shogun"/>
    <x v="1"/>
  </r>
  <r>
    <n v="0"/>
    <m/>
    <s v="Gyöngyös"/>
    <d v="2026-03-07T00:00:00"/>
    <x v="357"/>
    <x v="0"/>
    <s v="Victory"/>
    <x v="1"/>
  </r>
  <r>
    <n v="0"/>
    <m/>
    <s v="Gyöngyös"/>
    <d v="2026-03-07T00:00:00"/>
    <x v="362"/>
    <x v="0"/>
    <s v="ShinzóDojo"/>
    <x v="1"/>
  </r>
  <r>
    <n v="0"/>
    <m/>
    <s v="Gyöngyös"/>
    <d v="2026-03-07T00:00:00"/>
    <x v="363"/>
    <x v="0"/>
    <s v="Shogun"/>
    <x v="1"/>
  </r>
  <r>
    <n v="8"/>
    <m/>
    <s v="Gyöngyös"/>
    <d v="2026-03-07T00:00:00"/>
    <x v="372"/>
    <x v="0"/>
    <s v="KHSE"/>
    <x v="1"/>
  </r>
  <r>
    <n v="6"/>
    <m/>
    <s v="Gyöngyös"/>
    <d v="2026-03-07T00:00:00"/>
    <x v="373"/>
    <x v="0"/>
    <s v="Victory"/>
    <x v="1"/>
  </r>
  <r>
    <n v="4"/>
    <m/>
    <s v="Gyöngyös"/>
    <d v="2026-03-07T00:00:00"/>
    <x v="374"/>
    <x v="0"/>
    <s v="KYO Fighter SE"/>
    <x v="1"/>
  </r>
  <r>
    <n v="3"/>
    <m/>
    <s v="Gyöngyös"/>
    <d v="2026-03-07T00:00:00"/>
    <x v="375"/>
    <x v="0"/>
    <s v="KHSE"/>
    <x v="1"/>
  </r>
  <r>
    <n v="6"/>
    <m/>
    <s v="Gyöngyös"/>
    <d v="2026-03-07T00:00:00"/>
    <x v="376"/>
    <x v="0"/>
    <s v="Shogun"/>
    <x v="1"/>
  </r>
  <r>
    <n v="5"/>
    <m/>
    <s v="Gyöngyös"/>
    <d v="2026-03-07T00:00:00"/>
    <x v="377"/>
    <x v="0"/>
    <s v="KHSE"/>
    <x v="1"/>
  </r>
  <r>
    <n v="3"/>
    <m/>
    <s v="Gyöngyös"/>
    <d v="2026-03-07T00:00:00"/>
    <x v="378"/>
    <x v="0"/>
    <s v="Shogun"/>
    <x v="1"/>
  </r>
  <r>
    <n v="6"/>
    <m/>
    <s v="Gyöngyös"/>
    <d v="2026-03-07T00:00:00"/>
    <x v="379"/>
    <x v="0"/>
    <s v="Bendiák Dojo"/>
    <x v="1"/>
  </r>
  <r>
    <n v="5"/>
    <m/>
    <s v="Gyöngyös"/>
    <d v="2026-03-07T00:00:00"/>
    <x v="380"/>
    <x v="0"/>
    <s v="Shogun"/>
    <x v="1"/>
  </r>
  <r>
    <n v="3"/>
    <m/>
    <s v="Gyöngyös"/>
    <d v="2026-03-07T00:00:00"/>
    <x v="381"/>
    <x v="1"/>
    <s v="Borza Dojo"/>
    <x v="1"/>
  </r>
  <r>
    <n v="2"/>
    <s v="volt nyertes mérkőzése"/>
    <s v="Gyöngyös"/>
    <d v="2026-03-07T00:00:00"/>
    <x v="382"/>
    <x v="0"/>
    <s v="Bátor KSE"/>
    <x v="1"/>
  </r>
  <r>
    <n v="6"/>
    <m/>
    <s v="Gyöngyös"/>
    <d v="2026-03-07T00:00:00"/>
    <x v="383"/>
    <x v="0"/>
    <s v="Buke Reikon HRSE"/>
    <x v="1"/>
  </r>
  <r>
    <n v="5"/>
    <m/>
    <s v="Gyöngyös"/>
    <d v="2026-03-07T00:00:00"/>
    <x v="384"/>
    <x v="0"/>
    <s v="Kisvárda KKDOSC"/>
    <x v="1"/>
  </r>
  <r>
    <n v="3"/>
    <m/>
    <s v="Gyöngyös"/>
    <d v="2026-03-07T00:00:00"/>
    <x v="385"/>
    <x v="0"/>
    <s v="Shogun"/>
    <x v="1"/>
  </r>
  <r>
    <n v="6"/>
    <m/>
    <s v="Gyöngyös"/>
    <d v="2026-03-07T00:00:00"/>
    <x v="386"/>
    <x v="0"/>
    <s v="KHSE"/>
    <x v="1"/>
  </r>
  <r>
    <n v="5"/>
    <m/>
    <s v="Gyöngyös"/>
    <d v="2026-03-07T00:00:00"/>
    <x v="387"/>
    <x v="0"/>
    <s v="Nozomu Dojo"/>
    <x v="1"/>
  </r>
  <r>
    <n v="3"/>
    <m/>
    <s v="Gyöngyös"/>
    <d v="2026-03-07T00:00:00"/>
    <x v="388"/>
    <x v="0"/>
    <s v="KHSE"/>
    <x v="1"/>
  </r>
  <r>
    <n v="6"/>
    <m/>
    <s v="Gyöngyös"/>
    <d v="2026-03-07T00:00:00"/>
    <x v="389"/>
    <x v="0"/>
    <s v="Derecske BUDO"/>
    <x v="1"/>
  </r>
  <r>
    <n v="5"/>
    <s v="körbeverés "/>
    <s v="Gyöngyös"/>
    <d v="2026-03-07T00:00:00"/>
    <x v="390"/>
    <x v="0"/>
    <s v="Bátor KSE"/>
    <x v="1"/>
  </r>
  <r>
    <n v="5"/>
    <s v="körbeverés "/>
    <s v="Gyöngyös"/>
    <d v="2026-03-07T00:00:00"/>
    <x v="391"/>
    <x v="0"/>
    <s v="KHSE"/>
    <x v="1"/>
  </r>
  <r>
    <n v="3"/>
    <s v="körbeverés "/>
    <s v="Gyöngyös"/>
    <d v="2026-03-07T00:00:00"/>
    <x v="392"/>
    <x v="0"/>
    <s v="KYO Fighter SE"/>
    <x v="1"/>
  </r>
  <r>
    <n v="6"/>
    <m/>
    <s v="Gyöngyös"/>
    <d v="2026-03-07T00:00:00"/>
    <x v="380"/>
    <x v="0"/>
    <s v="Shogun"/>
    <x v="1"/>
  </r>
  <r>
    <n v="5"/>
    <m/>
    <s v="Gyöngyös"/>
    <d v="2026-03-07T00:00:00"/>
    <x v="374"/>
    <x v="0"/>
    <s v="KYO Fighter SE"/>
    <x v="1"/>
  </r>
  <r>
    <n v="3"/>
    <m/>
    <s v="Gyöngyös"/>
    <d v="2026-03-07T00:00:00"/>
    <x v="381"/>
    <x v="1"/>
    <s v="Borza Dojo"/>
    <x v="1"/>
  </r>
  <r>
    <n v="3"/>
    <m/>
    <s v="Gyöngyös"/>
    <d v="2026-03-07T00:00:00"/>
    <x v="393"/>
    <x v="1"/>
    <s v="TADASHII "/>
    <x v="1"/>
  </r>
  <r>
    <n v="1"/>
    <m/>
    <s v="Gyöngyös"/>
    <d v="2026-03-07T00:00:00"/>
    <x v="394"/>
    <x v="0"/>
    <s v="KYO Fighter SE"/>
    <x v="1"/>
  </r>
  <r>
    <n v="0"/>
    <s v="nem volt nyertes mérkőzése"/>
    <s v="Gyöngyös"/>
    <d v="2026-03-07T00:00:00"/>
    <x v="395"/>
    <x v="0"/>
    <s v="Shogun"/>
    <x v="1"/>
  </r>
  <r>
    <n v="0"/>
    <s v="nem volt nyertes mérkőzése"/>
    <s v="Gyöngyös"/>
    <d v="2026-03-07T00:00:00"/>
    <x v="378"/>
    <x v="0"/>
    <s v="Shogun"/>
    <x v="1"/>
  </r>
  <r>
    <n v="0"/>
    <s v="nem volt nyertes mérkőzése"/>
    <s v="Gyöngyös"/>
    <d v="2026-03-07T00:00:00"/>
    <x v="396"/>
    <x v="0"/>
    <s v="Kagami"/>
    <x v="1"/>
  </r>
  <r>
    <n v="0"/>
    <m/>
    <s v="Gyöngyös"/>
    <d v="2026-03-07T00:00:00"/>
    <x v="397"/>
    <x v="0"/>
    <s v="ShinzóDojo"/>
    <x v="1"/>
  </r>
  <r>
    <n v="0"/>
    <m/>
    <s v="Gyöngyös"/>
    <d v="2026-03-07T00:00:00"/>
    <x v="398"/>
    <x v="1"/>
    <s v="Nintai KKSE"/>
    <x v="1"/>
  </r>
  <r>
    <n v="0"/>
    <m/>
    <s v="Gyöngyös"/>
    <d v="2026-03-07T00:00:00"/>
    <x v="399"/>
    <x v="1"/>
    <s v="Borza Dojo"/>
    <x v="1"/>
  </r>
  <r>
    <n v="6"/>
    <m/>
    <s v="Gyöngyös"/>
    <d v="2026-03-07T00:00:00"/>
    <x v="400"/>
    <x v="0"/>
    <s v="Keizoku SE"/>
    <x v="1"/>
  </r>
  <r>
    <n v="5"/>
    <m/>
    <s v="Gyöngyös"/>
    <d v="2026-03-07T00:00:00"/>
    <x v="401"/>
    <x v="0"/>
    <s v="Nyíradonyi KKE"/>
    <x v="1"/>
  </r>
  <r>
    <n v="3"/>
    <m/>
    <s v="Gyöngyös"/>
    <d v="2026-03-07T00:00:00"/>
    <x v="402"/>
    <x v="0"/>
    <s v="Kelemen-Team"/>
    <x v="1"/>
  </r>
  <r>
    <n v="3"/>
    <m/>
    <s v="Gyöngyös"/>
    <d v="2026-03-07T00:00:00"/>
    <x v="403"/>
    <x v="0"/>
    <s v="Kemecse SE"/>
    <x v="1"/>
  </r>
  <r>
    <n v="0"/>
    <m/>
    <s v="Gyöngyös"/>
    <d v="2026-03-07T00:00:00"/>
    <x v="404"/>
    <x v="0"/>
    <s v="ShinzóDojo"/>
    <x v="1"/>
  </r>
  <r>
    <n v="6"/>
    <m/>
    <s v="Gyöngyös"/>
    <d v="2026-03-07T00:00:00"/>
    <x v="405"/>
    <x v="0"/>
    <s v="Keizoku SE"/>
    <x v="1"/>
  </r>
  <r>
    <n v="5"/>
    <m/>
    <s v="Gyöngyös"/>
    <d v="2026-03-07T00:00:00"/>
    <x v="406"/>
    <x v="0"/>
    <s v="SONGOKU SE"/>
    <x v="1"/>
  </r>
  <r>
    <n v="3"/>
    <m/>
    <s v="Gyöngyös"/>
    <d v="2026-03-07T00:00:00"/>
    <x v="407"/>
    <x v="0"/>
    <s v="KHSE"/>
    <x v="1"/>
  </r>
  <r>
    <n v="5"/>
    <m/>
    <s v="Gyöngyös"/>
    <d v="2026-03-07T00:00:00"/>
    <x v="404"/>
    <x v="0"/>
    <s v="ShinzóDojo"/>
    <x v="1"/>
  </r>
  <r>
    <n v="4"/>
    <m/>
    <s v="Gyöngyös"/>
    <d v="2026-03-07T00:00:00"/>
    <x v="403"/>
    <x v="0"/>
    <s v="Kemecse SE"/>
    <x v="1"/>
  </r>
  <r>
    <n v="2"/>
    <m/>
    <s v="Gyöngyös"/>
    <d v="2026-03-07T00:00:00"/>
    <x v="408"/>
    <x v="1"/>
    <s v="TADASHII "/>
    <x v="1"/>
  </r>
  <r>
    <n v="2"/>
    <m/>
    <s v="Gyöngyös"/>
    <d v="2026-03-07T00:00:00"/>
    <x v="409"/>
    <x v="0"/>
    <s v="Bendiák Dojo"/>
    <x v="1"/>
  </r>
  <r>
    <n v="0"/>
    <m/>
    <s v="Gyöngyös"/>
    <d v="2026-03-07T00:00:00"/>
    <x v="405"/>
    <x v="0"/>
    <s v="Keizoku SE"/>
    <x v="1"/>
  </r>
  <r>
    <n v="0"/>
    <m/>
    <s v="Gyöngyös"/>
    <d v="2026-03-07T00:00:00"/>
    <x v="410"/>
    <x v="0"/>
    <s v="Kemecse SE"/>
    <x v="1"/>
  </r>
  <r>
    <n v="0"/>
    <m/>
    <s v="Gyöngyös"/>
    <d v="2026-03-07T00:00:00"/>
    <x v="411"/>
    <x v="0"/>
    <s v="Shogun"/>
    <x v="1"/>
  </r>
  <r>
    <n v="6"/>
    <m/>
    <s v="Gyöngyös"/>
    <d v="2026-03-07T00:00:00"/>
    <x v="412"/>
    <x v="0"/>
    <s v="KHSE"/>
    <x v="1"/>
  </r>
  <r>
    <n v="5"/>
    <m/>
    <s v="Gyöngyös"/>
    <d v="2026-03-07T00:00:00"/>
    <x v="413"/>
    <x v="0"/>
    <s v="Victory"/>
    <x v="1"/>
  </r>
  <r>
    <n v="3"/>
    <m/>
    <s v="Gyöngyös"/>
    <d v="2026-03-07T00:00:00"/>
    <x v="414"/>
    <x v="0"/>
    <s v="KHSE"/>
    <x v="1"/>
  </r>
  <r>
    <n v="8"/>
    <m/>
    <s v="Gyöngyös"/>
    <d v="2026-03-07T00:00:00"/>
    <x v="415"/>
    <x v="0"/>
    <s v="Shogun"/>
    <x v="1"/>
  </r>
  <r>
    <n v="6"/>
    <m/>
    <s v="Gyöngyös"/>
    <d v="2026-03-07T00:00:00"/>
    <x v="416"/>
    <x v="0"/>
    <s v="KHSE"/>
    <x v="1"/>
  </r>
  <r>
    <n v="4"/>
    <m/>
    <s v="Gyöngyös"/>
    <d v="2026-03-07T00:00:00"/>
    <x v="417"/>
    <x v="0"/>
    <s v="Kelemen-Team"/>
    <x v="1"/>
  </r>
  <r>
    <n v="3"/>
    <m/>
    <s v="Gyöngyös"/>
    <d v="2026-03-07T00:00:00"/>
    <x v="418"/>
    <x v="0"/>
    <s v="Victory"/>
    <x v="1"/>
  </r>
  <r>
    <n v="6"/>
    <m/>
    <s v="Gyöngyös"/>
    <d v="2026-03-07T00:00:00"/>
    <x v="419"/>
    <x v="0"/>
    <s v="KHSE"/>
    <x v="1"/>
  </r>
  <r>
    <n v="5"/>
    <m/>
    <s v="Gyöngyös"/>
    <d v="2026-03-07T00:00:00"/>
    <x v="420"/>
    <x v="0"/>
    <s v="KYO Fighter SE"/>
    <x v="1"/>
  </r>
  <r>
    <n v="3"/>
    <m/>
    <s v="Gyöngyös"/>
    <d v="2026-03-07T00:00:00"/>
    <x v="421"/>
    <x v="0"/>
    <s v="KYO Fighter SE"/>
    <x v="1"/>
  </r>
  <r>
    <n v="6"/>
    <m/>
    <s v="Gyöngyös"/>
    <d v="2026-03-07T00:00:00"/>
    <x v="422"/>
    <x v="1"/>
    <s v="Wheelmaker dojo SE"/>
    <x v="1"/>
  </r>
  <r>
    <n v="5"/>
    <m/>
    <s v="Gyöngyös"/>
    <d v="2026-03-07T00:00:00"/>
    <x v="423"/>
    <x v="1"/>
    <s v="Nintai KKSE"/>
    <x v="1"/>
  </r>
  <r>
    <n v="3"/>
    <m/>
    <s v="Gyöngyös"/>
    <d v="2026-03-07T00:00:00"/>
    <x v="424"/>
    <x v="0"/>
    <s v="Derecske BUDO"/>
    <x v="1"/>
  </r>
  <r>
    <n v="4"/>
    <m/>
    <s v="Gyöngyös"/>
    <d v="2026-03-07T00:00:00"/>
    <x v="425"/>
    <x v="0"/>
    <s v="Victory"/>
    <x v="1"/>
  </r>
  <r>
    <n v="3"/>
    <m/>
    <s v="Gyöngyös"/>
    <d v="2026-03-07T00:00:00"/>
    <x v="426"/>
    <x v="0"/>
    <s v="Magna Dojo"/>
    <x v="1"/>
  </r>
  <r>
    <n v="0"/>
    <s v="nem volt nyertes mérkőzése"/>
    <s v="Gyöngyös"/>
    <d v="2026-03-07T00:00:00"/>
    <x v="427"/>
    <x v="0"/>
    <s v="Bendiák Dojo"/>
    <x v="1"/>
  </r>
  <r>
    <n v="6"/>
    <m/>
    <s v="Gyöngyös"/>
    <d v="2026-03-07T00:00:00"/>
    <x v="428"/>
    <x v="0"/>
    <s v="KHSE"/>
    <x v="1"/>
  </r>
  <r>
    <n v="5"/>
    <m/>
    <s v="Gyöngyös"/>
    <d v="2026-03-07T00:00:00"/>
    <x v="429"/>
    <x v="0"/>
    <s v="Bendiák Dojo"/>
    <x v="1"/>
  </r>
  <r>
    <n v="3"/>
    <m/>
    <s v="Gyöngyös"/>
    <d v="2026-03-07T00:00:00"/>
    <x v="430"/>
    <x v="0"/>
    <s v="KHSE"/>
    <x v="1"/>
  </r>
  <r>
    <n v="4"/>
    <m/>
    <s v="Gyöngyös"/>
    <d v="2026-03-07T00:00:00"/>
    <x v="431"/>
    <x v="1"/>
    <s v="Nintai KKSE"/>
    <x v="1"/>
  </r>
  <r>
    <n v="3"/>
    <m/>
    <s v="Gyöngyös"/>
    <d v="2026-03-07T00:00:00"/>
    <x v="432"/>
    <x v="0"/>
    <s v="Bendiák Dojo"/>
    <x v="1"/>
  </r>
  <r>
    <n v="0"/>
    <s v="nem volt nyertes mérkőzése"/>
    <s v="Gyöngyös"/>
    <d v="2026-03-07T00:00:00"/>
    <x v="433"/>
    <x v="0"/>
    <s v="Buke Reikon HRSE"/>
    <x v="1"/>
  </r>
  <r>
    <n v="5"/>
    <s v="7 fő esetén az 1-4 kap pontot"/>
    <s v="Gyöngyös"/>
    <d v="2026-03-07T00:00:00"/>
    <x v="434"/>
    <x v="0"/>
    <s v="Shogun"/>
    <x v="1"/>
  </r>
  <r>
    <n v="4"/>
    <s v="7 fő esetén az 1-4 kap pontot"/>
    <s v="Gyöngyös"/>
    <d v="2026-03-07T00:00:00"/>
    <x v="435"/>
    <x v="0"/>
    <s v="Shogun"/>
    <x v="1"/>
  </r>
  <r>
    <n v="2"/>
    <s v="7 fő esetén az 1-4 kap pontot"/>
    <s v="Gyöngyös"/>
    <d v="2026-03-07T00:00:00"/>
    <x v="415"/>
    <x v="0"/>
    <s v="Shogun"/>
    <x v="1"/>
  </r>
  <r>
    <n v="1"/>
    <s v="7 fő esetén az 1-4 kap pontot"/>
    <s v="Gyöngyös"/>
    <d v="2026-03-07T00:00:00"/>
    <x v="436"/>
    <x v="0"/>
    <s v="Victory"/>
    <x v="1"/>
  </r>
  <r>
    <n v="0"/>
    <s v="7 fő esetén az 1-4 kap pontot"/>
    <s v="Gyöngyös"/>
    <d v="2026-03-07T00:00:00"/>
    <x v="420"/>
    <x v="0"/>
    <s v="KYO Fighter SE"/>
    <x v="1"/>
  </r>
  <r>
    <n v="0"/>
    <s v="7 fő esetén az 1-4 kap pontot"/>
    <s v="Gyöngyös"/>
    <d v="2026-03-07T00:00:00"/>
    <x v="427"/>
    <x v="0"/>
    <s v="Bendiák Dojo"/>
    <x v="1"/>
  </r>
  <r>
    <n v="0"/>
    <s v="7 fő esetén az 1-4 kap pontot"/>
    <s v="Gyöngyös"/>
    <d v="2026-03-07T00:00:00"/>
    <x v="432"/>
    <x v="0"/>
    <s v="Bendiák Dojo"/>
    <x v="1"/>
  </r>
  <r>
    <n v="3"/>
    <m/>
    <s v="Gyöngyös"/>
    <d v="2026-03-07T00:00:00"/>
    <x v="437"/>
    <x v="0"/>
    <s v="Hajdúszoboszló"/>
    <x v="1"/>
  </r>
  <r>
    <n v="0"/>
    <m/>
    <s v="Gyöngyös"/>
    <d v="2026-03-07T00:00:00"/>
    <x v="438"/>
    <x v="1"/>
    <s v="Borza Dojo"/>
    <x v="1"/>
  </r>
  <r>
    <n v="4"/>
    <m/>
    <s v="Gyöngyös"/>
    <d v="2026-03-07T00:00:00"/>
    <x v="439"/>
    <x v="0"/>
    <s v="KHSE"/>
    <x v="1"/>
  </r>
  <r>
    <n v="3"/>
    <m/>
    <s v="Gyöngyös"/>
    <d v="2026-03-07T00:00:00"/>
    <x v="440"/>
    <x v="0"/>
    <s v="Derecske BUDO"/>
    <x v="1"/>
  </r>
  <r>
    <n v="0"/>
    <s v="nem volt nyertes mérkőzése"/>
    <s v="Gyöngyös"/>
    <d v="2026-03-07T00:00:00"/>
    <x v="441"/>
    <x v="0"/>
    <s v="Shogun"/>
    <x v="1"/>
  </r>
  <r>
    <n v="8"/>
    <m/>
    <s v="Gyöngyös"/>
    <d v="2026-03-07T00:00:00"/>
    <x v="442"/>
    <x v="0"/>
    <s v="KHSE"/>
    <x v="1"/>
  </r>
  <r>
    <n v="6"/>
    <m/>
    <s v="Gyöngyös"/>
    <d v="2026-03-07T00:00:00"/>
    <x v="443"/>
    <x v="0"/>
    <s v="Derecske BUDO"/>
    <x v="1"/>
  </r>
  <r>
    <n v="4"/>
    <m/>
    <s v="Gyöngyös"/>
    <d v="2026-03-07T00:00:00"/>
    <x v="444"/>
    <x v="0"/>
    <s v="Bendiák Dojo"/>
    <x v="1"/>
  </r>
  <r>
    <n v="3"/>
    <m/>
    <s v="Gyöngyös"/>
    <d v="2026-03-07T00:00:00"/>
    <x v="445"/>
    <x v="0"/>
    <s v="Kelemen-Team"/>
    <x v="1"/>
  </r>
  <r>
    <n v="5"/>
    <s v="4 fő esetén az 1-3 kap pontot"/>
    <s v="Gyöngyös"/>
    <d v="2026-03-07T00:00:00"/>
    <x v="446"/>
    <x v="0"/>
    <s v="Kisvárda KKDOSC"/>
    <x v="1"/>
  </r>
  <r>
    <n v="4"/>
    <s v="4 fő esetén az 1-3 kap pontot"/>
    <s v="Gyöngyös"/>
    <d v="2026-03-07T00:00:00"/>
    <x v="447"/>
    <x v="0"/>
    <s v="Shogun"/>
    <x v="1"/>
  </r>
  <r>
    <n v="2"/>
    <s v="4 fő esetén az 1-3 kap pontot"/>
    <s v="Gyöngyös"/>
    <d v="2026-03-07T00:00:00"/>
    <x v="448"/>
    <x v="0"/>
    <s v="Kagami"/>
    <x v="1"/>
  </r>
  <r>
    <n v="0"/>
    <s v="4 fő esetén az 1-3 kap pontot"/>
    <s v="Gyöngyös"/>
    <d v="2026-03-07T00:00:00"/>
    <x v="441"/>
    <x v="0"/>
    <s v="Shogun"/>
    <x v="1"/>
  </r>
  <r>
    <n v="3"/>
    <m/>
    <s v="Gyöngyös"/>
    <d v="2026-03-07T00:00:00"/>
    <x v="449"/>
    <x v="0"/>
    <s v="KHSE"/>
    <x v="1"/>
  </r>
  <r>
    <n v="0"/>
    <m/>
    <s v="Gyöngyös"/>
    <d v="2026-03-07T00:00:00"/>
    <x v="450"/>
    <x v="0"/>
    <s v="Nozomu Dojo"/>
    <x v="1"/>
  </r>
  <r>
    <n v="6"/>
    <m/>
    <s v="Gyöngyös"/>
    <d v="2026-03-07T00:00:00"/>
    <x v="451"/>
    <x v="0"/>
    <s v="KHSE"/>
    <x v="1"/>
  </r>
  <r>
    <n v="5"/>
    <m/>
    <s v="Gyöngyös"/>
    <d v="2026-03-07T00:00:00"/>
    <x v="452"/>
    <x v="0"/>
    <s v="KHSE"/>
    <x v="1"/>
  </r>
  <r>
    <n v="3"/>
    <m/>
    <s v="Gyöngyös"/>
    <d v="2026-03-07T00:00:00"/>
    <x v="453"/>
    <x v="1"/>
    <s v="TADASHII "/>
    <x v="1"/>
  </r>
  <r>
    <n v="6"/>
    <m/>
    <s v="Gyöngyös"/>
    <d v="2026-03-07T00:00:00"/>
    <x v="454"/>
    <x v="0"/>
    <s v="Victory"/>
    <x v="1"/>
  </r>
  <r>
    <n v="5"/>
    <m/>
    <s v="Gyöngyös"/>
    <d v="2026-03-07T00:00:00"/>
    <x v="455"/>
    <x v="0"/>
    <s v="Victory"/>
    <x v="1"/>
  </r>
  <r>
    <n v="3"/>
    <m/>
    <s v="Gyöngyös"/>
    <d v="2026-03-07T00:00:00"/>
    <x v="456"/>
    <x v="0"/>
    <s v="KHSE"/>
    <x v="1"/>
  </r>
  <r>
    <n v="6"/>
    <m/>
    <s v="Gyöngyös"/>
    <d v="2026-03-07T00:00:00"/>
    <x v="457"/>
    <x v="0"/>
    <s v="Victory"/>
    <x v="1"/>
  </r>
  <r>
    <n v="5"/>
    <m/>
    <s v="Gyöngyös"/>
    <d v="2026-03-07T00:00:00"/>
    <x v="458"/>
    <x v="0"/>
    <s v="Victory"/>
    <x v="1"/>
  </r>
  <r>
    <n v="3"/>
    <m/>
    <s v="Gyöngyös"/>
    <d v="2026-03-07T00:00:00"/>
    <x v="459"/>
    <x v="0"/>
    <s v="Bendiák Dojo"/>
    <x v="1"/>
  </r>
  <r>
    <n v="4"/>
    <m/>
    <s v="Gyöngyös"/>
    <d v="2026-03-07T00:00:00"/>
    <x v="460"/>
    <x v="0"/>
    <s v="Shogun"/>
    <x v="1"/>
  </r>
  <r>
    <n v="3"/>
    <m/>
    <s v="Gyöngyös"/>
    <d v="2026-03-07T00:00:00"/>
    <x v="461"/>
    <x v="0"/>
    <s v="Nozomu Dojo"/>
    <x v="1"/>
  </r>
  <r>
    <n v="0"/>
    <s v="nem volt nyertes mérkőzése"/>
    <s v="Gyöngyös"/>
    <d v="2026-03-07T00:00:00"/>
    <x v="462"/>
    <x v="1"/>
    <s v="TADASHII "/>
    <x v="1"/>
  </r>
  <r>
    <n v="6"/>
    <m/>
    <s v="Gyöngyös"/>
    <d v="2026-03-07T00:00:00"/>
    <x v="463"/>
    <x v="0"/>
    <s v="Shogun"/>
    <x v="1"/>
  </r>
  <r>
    <n v="5"/>
    <m/>
    <s v="Gyöngyös"/>
    <d v="2026-03-07T00:00:00"/>
    <x v="464"/>
    <x v="0"/>
    <s v="KHSE"/>
    <x v="1"/>
  </r>
  <r>
    <n v="3"/>
    <m/>
    <s v="Gyöngyös"/>
    <d v="2026-03-07T00:00:00"/>
    <x v="465"/>
    <x v="0"/>
    <s v="Kisvárda KKDOSC"/>
    <x v="1"/>
  </r>
  <r>
    <n v="5"/>
    <s v="6 fő esetén az 1-3 kap pontot"/>
    <s v="Gyöngyös"/>
    <d v="2026-03-07T00:00:00"/>
    <x v="460"/>
    <x v="0"/>
    <s v="Shogun"/>
    <x v="1"/>
  </r>
  <r>
    <n v="4"/>
    <s v="6 fő esetén az 1-3 kap pontot"/>
    <s v="Gyöngyös"/>
    <d v="2026-03-07T00:00:00"/>
    <x v="466"/>
    <x v="0"/>
    <s v="Shogun"/>
    <x v="1"/>
  </r>
  <r>
    <n v="2"/>
    <s v="6 fő esetén az 1-3 kap pontot"/>
    <s v="Gyöngyös"/>
    <d v="2026-03-07T00:00:00"/>
    <x v="467"/>
    <x v="0"/>
    <s v="Shogun"/>
    <x v="1"/>
  </r>
  <r>
    <n v="0"/>
    <s v="6 fő esetén az 1-3 kap pontot"/>
    <s v="Gyöngyös"/>
    <d v="2026-03-07T00:00:00"/>
    <x v="468"/>
    <x v="1"/>
    <s v="TADASHII "/>
    <x v="1"/>
  </r>
  <r>
    <n v="0"/>
    <s v="6 fő esetén az 1-3 kap pontot"/>
    <s v="Gyöngyös"/>
    <d v="2026-03-07T00:00:00"/>
    <x v="469"/>
    <x v="1"/>
    <s v="Borza Dojo"/>
    <x v="1"/>
  </r>
  <r>
    <n v="3"/>
    <m/>
    <s v="Gyöngyös"/>
    <d v="2026-03-07T00:00:00"/>
    <x v="470"/>
    <x v="0"/>
    <s v="Nozomu Dojo"/>
    <x v="1"/>
  </r>
  <r>
    <n v="0"/>
    <m/>
    <s v="Gyöngyös"/>
    <d v="2026-03-07T00:00:00"/>
    <x v="471"/>
    <x v="0"/>
    <s v="Shogun"/>
    <x v="1"/>
  </r>
  <r>
    <n v="3"/>
    <m/>
    <s v="Gyöngyös"/>
    <d v="2026-03-07T00:00:00"/>
    <x v="472"/>
    <x v="0"/>
    <s v="Victory"/>
    <x v="1"/>
  </r>
  <r>
    <n v="0"/>
    <m/>
    <s v="Gyöngyös"/>
    <d v="2026-03-07T00:00:00"/>
    <x v="473"/>
    <x v="0"/>
    <s v="KHSE"/>
    <x v="1"/>
  </r>
  <r>
    <n v="3"/>
    <m/>
    <s v="Gyöngyös"/>
    <d v="2026-03-07T00:00:00"/>
    <x v="474"/>
    <x v="0"/>
    <s v="Kemecse SE"/>
    <x v="1"/>
  </r>
  <r>
    <n v="0"/>
    <m/>
    <s v="Gyöngyös"/>
    <d v="2026-03-07T00:00:00"/>
    <x v="475"/>
    <x v="0"/>
    <s v="Derecske BUDO"/>
    <x v="1"/>
  </r>
  <r>
    <n v="8"/>
    <m/>
    <s v="Gyöngyös"/>
    <d v="2026-03-07T00:00:00"/>
    <x v="476"/>
    <x v="0"/>
    <s v="Victory"/>
    <x v="1"/>
  </r>
  <r>
    <n v="6"/>
    <m/>
    <s v="Gyöngyös"/>
    <d v="2026-03-07T00:00:00"/>
    <x v="56"/>
    <x v="0"/>
    <s v="Shogun"/>
    <x v="1"/>
  </r>
  <r>
    <n v="4"/>
    <m/>
    <s v="Gyöngyös"/>
    <d v="2026-03-07T00:00:00"/>
    <x v="477"/>
    <x v="0"/>
    <s v="Shogun"/>
    <x v="1"/>
  </r>
  <r>
    <n v="3"/>
    <m/>
    <s v="Gyöngyös"/>
    <d v="2026-03-07T00:00:00"/>
    <x v="478"/>
    <x v="0"/>
    <s v="KHSE"/>
    <x v="1"/>
  </r>
  <r>
    <n v="6"/>
    <m/>
    <s v="Gyöngyös"/>
    <d v="2026-03-07T00:00:00"/>
    <x v="479"/>
    <x v="0"/>
    <s v="KHSE"/>
    <x v="1"/>
  </r>
  <r>
    <n v="5"/>
    <m/>
    <s v="Gyöngyös"/>
    <d v="2026-03-07T00:00:00"/>
    <x v="480"/>
    <x v="0"/>
    <s v="KHSE"/>
    <x v="1"/>
  </r>
  <r>
    <n v="3"/>
    <m/>
    <s v="Gyöngyös"/>
    <d v="2026-03-07T00:00:00"/>
    <x v="481"/>
    <x v="0"/>
    <s v="Shogun"/>
    <x v="1"/>
  </r>
  <r>
    <n v="5"/>
    <s v="6 fő esetén az 1-3 kap pontot"/>
    <s v="Gyöngyös"/>
    <d v="2026-03-07T00:00:00"/>
    <x v="56"/>
    <x v="0"/>
    <s v="Shogun"/>
    <x v="1"/>
  </r>
  <r>
    <n v="4"/>
    <s v="6 fő esetén az 1-3 kap pontot"/>
    <s v="Gyöngyös"/>
    <d v="2026-03-07T00:00:00"/>
    <x v="55"/>
    <x v="0"/>
    <s v="Kagami"/>
    <x v="1"/>
  </r>
  <r>
    <n v="2"/>
    <s v="6 fő esetén az 1-3 kap pontot"/>
    <s v="Gyöngyös"/>
    <d v="2026-03-07T00:00:00"/>
    <x v="60"/>
    <x v="0"/>
    <s v="Shogun"/>
    <x v="1"/>
  </r>
  <r>
    <n v="0"/>
    <s v="6 fő esetén az 1-3 kap pontot"/>
    <s v="Gyöngyös"/>
    <d v="2026-03-07T00:00:00"/>
    <x v="58"/>
    <x v="0"/>
    <s v="Kagami"/>
    <x v="1"/>
  </r>
  <r>
    <n v="0"/>
    <s v="6 fő esetén az 1-3 kap pontot"/>
    <s v="Gyöngyös"/>
    <d v="2026-03-07T00:00:00"/>
    <x v="477"/>
    <x v="0"/>
    <s v="Shogun"/>
    <x v="1"/>
  </r>
  <r>
    <n v="0"/>
    <s v="6 fő esetén az 1-3 kap pontot"/>
    <s v="Gyöngyös"/>
    <d v="2026-03-07T00:00:00"/>
    <x v="474"/>
    <x v="0"/>
    <s v="Kemecse SE"/>
    <x v="1"/>
  </r>
  <r>
    <n v="0"/>
    <s v="6 fő esetén az 1-3 kap pontot"/>
    <s v="Gyöngyös"/>
    <d v="2026-03-07T00:00:00"/>
    <x v="482"/>
    <x v="0"/>
    <s v="KHSE"/>
    <x v="1"/>
  </r>
  <r>
    <n v="10"/>
    <m/>
    <s v="Szigetszentmiklós"/>
    <d v="2026-03-22T00:00:00"/>
    <x v="295"/>
    <x v="0"/>
    <s v="Shogun"/>
    <x v="1"/>
  </r>
  <r>
    <n v="8"/>
    <m/>
    <s v="Szigetszentmiklós"/>
    <d v="2026-03-22T00:00:00"/>
    <x v="67"/>
    <x v="0"/>
    <s v="Nagykátai Bushido SE"/>
    <x v="1"/>
  </r>
  <r>
    <n v="6"/>
    <m/>
    <s v="Szigetszentmiklós"/>
    <d v="2026-03-22T00:00:00"/>
    <x v="68"/>
    <x v="0"/>
    <s v="Kamikaze S"/>
    <x v="1"/>
  </r>
  <r>
    <n v="6"/>
    <m/>
    <s v="Szigetszentmiklós"/>
    <d v="2026-03-22T00:00:00"/>
    <x v="296"/>
    <x v="0"/>
    <s v="Victory"/>
    <x v="1"/>
  </r>
  <r>
    <n v="0"/>
    <s v="nem volt nyertes mérkőzése"/>
    <s v="Szigetszentmiklós"/>
    <d v="2026-03-22T00:00:00"/>
    <x v="483"/>
    <x v="0"/>
    <s v="Rokku KKSE"/>
    <x v="1"/>
  </r>
  <r>
    <n v="3"/>
    <m/>
    <s v="Szigetszentmiklós"/>
    <d v="2026-03-22T00:00:00"/>
    <x v="69"/>
    <x v="1"/>
    <s v="VTSE"/>
    <x v="1"/>
  </r>
  <r>
    <n v="3"/>
    <m/>
    <s v="Szigetszentmiklós"/>
    <d v="2026-03-22T00:00:00"/>
    <x v="484"/>
    <x v="0"/>
    <s v="KYO Fighter SE"/>
    <x v="1"/>
  </r>
  <r>
    <n v="3"/>
    <m/>
    <s v="Szigetszentmiklós"/>
    <d v="2026-03-22T00:00:00"/>
    <x v="485"/>
    <x v="0"/>
    <s v="Buke Reikon HRSE"/>
    <x v="1"/>
  </r>
  <r>
    <n v="0"/>
    <m/>
    <s v="Szigetszentmiklós"/>
    <d v="2026-03-22T00:00:00"/>
    <x v="297"/>
    <x v="0"/>
    <s v="Shogun"/>
    <x v="1"/>
  </r>
  <r>
    <n v="0"/>
    <m/>
    <s v="Szigetszentmiklós"/>
    <d v="2026-03-22T00:00:00"/>
    <x v="81"/>
    <x v="0"/>
    <s v="KSE Tarján"/>
    <x v="1"/>
  </r>
  <r>
    <n v="0"/>
    <m/>
    <s v="Szigetszentmiklós"/>
    <d v="2026-03-22T00:00:00"/>
    <x v="309"/>
    <x v="0"/>
    <s v="Shogun"/>
    <x v="1"/>
  </r>
  <r>
    <n v="10"/>
    <m/>
    <s v="Szigetszentmiklós"/>
    <d v="2026-03-22T00:00:00"/>
    <x v="70"/>
    <x v="0"/>
    <s v="BHMSE"/>
    <x v="1"/>
  </r>
  <r>
    <n v="8"/>
    <m/>
    <s v="Szigetszentmiklós"/>
    <d v="2026-03-22T00:00:00"/>
    <x v="301"/>
    <x v="0"/>
    <s v="Victory"/>
    <x v="1"/>
  </r>
  <r>
    <n v="6"/>
    <m/>
    <s v="Szigetszentmiklós"/>
    <d v="2026-03-22T00:00:00"/>
    <x v="303"/>
    <x v="0"/>
    <s v="KYO Fighter SE"/>
    <x v="1"/>
  </r>
  <r>
    <n v="6"/>
    <m/>
    <s v="Szigetszentmiklós"/>
    <d v="2026-03-22T00:00:00"/>
    <x v="298"/>
    <x v="0"/>
    <s v="Kelemen-Team"/>
    <x v="1"/>
  </r>
  <r>
    <n v="3"/>
    <m/>
    <s v="Szigetszentmiklós"/>
    <d v="2026-03-22T00:00:00"/>
    <x v="304"/>
    <x v="0"/>
    <s v="Shogun"/>
    <x v="1"/>
  </r>
  <r>
    <n v="0"/>
    <s v="nem volt nyertes mérkőzése"/>
    <s v="Szigetszentmiklós"/>
    <d v="2026-03-22T00:00:00"/>
    <x v="71"/>
    <x v="0"/>
    <s v="Ippon KKSE"/>
    <x v="1"/>
  </r>
  <r>
    <n v="0"/>
    <s v="nem volt nyertes mérkőzése"/>
    <s v="Szigetszentmiklós"/>
    <d v="2026-03-22T00:00:00"/>
    <x v="486"/>
    <x v="0"/>
    <s v="BHMSE"/>
    <x v="1"/>
  </r>
  <r>
    <n v="0"/>
    <s v="nem volt nyertes mérkőzése"/>
    <s v="Szigetszentmiklós"/>
    <d v="2026-03-22T00:00:00"/>
    <x v="299"/>
    <x v="0"/>
    <s v="Victory"/>
    <x v="1"/>
  </r>
  <r>
    <n v="0"/>
    <m/>
    <s v="Szigetszentmiklós"/>
    <d v="2026-03-22T00:00:00"/>
    <x v="487"/>
    <x v="1"/>
    <s v="VTSE"/>
    <x v="1"/>
  </r>
  <r>
    <n v="0"/>
    <m/>
    <s v="Szigetszentmiklós"/>
    <d v="2026-03-22T00:00:00"/>
    <x v="488"/>
    <x v="0"/>
    <s v="Rakurai"/>
    <x v="1"/>
  </r>
  <r>
    <n v="0"/>
    <m/>
    <s v="Szigetszentmiklós"/>
    <d v="2026-03-22T00:00:00"/>
    <x v="302"/>
    <x v="0"/>
    <s v="Kelemen-Team"/>
    <x v="1"/>
  </r>
  <r>
    <n v="10"/>
    <m/>
    <s v="Szigetszentmiklós"/>
    <d v="2026-03-22T00:00:00"/>
    <x v="305"/>
    <x v="0"/>
    <s v="Shogun"/>
    <x v="1"/>
  </r>
  <r>
    <n v="8"/>
    <m/>
    <s v="Szigetszentmiklós"/>
    <d v="2026-03-22T00:00:00"/>
    <x v="306"/>
    <x v="0"/>
    <s v="Bendiák Dojo"/>
    <x v="1"/>
  </r>
  <r>
    <n v="6"/>
    <m/>
    <s v="Szigetszentmiklós"/>
    <d v="2026-03-22T00:00:00"/>
    <x v="74"/>
    <x v="0"/>
    <s v="Nagykátai Bushido SE"/>
    <x v="1"/>
  </r>
  <r>
    <n v="6"/>
    <m/>
    <s v="Szigetszentmiklós"/>
    <d v="2026-03-22T00:00:00"/>
    <x v="73"/>
    <x v="0"/>
    <s v="Katana SE"/>
    <x v="1"/>
  </r>
  <r>
    <n v="0"/>
    <s v="nem volt nyertes mérkőzése"/>
    <s v="Szigetszentmiklós"/>
    <d v="2026-03-22T00:00:00"/>
    <x v="78"/>
    <x v="0"/>
    <s v="Castrum"/>
    <x v="1"/>
  </r>
  <r>
    <n v="3"/>
    <m/>
    <s v="Szigetszentmiklós"/>
    <d v="2026-03-22T00:00:00"/>
    <x v="307"/>
    <x v="0"/>
    <s v="Nozomu Dojo"/>
    <x v="1"/>
  </r>
  <r>
    <n v="0"/>
    <s v="nem volt nyertes mérkőzése"/>
    <s v="Szigetszentmiklós"/>
    <d v="2026-03-22T00:00:00"/>
    <x v="308"/>
    <x v="0"/>
    <s v="Kelemen-Team"/>
    <x v="1"/>
  </r>
  <r>
    <n v="0"/>
    <m/>
    <s v="Szigetszentmiklós"/>
    <d v="2026-03-22T00:00:00"/>
    <x v="489"/>
    <x v="0"/>
    <s v="Bátor KSE"/>
    <x v="1"/>
  </r>
  <r>
    <n v="0"/>
    <m/>
    <s v="Szigetszentmiklós"/>
    <d v="2026-03-22T00:00:00"/>
    <x v="75"/>
    <x v="0"/>
    <s v="BHMSE"/>
    <x v="1"/>
  </r>
  <r>
    <n v="10"/>
    <m/>
    <s v="Szigetszentmiklós"/>
    <d v="2026-03-22T00:00:00"/>
    <x v="305"/>
    <x v="0"/>
    <s v="Shogun"/>
    <x v="1"/>
  </r>
  <r>
    <n v="7"/>
    <m/>
    <s v="Szigetszentmiklós"/>
    <d v="2026-03-22T00:00:00"/>
    <x v="295"/>
    <x v="0"/>
    <s v="Shogun"/>
    <x v="1"/>
  </r>
  <r>
    <n v="5"/>
    <m/>
    <s v="Szigetszentmiklós"/>
    <d v="2026-03-22T00:00:00"/>
    <x v="297"/>
    <x v="0"/>
    <s v="Shogun"/>
    <x v="1"/>
  </r>
  <r>
    <n v="5"/>
    <m/>
    <s v="Szigetszentmiklós"/>
    <d v="2026-03-22T00:00:00"/>
    <x v="84"/>
    <x v="0"/>
    <s v="BHMSE"/>
    <x v="1"/>
  </r>
  <r>
    <n v="3"/>
    <m/>
    <s v="Szigetszentmiklós"/>
    <d v="2026-03-22T00:00:00"/>
    <x v="304"/>
    <x v="0"/>
    <s v="Shogun"/>
    <x v="1"/>
  </r>
  <r>
    <n v="3"/>
    <m/>
    <s v="Szigetszentmiklós"/>
    <d v="2026-03-22T00:00:00"/>
    <x v="87"/>
    <x v="0"/>
    <s v="BHMSE"/>
    <x v="1"/>
  </r>
  <r>
    <n v="3"/>
    <m/>
    <s v="Szigetszentmiklós"/>
    <d v="2026-03-22T00:00:00"/>
    <x v="309"/>
    <x v="0"/>
    <s v="Shogun"/>
    <x v="1"/>
  </r>
  <r>
    <n v="3"/>
    <m/>
    <s v="Szigetszentmiklós"/>
    <d v="2026-03-22T00:00:00"/>
    <x v="75"/>
    <x v="0"/>
    <s v="BHMSE"/>
    <x v="1"/>
  </r>
  <r>
    <n v="0"/>
    <m/>
    <s v="Szigetszentmiklós"/>
    <d v="2026-03-22T00:00:00"/>
    <x v="86"/>
    <x v="0"/>
    <s v="BHMSE"/>
    <x v="1"/>
  </r>
  <r>
    <n v="0"/>
    <m/>
    <s v="Szigetszentmiklós"/>
    <d v="2026-03-22T00:00:00"/>
    <x v="82"/>
    <x v="0"/>
    <s v="Siófok KSE"/>
    <x v="1"/>
  </r>
  <r>
    <n v="0"/>
    <m/>
    <s v="Szigetszentmiklós"/>
    <d v="2026-03-22T00:00:00"/>
    <x v="81"/>
    <x v="0"/>
    <s v="KSE Tarján"/>
    <x v="1"/>
  </r>
  <r>
    <n v="0"/>
    <m/>
    <s v="Szigetszentmiklós"/>
    <d v="2026-03-22T00:00:00"/>
    <x v="69"/>
    <x v="1"/>
    <s v="VTSE"/>
    <x v="1"/>
  </r>
  <r>
    <n v="0"/>
    <m/>
    <s v="Szigetszentmiklós"/>
    <d v="2026-03-22T00:00:00"/>
    <x v="80"/>
    <x v="0"/>
    <s v="KSE Tarján"/>
    <x v="1"/>
  </r>
  <r>
    <n v="0"/>
    <m/>
    <s v="Szigetszentmiklós"/>
    <d v="2026-03-22T00:00:00"/>
    <x v="299"/>
    <x v="0"/>
    <s v="Victory"/>
    <x v="1"/>
  </r>
  <r>
    <n v="0"/>
    <m/>
    <s v="Szigetszentmiklós"/>
    <d v="2026-03-22T00:00:00"/>
    <x v="310"/>
    <x v="0"/>
    <s v="Bendiák Dojo"/>
    <x v="1"/>
  </r>
  <r>
    <n v="0"/>
    <m/>
    <s v="Szigetszentmiklós"/>
    <d v="2026-03-22T00:00:00"/>
    <x v="301"/>
    <x v="0"/>
    <s v="Victory"/>
    <x v="1"/>
  </r>
  <r>
    <n v="4"/>
    <m/>
    <s v="Szigetszentmiklós"/>
    <d v="2026-03-22T00:00:00"/>
    <x v="89"/>
    <x v="0"/>
    <s v="BHMSE"/>
    <x v="1"/>
  </r>
  <r>
    <n v="0"/>
    <m/>
    <s v="Szigetszentmiklós"/>
    <d v="2026-03-22T00:00:00"/>
    <x v="90"/>
    <x v="0"/>
    <s v="Rokku KKSE"/>
    <x v="1"/>
  </r>
  <r>
    <n v="10"/>
    <m/>
    <s v="Szigetszentmiklós"/>
    <d v="2026-03-22T00:00:00"/>
    <x v="91"/>
    <x v="0"/>
    <s v="Rakurai"/>
    <x v="1"/>
  </r>
  <r>
    <n v="8"/>
    <m/>
    <s v="Szigetszentmiklós"/>
    <d v="2026-03-22T00:00:00"/>
    <x v="312"/>
    <x v="0"/>
    <s v="Kelemen-Team"/>
    <x v="1"/>
  </r>
  <r>
    <n v="6"/>
    <m/>
    <s v="Szigetszentmiklós"/>
    <d v="2026-03-22T00:00:00"/>
    <x v="92"/>
    <x v="0"/>
    <s v="Rokku KKSE"/>
    <x v="1"/>
  </r>
  <r>
    <n v="4"/>
    <m/>
    <s v="Szigetszentmiklós"/>
    <d v="2026-03-22T00:00:00"/>
    <x v="313"/>
    <x v="0"/>
    <s v="Kelemen-Team"/>
    <x v="1"/>
  </r>
  <r>
    <n v="0"/>
    <m/>
    <s v="Szigetszentmiklós"/>
    <d v="2026-03-22T00:00:00"/>
    <x v="314"/>
    <x v="0"/>
    <s v="Shogun"/>
    <x v="1"/>
  </r>
  <r>
    <n v="10"/>
    <m/>
    <s v="Szigetszentmiklós"/>
    <d v="2026-03-22T00:00:00"/>
    <x v="93"/>
    <x v="0"/>
    <s v="Meiyo dojo"/>
    <x v="1"/>
  </r>
  <r>
    <n v="8"/>
    <m/>
    <s v="Szigetszentmiklós"/>
    <d v="2026-03-22T00:00:00"/>
    <x v="95"/>
    <x v="0"/>
    <s v="Meiyo dojo"/>
    <x v="1"/>
  </r>
  <r>
    <n v="6"/>
    <m/>
    <s v="Szigetszentmiklós"/>
    <d v="2026-03-22T00:00:00"/>
    <x v="316"/>
    <x v="0"/>
    <s v="Kemecse SE"/>
    <x v="1"/>
  </r>
  <r>
    <n v="4"/>
    <m/>
    <s v="Szigetszentmiklós"/>
    <d v="2026-03-22T00:00:00"/>
    <x v="94"/>
    <x v="0"/>
    <s v="Meiyo dojo"/>
    <x v="1"/>
  </r>
  <r>
    <n v="0"/>
    <m/>
    <s v="Szigetszentmiklós"/>
    <d v="2026-03-22T00:00:00"/>
    <x v="490"/>
    <x v="0"/>
    <s v="Meiyo dojo"/>
    <x v="1"/>
  </r>
  <r>
    <n v="8"/>
    <m/>
    <s v="Szigetszentmiklós"/>
    <d v="2026-03-22T00:00:00"/>
    <x v="89"/>
    <x v="0"/>
    <s v="BHMSE"/>
    <x v="1"/>
  </r>
  <r>
    <n v="6"/>
    <m/>
    <s v="Szigetszentmiklós"/>
    <d v="2026-03-22T00:00:00"/>
    <x v="94"/>
    <x v="0"/>
    <s v="Meiyo dojo"/>
    <x v="1"/>
  </r>
  <r>
    <n v="4"/>
    <m/>
    <s v="Szigetszentmiklós"/>
    <d v="2026-03-22T00:00:00"/>
    <x v="98"/>
    <x v="0"/>
    <s v="BHMSE"/>
    <x v="1"/>
  </r>
  <r>
    <n v="4"/>
    <m/>
    <s v="Szigetszentmiklós"/>
    <d v="2026-03-22T00:00:00"/>
    <x v="93"/>
    <x v="0"/>
    <s v="Meiyo dojo"/>
    <x v="1"/>
  </r>
  <r>
    <n v="0"/>
    <s v="nem volt nyertes mérkőzése"/>
    <s v="Szigetszentmiklós"/>
    <d v="2026-03-22T00:00:00"/>
    <x v="316"/>
    <x v="0"/>
    <s v="Kemecse SE"/>
    <x v="1"/>
  </r>
  <r>
    <n v="0"/>
    <s v="nem volt nyertes mérkőzése"/>
    <s v="Szigetszentmiklós"/>
    <d v="2026-03-22T00:00:00"/>
    <x v="315"/>
    <x v="0"/>
    <s v="KYO Fighter SE"/>
    <x v="1"/>
  </r>
  <r>
    <n v="0"/>
    <s v="nem volt nyertes mérkőzése"/>
    <s v="Szigetszentmiklós"/>
    <d v="2026-03-22T00:00:00"/>
    <x v="96"/>
    <x v="0"/>
    <s v="KSE Tarján"/>
    <x v="1"/>
  </r>
  <r>
    <n v="2"/>
    <m/>
    <s v="Szigetszentmiklós"/>
    <d v="2026-03-22T00:00:00"/>
    <x v="97"/>
    <x v="0"/>
    <s v="Nagykátai Bushido SE"/>
    <x v="1"/>
  </r>
  <r>
    <n v="0"/>
    <m/>
    <s v="Szigetszentmiklós"/>
    <d v="2026-03-22T00:00:00"/>
    <x v="314"/>
    <x v="0"/>
    <s v="Shogun"/>
    <x v="1"/>
  </r>
  <r>
    <n v="0"/>
    <m/>
    <s v="Szigetszentmiklós"/>
    <d v="2026-03-22T00:00:00"/>
    <x v="92"/>
    <x v="0"/>
    <s v="Rokku KKSE"/>
    <x v="1"/>
  </r>
  <r>
    <n v="0"/>
    <m/>
    <s v="Szigetszentmiklós"/>
    <d v="2026-03-22T00:00:00"/>
    <x v="90"/>
    <x v="0"/>
    <s v="Rokku KKSE"/>
    <x v="1"/>
  </r>
  <r>
    <n v="0"/>
    <m/>
    <s v="Szigetszentmiklós"/>
    <d v="2026-03-22T00:00:00"/>
    <x v="317"/>
    <x v="0"/>
    <s v="Kelemen-Team"/>
    <x v="1"/>
  </r>
  <r>
    <n v="0"/>
    <m/>
    <s v="Szigetszentmiklós"/>
    <d v="2026-03-22T00:00:00"/>
    <x v="369"/>
    <x v="0"/>
    <s v="Bendiák Dojo"/>
    <x v="1"/>
  </r>
  <r>
    <n v="13"/>
    <m/>
    <s v="Szigetszentmiklós"/>
    <d v="2026-03-22T00:00:00"/>
    <x v="318"/>
    <x v="0"/>
    <s v="Shogun"/>
    <x v="1"/>
  </r>
  <r>
    <n v="10"/>
    <m/>
    <s v="Szigetszentmiklós"/>
    <d v="2026-03-22T00:00:00"/>
    <x v="319"/>
    <x v="0"/>
    <s v="Shogun"/>
    <x v="1"/>
  </r>
  <r>
    <n v="7"/>
    <m/>
    <s v="Szigetszentmiklós"/>
    <d v="2026-03-22T00:00:00"/>
    <x v="100"/>
    <x v="0"/>
    <s v="Nagykátai Bushido SE"/>
    <x v="1"/>
  </r>
  <r>
    <n v="7"/>
    <m/>
    <s v="Szigetszentmiklós"/>
    <d v="2026-03-22T00:00:00"/>
    <x v="99"/>
    <x v="0"/>
    <s v="Katana SE"/>
    <x v="1"/>
  </r>
  <r>
    <n v="4"/>
    <m/>
    <s v="Szigetszentmiklós"/>
    <d v="2026-03-22T00:00:00"/>
    <x v="320"/>
    <x v="0"/>
    <s v="Shogun"/>
    <x v="1"/>
  </r>
  <r>
    <n v="4"/>
    <m/>
    <s v="Szigetszentmiklós"/>
    <d v="2026-03-22T00:00:00"/>
    <x v="321"/>
    <x v="0"/>
    <s v="Victory"/>
    <x v="1"/>
  </r>
  <r>
    <n v="4"/>
    <m/>
    <s v="Szigetszentmiklós"/>
    <d v="2026-03-22T00:00:00"/>
    <x v="324"/>
    <x v="0"/>
    <s v="Shogun"/>
    <x v="1"/>
  </r>
  <r>
    <n v="4"/>
    <m/>
    <s v="Szigetszentmiklós"/>
    <d v="2026-03-22T00:00:00"/>
    <x v="323"/>
    <x v="0"/>
    <s v="Shogun"/>
    <x v="1"/>
  </r>
  <r>
    <n v="0"/>
    <m/>
    <s v="Szigetszentmiklós"/>
    <d v="2026-03-22T00:00:00"/>
    <x v="108"/>
    <x v="0"/>
    <s v="Katana SE"/>
    <x v="1"/>
  </r>
  <r>
    <n v="0"/>
    <m/>
    <s v="Szigetszentmiklós"/>
    <d v="2026-03-22T00:00:00"/>
    <x v="109"/>
    <x v="0"/>
    <s v="Castrum"/>
    <x v="1"/>
  </r>
  <r>
    <n v="0"/>
    <m/>
    <s v="Szigetszentmiklós"/>
    <d v="2026-03-22T00:00:00"/>
    <x v="105"/>
    <x v="0"/>
    <s v="Katana SE"/>
    <x v="1"/>
  </r>
  <r>
    <n v="0"/>
    <m/>
    <s v="Szigetszentmiklós"/>
    <d v="2026-03-22T00:00:00"/>
    <x v="326"/>
    <x v="0"/>
    <s v="Kelemen-Team"/>
    <x v="1"/>
  </r>
  <r>
    <n v="0"/>
    <m/>
    <s v="Szigetszentmiklós"/>
    <d v="2026-03-22T00:00:00"/>
    <x v="102"/>
    <x v="1"/>
    <s v="VTSE"/>
    <x v="1"/>
  </r>
  <r>
    <n v="0"/>
    <m/>
    <s v="Szigetszentmiklós"/>
    <d v="2026-03-22T00:00:00"/>
    <x v="322"/>
    <x v="0"/>
    <s v="KYO Fighter SE"/>
    <x v="1"/>
  </r>
  <r>
    <n v="0"/>
    <m/>
    <s v="Szigetszentmiklós"/>
    <d v="2026-03-22T00:00:00"/>
    <x v="104"/>
    <x v="0"/>
    <s v="BHMSE"/>
    <x v="1"/>
  </r>
  <r>
    <n v="0"/>
    <m/>
    <s v="Szigetszentmiklós"/>
    <d v="2026-03-22T00:00:00"/>
    <x v="325"/>
    <x v="0"/>
    <s v="Hajdúszoboszló"/>
    <x v="1"/>
  </r>
  <r>
    <n v="10"/>
    <m/>
    <s v="Szigetszentmiklós"/>
    <d v="2026-03-22T00:00:00"/>
    <x v="332"/>
    <x v="0"/>
    <s v="Keizoku SE"/>
    <x v="1"/>
  </r>
  <r>
    <n v="8"/>
    <m/>
    <s v="Szigetszentmiklós"/>
    <d v="2026-03-22T00:00:00"/>
    <x v="329"/>
    <x v="0"/>
    <s v="Buke Reikon HRSE"/>
    <x v="1"/>
  </r>
  <r>
    <n v="6"/>
    <m/>
    <s v="Szigetszentmiklós"/>
    <d v="2026-03-22T00:00:00"/>
    <x v="111"/>
    <x v="0"/>
    <s v="Katana SE"/>
    <x v="1"/>
  </r>
  <r>
    <n v="6"/>
    <m/>
    <s v="Szigetszentmiklós"/>
    <d v="2026-03-22T00:00:00"/>
    <x v="115"/>
    <x v="0"/>
    <s v="Griff SE"/>
    <x v="1"/>
  </r>
  <r>
    <n v="0"/>
    <s v="nem volt nyertes mérkőzése"/>
    <s v="Szigetszentmiklós"/>
    <d v="2026-03-22T00:00:00"/>
    <x v="110"/>
    <x v="0"/>
    <s v="Katana SE"/>
    <x v="1"/>
  </r>
  <r>
    <n v="3"/>
    <m/>
    <s v="Szigetszentmiklós"/>
    <d v="2026-03-22T00:00:00"/>
    <x v="330"/>
    <x v="0"/>
    <s v="Shogun"/>
    <x v="1"/>
  </r>
  <r>
    <n v="3"/>
    <m/>
    <s v="Szigetszentmiklós"/>
    <d v="2026-03-22T00:00:00"/>
    <x v="114"/>
    <x v="0"/>
    <s v="Nagykátai Bushido SE"/>
    <x v="1"/>
  </r>
  <r>
    <n v="0"/>
    <s v="nem volt nyertes mérkőzése"/>
    <s v="Szigetszentmiklós"/>
    <d v="2026-03-22T00:00:00"/>
    <x v="331"/>
    <x v="0"/>
    <s v="Bátor KSE"/>
    <x v="1"/>
  </r>
  <r>
    <n v="0"/>
    <m/>
    <s v="Szigetszentmiklós"/>
    <d v="2026-03-22T00:00:00"/>
    <x v="116"/>
    <x v="0"/>
    <s v="BHMSE"/>
    <x v="1"/>
  </r>
  <r>
    <n v="0"/>
    <m/>
    <s v="Szigetszentmiklós"/>
    <d v="2026-03-22T00:00:00"/>
    <x v="112"/>
    <x v="0"/>
    <s v="KKE - Spartacus"/>
    <x v="1"/>
  </r>
  <r>
    <n v="0"/>
    <m/>
    <s v="Szigetszentmiklós"/>
    <d v="2026-03-22T00:00:00"/>
    <x v="113"/>
    <x v="0"/>
    <s v="Rakurai"/>
    <x v="1"/>
  </r>
  <r>
    <n v="0"/>
    <m/>
    <s v="Szigetszentmiklós"/>
    <d v="2026-03-22T00:00:00"/>
    <x v="333"/>
    <x v="0"/>
    <s v="Keizoku SE"/>
    <x v="1"/>
  </r>
  <r>
    <n v="8"/>
    <m/>
    <s v="Szigetszentmiklós"/>
    <d v="2026-03-22T00:00:00"/>
    <x v="117"/>
    <x v="0"/>
    <s v="KSE Tarján"/>
    <x v="1"/>
  </r>
  <r>
    <n v="6"/>
    <m/>
    <s v="Szigetszentmiklós"/>
    <d v="2026-03-22T00:00:00"/>
    <x v="118"/>
    <x v="0"/>
    <s v="Griff SE"/>
    <x v="1"/>
  </r>
  <r>
    <n v="4"/>
    <m/>
    <s v="Szigetszentmiklós"/>
    <d v="2026-03-22T00:00:00"/>
    <x v="123"/>
    <x v="0"/>
    <s v="Rokku KKSE"/>
    <x v="1"/>
  </r>
  <r>
    <n v="0"/>
    <m/>
    <s v="Szigetszentmiklós"/>
    <d v="2026-03-22T00:00:00"/>
    <x v="120"/>
    <x v="0"/>
    <s v="Kamikaze S"/>
    <x v="1"/>
  </r>
  <r>
    <n v="10"/>
    <m/>
    <s v="Szigetszentmiklós"/>
    <d v="2026-03-22T00:00:00"/>
    <x v="124"/>
    <x v="0"/>
    <s v="BHMSE"/>
    <x v="1"/>
  </r>
  <r>
    <n v="8"/>
    <m/>
    <s v="Szigetszentmiklós"/>
    <d v="2026-03-22T00:00:00"/>
    <x v="334"/>
    <x v="0"/>
    <s v="Kelemen-Team"/>
    <x v="1"/>
  </r>
  <r>
    <n v="6"/>
    <m/>
    <s v="Szigetszentmiklós"/>
    <d v="2026-03-22T00:00:00"/>
    <x v="125"/>
    <x v="0"/>
    <s v="Nagykátai Bushido SE"/>
    <x v="1"/>
  </r>
  <r>
    <n v="6"/>
    <m/>
    <s v="Szigetszentmiklós"/>
    <d v="2026-03-22T00:00:00"/>
    <x v="335"/>
    <x v="0"/>
    <s v="Shogun"/>
    <x v="1"/>
  </r>
  <r>
    <n v="3"/>
    <m/>
    <s v="Szigetszentmiklós"/>
    <d v="2026-03-22T00:00:00"/>
    <x v="341"/>
    <x v="0"/>
    <s v="Derecske BUDO"/>
    <x v="1"/>
  </r>
  <r>
    <n v="3"/>
    <m/>
    <s v="Szigetszentmiklós"/>
    <d v="2026-03-22T00:00:00"/>
    <x v="134"/>
    <x v="0"/>
    <s v="BHMSE"/>
    <x v="1"/>
  </r>
  <r>
    <n v="3"/>
    <m/>
    <s v="Szigetszentmiklós"/>
    <d v="2026-03-22T00:00:00"/>
    <x v="336"/>
    <x v="0"/>
    <s v="Buke Reikon HRSE"/>
    <x v="1"/>
  </r>
  <r>
    <n v="3"/>
    <m/>
    <s v="Szigetszentmiklós"/>
    <d v="2026-03-22T00:00:00"/>
    <x v="343"/>
    <x v="0"/>
    <s v="Buke Reikon HRSE"/>
    <x v="1"/>
  </r>
  <r>
    <n v="0"/>
    <m/>
    <s v="Szigetszentmiklós"/>
    <d v="2026-03-22T00:00:00"/>
    <x v="339"/>
    <x v="0"/>
    <s v="Buke Reikon HRSE"/>
    <x v="1"/>
  </r>
  <r>
    <n v="0"/>
    <m/>
    <s v="Szigetszentmiklós"/>
    <d v="2026-03-22T00:00:00"/>
    <x v="126"/>
    <x v="0"/>
    <s v="WARRIORS TEAM"/>
    <x v="1"/>
  </r>
  <r>
    <n v="0"/>
    <m/>
    <s v="Szigetszentmiklós"/>
    <d v="2026-03-22T00:00:00"/>
    <x v="338"/>
    <x v="0"/>
    <s v="Buke Reikon HRSE"/>
    <x v="1"/>
  </r>
  <r>
    <n v="0"/>
    <m/>
    <s v="Szigetszentmiklós"/>
    <d v="2026-03-22T00:00:00"/>
    <x v="340"/>
    <x v="0"/>
    <s v="Derecske BUDO"/>
    <x v="1"/>
  </r>
  <r>
    <n v="0"/>
    <m/>
    <s v="Szigetszentmiklós"/>
    <d v="2026-03-22T00:00:00"/>
    <x v="337"/>
    <x v="0"/>
    <s v="Buke Reikon HRSE"/>
    <x v="1"/>
  </r>
  <r>
    <n v="0"/>
    <m/>
    <s v="Szigetszentmiklós"/>
    <d v="2026-03-22T00:00:00"/>
    <x v="344"/>
    <x v="0"/>
    <s v="Bátor KSE"/>
    <x v="1"/>
  </r>
  <r>
    <n v="10"/>
    <m/>
    <s v="Szigetszentmiklós"/>
    <d v="2026-03-22T00:00:00"/>
    <x v="128"/>
    <x v="0"/>
    <s v="Ippon KKSE"/>
    <x v="1"/>
  </r>
  <r>
    <n v="8"/>
    <m/>
    <s v="Szigetszentmiklós"/>
    <d v="2026-03-22T00:00:00"/>
    <x v="33"/>
    <x v="0"/>
    <s v="Shogun"/>
    <x v="1"/>
  </r>
  <r>
    <n v="6"/>
    <m/>
    <s v="Szigetszentmiklós"/>
    <d v="2026-03-22T00:00:00"/>
    <x v="345"/>
    <x v="0"/>
    <s v="Victory"/>
    <x v="1"/>
  </r>
  <r>
    <n v="6"/>
    <m/>
    <s v="Szigetszentmiklós"/>
    <d v="2026-03-22T00:00:00"/>
    <x v="348"/>
    <x v="0"/>
    <s v="Shogun"/>
    <x v="1"/>
  </r>
  <r>
    <n v="3"/>
    <m/>
    <s v="Szigetszentmiklós"/>
    <d v="2026-03-22T00:00:00"/>
    <x v="347"/>
    <x v="0"/>
    <s v="Shogun"/>
    <x v="1"/>
  </r>
  <r>
    <n v="0"/>
    <s v="nem volt nyertes mérkőzése"/>
    <s v="Szigetszentmiklós"/>
    <d v="2026-03-22T00:00:00"/>
    <x v="129"/>
    <x v="0"/>
    <s v="BHMSE"/>
    <x v="1"/>
  </r>
  <r>
    <n v="0"/>
    <s v="nem volt nyertes mérkőzése"/>
    <s v="Szigetszentmiklós"/>
    <d v="2026-03-22T00:00:00"/>
    <x v="346"/>
    <x v="0"/>
    <s v="Bátor KSE"/>
    <x v="1"/>
  </r>
  <r>
    <n v="3"/>
    <m/>
    <s v="Szigetszentmiklós"/>
    <d v="2026-03-22T00:00:00"/>
    <x v="351"/>
    <x v="0"/>
    <s v="Kelemen-Team"/>
    <x v="1"/>
  </r>
  <r>
    <n v="0"/>
    <m/>
    <s v="Szigetszentmiklós"/>
    <d v="2026-03-22T00:00:00"/>
    <x v="352"/>
    <x v="0"/>
    <s v="Victory"/>
    <x v="1"/>
  </r>
  <r>
    <n v="0"/>
    <m/>
    <s v="Szigetszentmiklós"/>
    <d v="2026-03-22T00:00:00"/>
    <x v="349"/>
    <x v="0"/>
    <s v="Victory"/>
    <x v="1"/>
  </r>
  <r>
    <n v="0"/>
    <m/>
    <s v="Szigetszentmiklós"/>
    <d v="2026-03-22T00:00:00"/>
    <x v="491"/>
    <x v="0"/>
    <s v="Rakurai"/>
    <x v="1"/>
  </r>
  <r>
    <n v="0"/>
    <m/>
    <s v="Szigetszentmiklós"/>
    <d v="2026-03-22T00:00:00"/>
    <x v="350"/>
    <x v="0"/>
    <s v="Nozomu Dojo"/>
    <x v="1"/>
  </r>
  <r>
    <n v="10"/>
    <m/>
    <s v="Szigetszentmiklós"/>
    <d v="2026-03-22T00:00:00"/>
    <x v="333"/>
    <x v="0"/>
    <s v="Keizoku SE"/>
    <x v="1"/>
  </r>
  <r>
    <n v="7"/>
    <m/>
    <s v="Szigetszentmiklós"/>
    <d v="2026-03-22T00:00:00"/>
    <x v="104"/>
    <x v="0"/>
    <s v="BHMSE"/>
    <x v="1"/>
  </r>
  <r>
    <n v="5"/>
    <m/>
    <s v="Szigetszentmiklós"/>
    <d v="2026-03-22T00:00:00"/>
    <x v="319"/>
    <x v="0"/>
    <s v="Shogun"/>
    <x v="1"/>
  </r>
  <r>
    <n v="5"/>
    <m/>
    <s v="Szigetszentmiklós"/>
    <d v="2026-03-22T00:00:00"/>
    <x v="330"/>
    <x v="0"/>
    <s v="Shogun"/>
    <x v="1"/>
  </r>
  <r>
    <n v="3"/>
    <m/>
    <s v="Szigetszentmiklós"/>
    <d v="2026-03-22T00:00:00"/>
    <x v="133"/>
    <x v="0"/>
    <s v="Rokku KKSE"/>
    <x v="1"/>
  </r>
  <r>
    <n v="3"/>
    <m/>
    <s v="Szigetszentmiklós"/>
    <d v="2026-03-22T00:00:00"/>
    <x v="324"/>
    <x v="0"/>
    <s v="Shogun"/>
    <x v="1"/>
  </r>
  <r>
    <n v="3"/>
    <m/>
    <s v="Szigetszentmiklós"/>
    <d v="2026-03-22T00:00:00"/>
    <x v="132"/>
    <x v="0"/>
    <s v="BHMSE"/>
    <x v="1"/>
  </r>
  <r>
    <n v="3"/>
    <m/>
    <s v="Szigetszentmiklós"/>
    <d v="2026-03-22T00:00:00"/>
    <x v="131"/>
    <x v="0"/>
    <s v="Shinkyo SE"/>
    <x v="1"/>
  </r>
  <r>
    <n v="0"/>
    <m/>
    <s v="Szigetszentmiklós"/>
    <d v="2026-03-22T00:00:00"/>
    <x v="335"/>
    <x v="0"/>
    <s v="Shogun"/>
    <x v="1"/>
  </r>
  <r>
    <n v="0"/>
    <m/>
    <s v="Szigetszentmiklós"/>
    <d v="2026-03-22T00:00:00"/>
    <x v="117"/>
    <x v="0"/>
    <s v="KSE Tarján"/>
    <x v="1"/>
  </r>
  <r>
    <n v="0"/>
    <m/>
    <s v="Szigetszentmiklós"/>
    <d v="2026-03-22T00:00:00"/>
    <x v="332"/>
    <x v="0"/>
    <s v="Keizoku SE"/>
    <x v="1"/>
  </r>
  <r>
    <n v="0"/>
    <m/>
    <s v="Szigetszentmiklós"/>
    <d v="2026-03-22T00:00:00"/>
    <x v="116"/>
    <x v="0"/>
    <s v="BHMSE"/>
    <x v="1"/>
  </r>
  <r>
    <n v="0"/>
    <m/>
    <s v="Szigetszentmiklós"/>
    <d v="2026-03-22T00:00:00"/>
    <x v="113"/>
    <x v="0"/>
    <s v="Rakurai"/>
    <x v="1"/>
  </r>
  <r>
    <n v="0"/>
    <m/>
    <s v="Szigetszentmiklós"/>
    <d v="2026-03-22T00:00:00"/>
    <x v="134"/>
    <x v="0"/>
    <s v="BHMSE"/>
    <x v="1"/>
  </r>
  <r>
    <n v="0"/>
    <m/>
    <s v="Szigetszentmiklós"/>
    <d v="2026-03-22T00:00:00"/>
    <x v="124"/>
    <x v="0"/>
    <s v="BHMSE"/>
    <x v="1"/>
  </r>
  <r>
    <n v="0"/>
    <m/>
    <s v="Szigetszentmiklós"/>
    <d v="2026-03-22T00:00:00"/>
    <x v="347"/>
    <x v="0"/>
    <s v="Shogun"/>
    <x v="1"/>
  </r>
  <r>
    <n v="10"/>
    <m/>
    <s v="Szigetszentmiklós"/>
    <d v="2026-03-22T00:00:00"/>
    <x v="138"/>
    <x v="0"/>
    <s v="BHMSE"/>
    <x v="1"/>
  </r>
  <r>
    <n v="8"/>
    <m/>
    <s v="Szigetszentmiklós"/>
    <d v="2026-03-22T00:00:00"/>
    <x v="151"/>
    <x v="0"/>
    <s v="BHMSE"/>
    <x v="1"/>
  </r>
  <r>
    <n v="6"/>
    <m/>
    <s v="Szigetszentmiklós"/>
    <d v="2026-03-22T00:00:00"/>
    <x v="358"/>
    <x v="0"/>
    <s v="Shogun"/>
    <x v="1"/>
  </r>
  <r>
    <n v="6"/>
    <m/>
    <s v="Szigetszentmiklós"/>
    <d v="2026-03-22T00:00:00"/>
    <x v="140"/>
    <x v="0"/>
    <s v="Rakurai"/>
    <x v="1"/>
  </r>
  <r>
    <n v="3"/>
    <m/>
    <s v="Szigetszentmiklós"/>
    <d v="2026-03-22T00:00:00"/>
    <x v="152"/>
    <x v="0"/>
    <s v="Rakurai"/>
    <x v="1"/>
  </r>
  <r>
    <n v="0"/>
    <s v="nem volt nyertes mérkőzése"/>
    <s v="Szigetszentmiklós"/>
    <d v="2026-03-22T00:00:00"/>
    <x v="356"/>
    <x v="0"/>
    <s v="Hajdúszoboszló"/>
    <x v="1"/>
  </r>
  <r>
    <n v="0"/>
    <s v="nem volt nyertes mérkőzése"/>
    <s v="Szigetszentmiklós"/>
    <d v="2026-03-22T00:00:00"/>
    <x v="357"/>
    <x v="0"/>
    <s v="Victory"/>
    <x v="1"/>
  </r>
  <r>
    <n v="0"/>
    <s v="nem volt nyertes mérkőzése"/>
    <s v="Szigetszentmiklós"/>
    <d v="2026-03-22T00:00:00"/>
    <x v="139"/>
    <x v="0"/>
    <s v="Griff SE"/>
    <x v="1"/>
  </r>
  <r>
    <n v="0"/>
    <m/>
    <s v="Szigetszentmiklós"/>
    <d v="2026-03-22T00:00:00"/>
    <x v="370"/>
    <x v="0"/>
    <s v="Kemecse SE"/>
    <x v="1"/>
  </r>
  <r>
    <n v="0"/>
    <m/>
    <s v="Szigetszentmiklós"/>
    <d v="2026-03-22T00:00:00"/>
    <x v="366"/>
    <x v="0"/>
    <s v="Kemecse SE"/>
    <x v="1"/>
  </r>
  <r>
    <n v="0"/>
    <m/>
    <s v="Szigetszentmiklós"/>
    <d v="2026-03-22T00:00:00"/>
    <x v="492"/>
    <x v="0"/>
    <s v="Kemecse SE"/>
    <x v="1"/>
  </r>
  <r>
    <n v="0"/>
    <m/>
    <s v="Szigetszentmiklós"/>
    <d v="2026-03-22T00:00:00"/>
    <x v="359"/>
    <x v="0"/>
    <s v="Victory"/>
    <x v="1"/>
  </r>
  <r>
    <n v="0"/>
    <m/>
    <s v="Szigetszentmiklós"/>
    <d v="2026-03-22T00:00:00"/>
    <x v="360"/>
    <x v="0"/>
    <s v="Kisvárda KKDOSC"/>
    <x v="1"/>
  </r>
  <r>
    <n v="0"/>
    <m/>
    <s v="Szigetszentmiklós"/>
    <d v="2026-03-22T00:00:00"/>
    <x v="146"/>
    <x v="0"/>
    <s v="BHMSE"/>
    <x v="1"/>
  </r>
  <r>
    <n v="10"/>
    <m/>
    <s v="Szigetszentmiklós"/>
    <d v="2026-03-22T00:00:00"/>
    <x v="361"/>
    <x v="0"/>
    <s v="Kelemen-Team"/>
    <x v="1"/>
  </r>
  <r>
    <n v="8"/>
    <m/>
    <s v="Szigetszentmiklós"/>
    <d v="2026-03-22T00:00:00"/>
    <x v="493"/>
    <x v="0"/>
    <s v="Bátor KSE"/>
    <x v="1"/>
  </r>
  <r>
    <n v="6"/>
    <m/>
    <s v="Szigetszentmiklós"/>
    <d v="2026-03-22T00:00:00"/>
    <x v="142"/>
    <x v="1"/>
    <s v="Genbu dojo"/>
    <x v="1"/>
  </r>
  <r>
    <n v="6"/>
    <m/>
    <s v="Szigetszentmiklós"/>
    <d v="2026-03-22T00:00:00"/>
    <x v="494"/>
    <x v="0"/>
    <s v="Főnix Dojo"/>
    <x v="1"/>
  </r>
  <r>
    <n v="0"/>
    <s v="nem volt nyertes mérkőzése"/>
    <s v="Szigetszentmiklós"/>
    <d v="2026-03-22T00:00:00"/>
    <x v="153"/>
    <x v="0"/>
    <s v="BHMSE"/>
    <x v="1"/>
  </r>
  <r>
    <n v="0"/>
    <s v="nem volt nyertes mérkőzése"/>
    <s v="Szigetszentmiklós"/>
    <d v="2026-03-22T00:00:00"/>
    <x v="141"/>
    <x v="1"/>
    <s v="Genbu dojo"/>
    <x v="1"/>
  </r>
  <r>
    <n v="3"/>
    <m/>
    <s v="Szigetszentmiklós"/>
    <d v="2026-03-22T00:00:00"/>
    <x v="362"/>
    <x v="0"/>
    <s v="ShinzóDojo"/>
    <x v="1"/>
  </r>
  <r>
    <n v="3"/>
    <m/>
    <s v="Szigetszentmiklós"/>
    <d v="2026-03-22T00:00:00"/>
    <x v="363"/>
    <x v="0"/>
    <s v="Shogun"/>
    <x v="1"/>
  </r>
  <r>
    <n v="0"/>
    <m/>
    <s v="Szigetszentmiklós"/>
    <d v="2026-03-22T00:00:00"/>
    <x v="143"/>
    <x v="0"/>
    <s v="WARRIORS TEAM"/>
    <x v="1"/>
  </r>
  <r>
    <n v="0"/>
    <m/>
    <s v="Szigetszentmiklós"/>
    <d v="2026-03-22T00:00:00"/>
    <x v="495"/>
    <x v="0"/>
    <s v="Rokku KKSE"/>
    <x v="1"/>
  </r>
  <r>
    <n v="0"/>
    <m/>
    <s v="Szigetszentmiklós"/>
    <d v="2026-03-22T00:00:00"/>
    <x v="496"/>
    <x v="0"/>
    <s v="Kisvárda KKDOSC"/>
    <x v="1"/>
  </r>
  <r>
    <n v="0"/>
    <m/>
    <s v="Szigetszentmiklós"/>
    <d v="2026-03-22T00:00:00"/>
    <x v="365"/>
    <x v="0"/>
    <s v="Victory"/>
    <x v="1"/>
  </r>
  <r>
    <n v="0"/>
    <m/>
    <s v="Szigetszentmiklós"/>
    <d v="2026-03-22T00:00:00"/>
    <x v="150"/>
    <x v="0"/>
    <s v="KSE Tarján"/>
    <x v="1"/>
  </r>
  <r>
    <n v="0"/>
    <m/>
    <s v="Szigetszentmiklós"/>
    <d v="2026-03-22T00:00:00"/>
    <x v="144"/>
    <x v="1"/>
    <s v="VTSE"/>
    <x v="1"/>
  </r>
  <r>
    <n v="0"/>
    <m/>
    <s v="Szigetszentmiklós"/>
    <d v="2026-03-22T00:00:00"/>
    <x v="145"/>
    <x v="0"/>
    <s v="Nagykátai Bushido SE"/>
    <x v="1"/>
  </r>
  <r>
    <n v="0"/>
    <m/>
    <s v="Szigetszentmiklós"/>
    <d v="2026-03-22T00:00:00"/>
    <x v="147"/>
    <x v="0"/>
    <s v="Főnix Dojo"/>
    <x v="1"/>
  </r>
  <r>
    <n v="0"/>
    <m/>
    <s v="Szigetszentmiklós"/>
    <d v="2026-03-22T00:00:00"/>
    <x v="149"/>
    <x v="0"/>
    <s v="Meiyo dojo"/>
    <x v="1"/>
  </r>
  <r>
    <n v="8"/>
    <m/>
    <s v="Szigetszentmiklós"/>
    <d v="2026-03-22T00:00:00"/>
    <x v="365"/>
    <x v="0"/>
    <s v="Victory"/>
    <x v="1"/>
  </r>
  <r>
    <n v="6"/>
    <m/>
    <s v="Szigetszentmiklós"/>
    <d v="2026-03-22T00:00:00"/>
    <x v="359"/>
    <x v="0"/>
    <s v="Victory"/>
    <x v="1"/>
  </r>
  <r>
    <n v="4"/>
    <m/>
    <s v="Szigetszentmiklós"/>
    <d v="2026-03-22T00:00:00"/>
    <x v="364"/>
    <x v="0"/>
    <s v="Kagami"/>
    <x v="1"/>
  </r>
  <r>
    <n v="4"/>
    <m/>
    <s v="Szigetszentmiklós"/>
    <d v="2026-03-22T00:00:00"/>
    <x v="138"/>
    <x v="0"/>
    <s v="BHMSE"/>
    <x v="1"/>
  </r>
  <r>
    <n v="2"/>
    <m/>
    <s v="Szigetszentmiklós"/>
    <d v="2026-03-22T00:00:00"/>
    <x v="370"/>
    <x v="0"/>
    <s v="Kemecse SE"/>
    <x v="1"/>
  </r>
  <r>
    <n v="2"/>
    <m/>
    <s v="Szigetszentmiklós"/>
    <d v="2026-03-22T00:00:00"/>
    <x v="151"/>
    <x v="0"/>
    <s v="BHMSE"/>
    <x v="1"/>
  </r>
  <r>
    <n v="2"/>
    <m/>
    <s v="Szigetszentmiklós"/>
    <d v="2026-03-22T00:00:00"/>
    <x v="368"/>
    <x v="0"/>
    <s v="Kelemen-Team"/>
    <x v="1"/>
  </r>
  <r>
    <n v="2"/>
    <m/>
    <s v="Szigetszentmiklós"/>
    <d v="2026-03-22T00:00:00"/>
    <x v="149"/>
    <x v="0"/>
    <s v="Meiyo dojo"/>
    <x v="1"/>
  </r>
  <r>
    <n v="0"/>
    <m/>
    <s v="Szigetszentmiklós"/>
    <d v="2026-03-22T00:00:00"/>
    <x v="360"/>
    <x v="0"/>
    <s v="Kisvárda KKDOSC"/>
    <x v="1"/>
  </r>
  <r>
    <n v="0"/>
    <m/>
    <s v="Szigetszentmiklós"/>
    <d v="2026-03-22T00:00:00"/>
    <x v="366"/>
    <x v="0"/>
    <s v="Kemecse SE"/>
    <x v="1"/>
  </r>
  <r>
    <n v="0"/>
    <m/>
    <s v="Szigetszentmiklós"/>
    <d v="2026-03-22T00:00:00"/>
    <x v="154"/>
    <x v="1"/>
    <s v="Beledi KÉSZ SE"/>
    <x v="1"/>
  </r>
  <r>
    <n v="0"/>
    <m/>
    <s v="Szigetszentmiklós"/>
    <d v="2026-03-22T00:00:00"/>
    <x v="358"/>
    <x v="0"/>
    <s v="Shogun"/>
    <x v="1"/>
  </r>
  <r>
    <n v="0"/>
    <m/>
    <s v="Szigetszentmiklós"/>
    <d v="2026-03-22T00:00:00"/>
    <x v="152"/>
    <x v="0"/>
    <s v="Rakurai"/>
    <x v="1"/>
  </r>
  <r>
    <n v="0"/>
    <m/>
    <s v="Szigetszentmiklós"/>
    <d v="2026-03-22T00:00:00"/>
    <x v="146"/>
    <x v="0"/>
    <s v="BHMSE"/>
    <x v="1"/>
  </r>
  <r>
    <n v="0"/>
    <m/>
    <s v="Szigetszentmiklós"/>
    <d v="2026-03-22T00:00:00"/>
    <x v="367"/>
    <x v="0"/>
    <s v="Shogun"/>
    <x v="1"/>
  </r>
  <r>
    <n v="0"/>
    <m/>
    <s v="Szigetszentmiklós"/>
    <d v="2026-03-22T00:00:00"/>
    <x v="153"/>
    <x v="0"/>
    <s v="BHMSE"/>
    <x v="1"/>
  </r>
  <r>
    <n v="8"/>
    <m/>
    <s v="Szigetszentmiklós"/>
    <d v="2026-03-22T00:00:00"/>
    <x v="372"/>
    <x v="0"/>
    <s v="KHSE"/>
    <x v="1"/>
  </r>
  <r>
    <n v="6"/>
    <m/>
    <s v="Szigetszentmiklós"/>
    <d v="2026-03-22T00:00:00"/>
    <x v="373"/>
    <x v="0"/>
    <s v="Victory"/>
    <x v="1"/>
  </r>
  <r>
    <n v="4"/>
    <m/>
    <s v="Szigetszentmiklós"/>
    <d v="2026-03-22T00:00:00"/>
    <x v="374"/>
    <x v="0"/>
    <s v="KYO Fighter SE"/>
    <x v="1"/>
  </r>
  <r>
    <n v="0"/>
    <s v="nem volt nyertes mérkőzése"/>
    <s v="Szigetszentmiklós"/>
    <d v="2026-03-22T00:00:00"/>
    <x v="156"/>
    <x v="0"/>
    <s v="BHMSE"/>
    <x v="1"/>
  </r>
  <r>
    <n v="0"/>
    <m/>
    <s v="Szigetszentmiklós"/>
    <d v="2026-03-22T00:00:00"/>
    <x v="497"/>
    <x v="0"/>
    <s v="Hajdúszoboszló"/>
    <x v="1"/>
  </r>
  <r>
    <n v="0"/>
    <m/>
    <s v="Szigetszentmiklós"/>
    <d v="2026-03-22T00:00:00"/>
    <x v="375"/>
    <x v="0"/>
    <s v="KHSE"/>
    <x v="1"/>
  </r>
  <r>
    <n v="0"/>
    <m/>
    <s v="Szigetszentmiklós"/>
    <d v="2026-03-22T00:00:00"/>
    <x v="189"/>
    <x v="0"/>
    <s v="Rakurai"/>
    <x v="1"/>
  </r>
  <r>
    <n v="10"/>
    <m/>
    <s v="Szigetszentmiklós"/>
    <d v="2026-03-22T00:00:00"/>
    <x v="158"/>
    <x v="0"/>
    <s v="KKE - Spartacus"/>
    <x v="1"/>
  </r>
  <r>
    <n v="8"/>
    <m/>
    <s v="Szigetszentmiklós"/>
    <d v="2026-03-22T00:00:00"/>
    <x v="376"/>
    <x v="0"/>
    <s v="Shogun"/>
    <x v="1"/>
  </r>
  <r>
    <n v="6"/>
    <m/>
    <s v="Szigetszentmiklós"/>
    <d v="2026-03-22T00:00:00"/>
    <x v="377"/>
    <x v="0"/>
    <s v="KHSE"/>
    <x v="1"/>
  </r>
  <r>
    <n v="6"/>
    <m/>
    <s v="Szigetszentmiklós"/>
    <d v="2026-03-22T00:00:00"/>
    <x v="159"/>
    <x v="0"/>
    <s v="Rakurai"/>
    <x v="1"/>
  </r>
  <r>
    <n v="0"/>
    <s v="nem volt nyertes mérkőzése"/>
    <s v="Szigetszentmiklós"/>
    <d v="2026-03-22T00:00:00"/>
    <x v="161"/>
    <x v="0"/>
    <s v="Siófok KSE"/>
    <x v="1"/>
  </r>
  <r>
    <n v="0"/>
    <s v="nem volt nyertes mérkőzése"/>
    <s v="Szigetszentmiklós"/>
    <d v="2026-03-22T00:00:00"/>
    <x v="498"/>
    <x v="0"/>
    <s v="Rakurai"/>
    <x v="1"/>
  </r>
  <r>
    <n v="0"/>
    <s v="nem volt nyertes mérkőzése"/>
    <s v="Szigetszentmiklós"/>
    <d v="2026-03-22T00:00:00"/>
    <x v="499"/>
    <x v="0"/>
    <s v="Victory"/>
    <x v="1"/>
  </r>
  <r>
    <n v="0"/>
    <s v="nem volt nyertes mérkőzése"/>
    <s v="Szigetszentmiklós"/>
    <d v="2026-03-22T00:00:00"/>
    <x v="160"/>
    <x v="1"/>
    <s v="VTSE"/>
    <x v="1"/>
  </r>
  <r>
    <n v="10"/>
    <m/>
    <s v="Szigetszentmiklós"/>
    <d v="2026-03-22T00:00:00"/>
    <x v="380"/>
    <x v="0"/>
    <s v="Shogun"/>
    <x v="1"/>
  </r>
  <r>
    <n v="8"/>
    <m/>
    <s v="Szigetszentmiklós"/>
    <d v="2026-03-22T00:00:00"/>
    <x v="163"/>
    <x v="0"/>
    <s v="KKE - Spartacus"/>
    <x v="1"/>
  </r>
  <r>
    <n v="6"/>
    <m/>
    <s v="Szigetszentmiklós"/>
    <d v="2026-03-22T00:00:00"/>
    <x v="162"/>
    <x v="0"/>
    <s v="KSE Tarján"/>
    <x v="1"/>
  </r>
  <r>
    <n v="6"/>
    <m/>
    <s v="Szigetszentmiklós"/>
    <d v="2026-03-22T00:00:00"/>
    <x v="379"/>
    <x v="0"/>
    <s v="Bendiák Dojo"/>
    <x v="1"/>
  </r>
  <r>
    <n v="3"/>
    <m/>
    <s v="Szigetszentmiklós"/>
    <d v="2026-03-22T00:00:00"/>
    <x v="382"/>
    <x v="0"/>
    <s v="Bátor KSE"/>
    <x v="1"/>
  </r>
  <r>
    <n v="3"/>
    <m/>
    <s v="Szigetszentmiklós"/>
    <d v="2026-03-22T00:00:00"/>
    <x v="381"/>
    <x v="1"/>
    <s v="Borza Dojo"/>
    <x v="1"/>
  </r>
  <r>
    <n v="0"/>
    <s v="nem volt nyertes mérkőzése"/>
    <s v="Szigetszentmiklós"/>
    <d v="2026-03-22T00:00:00"/>
    <x v="167"/>
    <x v="1"/>
    <s v="Ichiro Dojo"/>
    <x v="1"/>
  </r>
  <r>
    <n v="0"/>
    <s v="nem volt nyertes mérkőzése"/>
    <s v="Szigetszentmiklós"/>
    <d v="2026-03-22T00:00:00"/>
    <x v="165"/>
    <x v="0"/>
    <s v="Rakurai"/>
    <x v="1"/>
  </r>
  <r>
    <n v="0"/>
    <m/>
    <s v="Szigetszentmiklós"/>
    <d v="2026-03-22T00:00:00"/>
    <x v="166"/>
    <x v="0"/>
    <s v="ARSC"/>
    <x v="1"/>
  </r>
  <r>
    <n v="0"/>
    <m/>
    <s v="Szigetszentmiklós"/>
    <d v="2026-03-22T00:00:00"/>
    <x v="168"/>
    <x v="0"/>
    <s v="Griff SE"/>
    <x v="1"/>
  </r>
  <r>
    <n v="10"/>
    <m/>
    <s v="Szigetszentmiklós"/>
    <d v="2026-03-22T00:00:00"/>
    <x v="171"/>
    <x v="1"/>
    <s v="VTSE"/>
    <x v="1"/>
  </r>
  <r>
    <n v="8"/>
    <m/>
    <s v="Szigetszentmiklós"/>
    <d v="2026-03-22T00:00:00"/>
    <x v="170"/>
    <x v="1"/>
    <s v="VTSE"/>
    <x v="1"/>
  </r>
  <r>
    <n v="6"/>
    <m/>
    <s v="Szigetszentmiklós"/>
    <d v="2026-03-22T00:00:00"/>
    <x v="384"/>
    <x v="0"/>
    <s v="Kisvárda KKDOSC"/>
    <x v="1"/>
  </r>
  <r>
    <n v="6"/>
    <m/>
    <s v="Szigetszentmiklós"/>
    <d v="2026-03-22T00:00:00"/>
    <x v="175"/>
    <x v="0"/>
    <s v="KSE Tarján"/>
    <x v="1"/>
  </r>
  <r>
    <n v="0"/>
    <s v="nem volt nyertes mérkőzése"/>
    <s v="Szigetszentmiklós"/>
    <d v="2026-03-22T00:00:00"/>
    <x v="169"/>
    <x v="0"/>
    <s v="BHMSE"/>
    <x v="1"/>
  </r>
  <r>
    <n v="3"/>
    <m/>
    <s v="Szigetszentmiklós"/>
    <d v="2026-03-22T00:00:00"/>
    <x v="500"/>
    <x v="0"/>
    <s v="Buke Reikon HRSE"/>
    <x v="1"/>
  </r>
  <r>
    <n v="3"/>
    <m/>
    <s v="Szigetszentmiklós"/>
    <d v="2026-03-22T00:00:00"/>
    <x v="172"/>
    <x v="0"/>
    <s v="Rokku KKSE"/>
    <x v="1"/>
  </r>
  <r>
    <n v="0"/>
    <s v="nem volt nyertes mérkőzése"/>
    <s v="Szigetszentmiklós"/>
    <d v="2026-03-22T00:00:00"/>
    <x v="383"/>
    <x v="0"/>
    <s v="Buke Reikon HRSE"/>
    <x v="1"/>
  </r>
  <r>
    <n v="0"/>
    <m/>
    <s v="Szigetszentmiklós"/>
    <d v="2026-03-22T00:00:00"/>
    <x v="173"/>
    <x v="0"/>
    <s v="Főnix Dojo"/>
    <x v="1"/>
  </r>
  <r>
    <n v="0"/>
    <m/>
    <s v="Szigetszentmiklós"/>
    <d v="2026-03-22T00:00:00"/>
    <x v="174"/>
    <x v="0"/>
    <s v="Rokku KKSE"/>
    <x v="1"/>
  </r>
  <r>
    <n v="0"/>
    <m/>
    <s v="Szigetszentmiklós"/>
    <d v="2026-03-22T00:00:00"/>
    <x v="385"/>
    <x v="0"/>
    <s v="Shogun"/>
    <x v="1"/>
  </r>
  <r>
    <n v="0"/>
    <m/>
    <s v="Szigetszentmiklós"/>
    <d v="2026-03-22T00:00:00"/>
    <x v="176"/>
    <x v="0"/>
    <s v="Rakurai"/>
    <x v="1"/>
  </r>
  <r>
    <n v="0"/>
    <m/>
    <s v="Szigetszentmiklós"/>
    <d v="2026-03-22T00:00:00"/>
    <x v="387"/>
    <x v="0"/>
    <s v="Nozomu Dojo"/>
    <x v="1"/>
  </r>
  <r>
    <n v="0"/>
    <m/>
    <s v="Szigetszentmiklós"/>
    <d v="2026-03-22T00:00:00"/>
    <x v="177"/>
    <x v="0"/>
    <s v="Rokku KKSE"/>
    <x v="1"/>
  </r>
  <r>
    <n v="4"/>
    <m/>
    <s v="Szigetszentmiklós"/>
    <d v="2026-03-22T00:00:00"/>
    <x v="388"/>
    <x v="0"/>
    <s v="KHSE"/>
    <x v="1"/>
  </r>
  <r>
    <n v="0"/>
    <m/>
    <s v="Szigetszentmiklós"/>
    <d v="2026-03-22T00:00:00"/>
    <x v="501"/>
    <x v="0"/>
    <s v="Buke Reikon HRSE"/>
    <x v="1"/>
  </r>
  <r>
    <n v="0"/>
    <m/>
    <s v="Szigetszentmiklós"/>
    <d v="2026-03-22T00:00:00"/>
    <x v="178"/>
    <x v="0"/>
    <s v="Rakurai"/>
    <x v="1"/>
  </r>
  <r>
    <n v="0"/>
    <m/>
    <s v="Szigetszentmiklós"/>
    <d v="2026-03-22T00:00:00"/>
    <x v="179"/>
    <x v="0"/>
    <s v="Főnix Dojo"/>
    <x v="1"/>
  </r>
  <r>
    <n v="0"/>
    <m/>
    <s v="Szigetszentmiklós"/>
    <d v="2026-03-22T00:00:00"/>
    <x v="502"/>
    <x v="0"/>
    <s v="Rakurai"/>
    <x v="1"/>
  </r>
  <r>
    <n v="10"/>
    <m/>
    <s v="Szigetszentmiklós"/>
    <d v="2026-03-22T00:00:00"/>
    <x v="389"/>
    <x v="0"/>
    <s v="Derecske BUDO"/>
    <x v="1"/>
  </r>
  <r>
    <n v="8"/>
    <m/>
    <s v="Szigetszentmiklós"/>
    <d v="2026-03-22T00:00:00"/>
    <x v="391"/>
    <x v="0"/>
    <s v="KHSE"/>
    <x v="1"/>
  </r>
  <r>
    <n v="6"/>
    <m/>
    <s v="Szigetszentmiklós"/>
    <d v="2026-03-22T00:00:00"/>
    <x v="182"/>
    <x v="0"/>
    <s v="Cs.S.E."/>
    <x v="1"/>
  </r>
  <r>
    <n v="6"/>
    <m/>
    <s v="Szigetszentmiklós"/>
    <d v="2026-03-22T00:00:00"/>
    <x v="392"/>
    <x v="0"/>
    <s v="KYO Fighter SE"/>
    <x v="1"/>
  </r>
  <r>
    <n v="0"/>
    <s v="nem volt nyertes mérkőzése"/>
    <s v="Szigetszentmiklós"/>
    <d v="2026-03-22T00:00:00"/>
    <x v="184"/>
    <x v="0"/>
    <s v="Rokku KKSE"/>
    <x v="1"/>
  </r>
  <r>
    <n v="0"/>
    <s v="nem volt nyertes mérkőzése"/>
    <s v="Szigetszentmiklós"/>
    <d v="2026-03-22T00:00:00"/>
    <x v="180"/>
    <x v="1"/>
    <s v="Ichiro Dojo"/>
    <x v="1"/>
  </r>
  <r>
    <n v="0"/>
    <s v="nem volt nyertes mérkőzése"/>
    <s v="Szigetszentmiklós"/>
    <d v="2026-03-22T00:00:00"/>
    <x v="390"/>
    <x v="0"/>
    <s v="Bátor KSE"/>
    <x v="1"/>
  </r>
  <r>
    <n v="0"/>
    <s v="nem volt nyertes mérkőzése"/>
    <s v="Szigetszentmiklós"/>
    <d v="2026-03-22T00:00:00"/>
    <x v="181"/>
    <x v="0"/>
    <s v="Rokku KKSE"/>
    <x v="1"/>
  </r>
  <r>
    <n v="0"/>
    <m/>
    <s v="Szigetszentmiklós"/>
    <d v="2026-03-22T00:00:00"/>
    <x v="185"/>
    <x v="0"/>
    <s v="Rakurai"/>
    <x v="1"/>
  </r>
  <r>
    <n v="0"/>
    <m/>
    <s v="Szigetszentmiklós"/>
    <d v="2026-03-22T00:00:00"/>
    <x v="183"/>
    <x v="0"/>
    <s v="KSE Tarján"/>
    <x v="1"/>
  </r>
  <r>
    <n v="10"/>
    <m/>
    <s v="Szigetszentmiklós"/>
    <d v="2026-03-22T00:00:00"/>
    <x v="396"/>
    <x v="0"/>
    <s v="Kagami"/>
    <x v="1"/>
  </r>
  <r>
    <n v="7"/>
    <m/>
    <s v="Szigetszentmiklós"/>
    <d v="2026-03-22T00:00:00"/>
    <x v="374"/>
    <x v="0"/>
    <s v="KYO Fighter SE"/>
    <x v="1"/>
  </r>
  <r>
    <n v="5"/>
    <m/>
    <s v="Szigetszentmiklós"/>
    <d v="2026-03-22T00:00:00"/>
    <x v="188"/>
    <x v="0"/>
    <s v="KSE Tarján"/>
    <x v="1"/>
  </r>
  <r>
    <n v="5"/>
    <m/>
    <s v="Szigetszentmiklós"/>
    <d v="2026-03-22T00:00:00"/>
    <x v="380"/>
    <x v="0"/>
    <s v="Shogun"/>
    <x v="1"/>
  </r>
  <r>
    <n v="3"/>
    <m/>
    <s v="Szigetszentmiklós"/>
    <d v="2026-03-22T00:00:00"/>
    <x v="395"/>
    <x v="0"/>
    <s v="Shogun"/>
    <x v="1"/>
  </r>
  <r>
    <n v="3"/>
    <m/>
    <s v="Szigetszentmiklós"/>
    <d v="2026-03-22T00:00:00"/>
    <x v="399"/>
    <x v="1"/>
    <s v="Borza Dojo"/>
    <x v="1"/>
  </r>
  <r>
    <n v="3"/>
    <m/>
    <s v="Szigetszentmiklós"/>
    <d v="2026-03-22T00:00:00"/>
    <x v="161"/>
    <x v="0"/>
    <s v="Siófok KSE"/>
    <x v="1"/>
  </r>
  <r>
    <n v="3"/>
    <m/>
    <s v="Szigetszentmiklós"/>
    <d v="2026-03-22T00:00:00"/>
    <x v="393"/>
    <x v="1"/>
    <s v="TADASHII "/>
    <x v="1"/>
  </r>
  <r>
    <n v="0"/>
    <m/>
    <s v="Szigetszentmiklós"/>
    <d v="2026-03-22T00:00:00"/>
    <x v="182"/>
    <x v="0"/>
    <s v="Cs.S.E."/>
    <x v="1"/>
  </r>
  <r>
    <n v="0"/>
    <m/>
    <s v="Szigetszentmiklós"/>
    <d v="2026-03-22T00:00:00"/>
    <x v="166"/>
    <x v="0"/>
    <s v="ARSC"/>
    <x v="1"/>
  </r>
  <r>
    <n v="0"/>
    <m/>
    <s v="Szigetszentmiklós"/>
    <d v="2026-03-22T00:00:00"/>
    <x v="189"/>
    <x v="0"/>
    <s v="Rakurai"/>
    <x v="1"/>
  </r>
  <r>
    <n v="0"/>
    <m/>
    <s v="Szigetszentmiklós"/>
    <d v="2026-03-22T00:00:00"/>
    <x v="397"/>
    <x v="0"/>
    <s v="ShinzóDojo"/>
    <x v="1"/>
  </r>
  <r>
    <n v="0"/>
    <m/>
    <s v="Szigetszentmiklós"/>
    <d v="2026-03-22T00:00:00"/>
    <x v="156"/>
    <x v="0"/>
    <s v="BHMSE"/>
    <x v="1"/>
  </r>
  <r>
    <n v="0"/>
    <m/>
    <s v="Szigetszentmiklós"/>
    <d v="2026-03-22T00:00:00"/>
    <x v="394"/>
    <x v="0"/>
    <s v="KYO Fighter SE"/>
    <x v="1"/>
  </r>
  <r>
    <n v="0"/>
    <m/>
    <s v="Szigetszentmiklós"/>
    <d v="2026-03-22T00:00:00"/>
    <x v="381"/>
    <x v="1"/>
    <s v="Borza Dojo"/>
    <x v="1"/>
  </r>
  <r>
    <n v="0"/>
    <m/>
    <s v="Szigetszentmiklós"/>
    <d v="2026-03-22T00:00:00"/>
    <x v="169"/>
    <x v="0"/>
    <s v="BHMSE"/>
    <x v="1"/>
  </r>
  <r>
    <n v="6"/>
    <m/>
    <s v="Szigetszentmiklós"/>
    <d v="2026-03-22T00:00:00"/>
    <x v="193"/>
    <x v="0"/>
    <s v="Rakurai"/>
    <x v="1"/>
  </r>
  <r>
    <n v="4"/>
    <m/>
    <s v="Szigetszentmiklós"/>
    <d v="2026-03-22T00:00:00"/>
    <x v="406"/>
    <x v="0"/>
    <s v="SONGOKU SE"/>
    <x v="1"/>
  </r>
  <r>
    <n v="0"/>
    <m/>
    <s v="Szigetszentmiklós"/>
    <d v="2026-03-22T00:00:00"/>
    <x v="194"/>
    <x v="0"/>
    <s v="Siófok KSE"/>
    <x v="1"/>
  </r>
  <r>
    <n v="10"/>
    <m/>
    <s v="Szigetszentmiklós"/>
    <d v="2026-03-22T00:00:00"/>
    <x v="195"/>
    <x v="1"/>
    <s v="VTSE"/>
    <x v="1"/>
  </r>
  <r>
    <n v="8"/>
    <m/>
    <s v="Szigetszentmiklós"/>
    <d v="2026-03-22T00:00:00"/>
    <x v="400"/>
    <x v="0"/>
    <s v="Keizoku SE"/>
    <x v="1"/>
  </r>
  <r>
    <n v="6"/>
    <m/>
    <s v="Szigetszentmiklós"/>
    <d v="2026-03-22T00:00:00"/>
    <x v="198"/>
    <x v="0"/>
    <s v="POWER SE."/>
    <x v="1"/>
  </r>
  <r>
    <n v="6"/>
    <m/>
    <s v="Szigetszentmiklós"/>
    <d v="2026-03-22T00:00:00"/>
    <x v="199"/>
    <x v="0"/>
    <s v="Rakurai"/>
    <x v="1"/>
  </r>
  <r>
    <n v="3"/>
    <m/>
    <s v="Szigetszentmiklós"/>
    <d v="2026-03-22T00:00:00"/>
    <x v="197"/>
    <x v="0"/>
    <s v="Castrum"/>
    <x v="1"/>
  </r>
  <r>
    <n v="3"/>
    <m/>
    <s v="Szigetszentmiklós"/>
    <d v="2026-03-22T00:00:00"/>
    <x v="202"/>
    <x v="0"/>
    <s v="Főnix Dojo"/>
    <x v="1"/>
  </r>
  <r>
    <n v="3"/>
    <m/>
    <s v="Szigetszentmiklós"/>
    <d v="2026-03-22T00:00:00"/>
    <x v="196"/>
    <x v="0"/>
    <s v="Főnix Dojo"/>
    <x v="1"/>
  </r>
  <r>
    <n v="3"/>
    <m/>
    <s v="Szigetszentmiklós"/>
    <d v="2026-03-22T00:00:00"/>
    <x v="205"/>
    <x v="0"/>
    <s v="WARRIORS TEAM"/>
    <x v="1"/>
  </r>
  <r>
    <n v="0"/>
    <m/>
    <s v="Szigetszentmiklós"/>
    <d v="2026-03-22T00:00:00"/>
    <x v="203"/>
    <x v="0"/>
    <s v="WARRIORS TEAM"/>
    <x v="1"/>
  </r>
  <r>
    <n v="0"/>
    <m/>
    <s v="Szigetszentmiklós"/>
    <d v="2026-03-22T00:00:00"/>
    <x v="204"/>
    <x v="0"/>
    <s v="WARRIORS TEAM"/>
    <x v="1"/>
  </r>
  <r>
    <n v="0"/>
    <m/>
    <s v="Szigetszentmiklós"/>
    <d v="2026-03-22T00:00:00"/>
    <x v="503"/>
    <x v="0"/>
    <s v="Kisvárda KKDOSC"/>
    <x v="1"/>
  </r>
  <r>
    <n v="0"/>
    <m/>
    <s v="Szigetszentmiklós"/>
    <d v="2026-03-22T00:00:00"/>
    <x v="201"/>
    <x v="0"/>
    <s v="ASE Bulldog KKSZCS"/>
    <x v="1"/>
  </r>
  <r>
    <n v="0"/>
    <m/>
    <s v="Szigetszentmiklós"/>
    <d v="2026-03-22T00:00:00"/>
    <x v="504"/>
    <x v="0"/>
    <s v="KYO Fighter SE"/>
    <x v="1"/>
  </r>
  <r>
    <n v="0"/>
    <m/>
    <s v="Szigetszentmiklós"/>
    <d v="2026-03-22T00:00:00"/>
    <x v="505"/>
    <x v="0"/>
    <s v="Buke Reikon HRSE"/>
    <x v="1"/>
  </r>
  <r>
    <n v="0"/>
    <m/>
    <s v="Szigetszentmiklós"/>
    <d v="2026-03-22T00:00:00"/>
    <x v="402"/>
    <x v="0"/>
    <s v="Kelemen-Team"/>
    <x v="1"/>
  </r>
  <r>
    <n v="0"/>
    <m/>
    <s v="Szigetszentmiklós"/>
    <d v="2026-03-22T00:00:00"/>
    <x v="200"/>
    <x v="0"/>
    <s v="POWER SE."/>
    <x v="1"/>
  </r>
  <r>
    <n v="8"/>
    <m/>
    <s v="Szigetszentmiklós"/>
    <d v="2026-03-22T00:00:00"/>
    <x v="206"/>
    <x v="0"/>
    <s v="WARRIORS TEAM"/>
    <x v="1"/>
  </r>
  <r>
    <n v="6"/>
    <m/>
    <s v="Szigetszentmiklós"/>
    <d v="2026-03-22T00:00:00"/>
    <x v="403"/>
    <x v="0"/>
    <s v="Kemecse SE"/>
    <x v="1"/>
  </r>
  <r>
    <n v="4"/>
    <m/>
    <s v="Szigetszentmiklós"/>
    <d v="2026-03-22T00:00:00"/>
    <x v="216"/>
    <x v="0"/>
    <s v="KSE Tarján"/>
    <x v="1"/>
  </r>
  <r>
    <n v="4"/>
    <m/>
    <s v="Szigetszentmiklós"/>
    <d v="2026-03-22T00:00:00"/>
    <x v="404"/>
    <x v="0"/>
    <s v="ShinzóDojo"/>
    <x v="1"/>
  </r>
  <r>
    <n v="0"/>
    <m/>
    <s v="Szigetszentmiklós"/>
    <d v="2026-03-22T00:00:00"/>
    <x v="506"/>
    <x v="0"/>
    <s v="Castrum"/>
    <x v="1"/>
  </r>
  <r>
    <n v="0"/>
    <m/>
    <s v="Szigetszentmiklós"/>
    <d v="2026-03-22T00:00:00"/>
    <x v="221"/>
    <x v="0"/>
    <s v="Katana SE"/>
    <x v="1"/>
  </r>
  <r>
    <n v="0"/>
    <m/>
    <s v="Szigetszentmiklós"/>
    <d v="2026-03-22T00:00:00"/>
    <x v="207"/>
    <x v="0"/>
    <s v="Katana SE"/>
    <x v="1"/>
  </r>
  <r>
    <n v="0"/>
    <m/>
    <s v="Szigetszentmiklós"/>
    <d v="2026-03-22T00:00:00"/>
    <x v="208"/>
    <x v="0"/>
    <s v="Ippon KKSE"/>
    <x v="1"/>
  </r>
  <r>
    <n v="4"/>
    <m/>
    <s v="Szigetszentmiklós"/>
    <d v="2026-03-22T00:00:00"/>
    <x v="211"/>
    <x v="0"/>
    <s v="Rakurai"/>
    <x v="1"/>
  </r>
  <r>
    <n v="0"/>
    <m/>
    <s v="Szigetszentmiklós"/>
    <d v="2026-03-22T00:00:00"/>
    <x v="210"/>
    <x v="0"/>
    <s v="Ippon KKSE"/>
    <x v="1"/>
  </r>
  <r>
    <n v="10"/>
    <m/>
    <s v="Szigetszentmiklós"/>
    <d v="2026-03-22T00:00:00"/>
    <x v="405"/>
    <x v="0"/>
    <s v="Keizoku SE"/>
    <x v="1"/>
  </r>
  <r>
    <n v="8"/>
    <m/>
    <s v="Szigetszentmiklós"/>
    <d v="2026-03-22T00:00:00"/>
    <x v="407"/>
    <x v="0"/>
    <s v="KHSE"/>
    <x v="1"/>
  </r>
  <r>
    <n v="6"/>
    <m/>
    <s v="Szigetszentmiklós"/>
    <d v="2026-03-22T00:00:00"/>
    <x v="213"/>
    <x v="0"/>
    <s v="BHMSE"/>
    <x v="1"/>
  </r>
  <r>
    <n v="4"/>
    <m/>
    <s v="Szigetszentmiklós"/>
    <d v="2026-03-22T00:00:00"/>
    <x v="212"/>
    <x v="0"/>
    <s v="Kamikaze S"/>
    <x v="1"/>
  </r>
  <r>
    <n v="3"/>
    <m/>
    <s v="Szigetszentmiklós"/>
    <d v="2026-03-22T00:00:00"/>
    <x v="507"/>
    <x v="0"/>
    <s v="Derecske BUDO"/>
    <x v="1"/>
  </r>
  <r>
    <n v="10"/>
    <m/>
    <s v="Szigetszentmiklós"/>
    <d v="2026-03-22T00:00:00"/>
    <x v="403"/>
    <x v="0"/>
    <s v="Kemecse SE"/>
    <x v="1"/>
  </r>
  <r>
    <n v="7"/>
    <m/>
    <s v="Szigetszentmiklós"/>
    <d v="2026-03-22T00:00:00"/>
    <x v="404"/>
    <x v="0"/>
    <s v="ShinzóDojo"/>
    <x v="1"/>
  </r>
  <r>
    <n v="5"/>
    <m/>
    <s v="Szigetszentmiklós"/>
    <d v="2026-03-22T00:00:00"/>
    <x v="405"/>
    <x v="0"/>
    <s v="Keizoku SE"/>
    <x v="1"/>
  </r>
  <r>
    <n v="5"/>
    <m/>
    <s v="Szigetszentmiklós"/>
    <d v="2026-03-22T00:00:00"/>
    <x v="207"/>
    <x v="0"/>
    <s v="Katana SE"/>
    <x v="1"/>
  </r>
  <r>
    <n v="3"/>
    <m/>
    <s v="Szigetszentmiklós"/>
    <d v="2026-03-22T00:00:00"/>
    <x v="216"/>
    <x v="0"/>
    <s v="KSE Tarján"/>
    <x v="1"/>
  </r>
  <r>
    <n v="3"/>
    <m/>
    <s v="Szigetszentmiklós"/>
    <d v="2026-03-22T00:00:00"/>
    <x v="409"/>
    <x v="0"/>
    <s v="Bendiák Dojo"/>
    <x v="1"/>
  </r>
  <r>
    <n v="3"/>
    <m/>
    <s v="Szigetszentmiklós"/>
    <d v="2026-03-22T00:00:00"/>
    <x v="217"/>
    <x v="1"/>
    <s v="Ichiro Dojo"/>
    <x v="1"/>
  </r>
  <r>
    <n v="3"/>
    <m/>
    <s v="Szigetszentmiklós"/>
    <d v="2026-03-22T00:00:00"/>
    <x v="198"/>
    <x v="0"/>
    <s v="POWER SE."/>
    <x v="1"/>
  </r>
  <r>
    <n v="0"/>
    <m/>
    <s v="Szigetszentmiklós"/>
    <d v="2026-03-22T00:00:00"/>
    <x v="218"/>
    <x v="0"/>
    <s v="RDKKSE"/>
    <x v="1"/>
  </r>
  <r>
    <n v="0"/>
    <m/>
    <s v="Szigetszentmiklós"/>
    <d v="2026-03-22T00:00:00"/>
    <x v="213"/>
    <x v="0"/>
    <s v="BHMSE"/>
    <x v="1"/>
  </r>
  <r>
    <n v="0"/>
    <m/>
    <s v="Szigetszentmiklós"/>
    <d v="2026-03-22T00:00:00"/>
    <x v="220"/>
    <x v="0"/>
    <s v="KSE Tarján"/>
    <x v="1"/>
  </r>
  <r>
    <n v="0"/>
    <m/>
    <s v="Szigetszentmiklós"/>
    <d v="2026-03-22T00:00:00"/>
    <x v="215"/>
    <x v="0"/>
    <s v="BHMSE"/>
    <x v="1"/>
  </r>
  <r>
    <n v="0"/>
    <m/>
    <s v="Szigetszentmiklós"/>
    <d v="2026-03-22T00:00:00"/>
    <x v="219"/>
    <x v="0"/>
    <s v="Fitt KKSE"/>
    <x v="1"/>
  </r>
  <r>
    <n v="0"/>
    <m/>
    <s v="Szigetszentmiklós"/>
    <d v="2026-03-22T00:00:00"/>
    <x v="408"/>
    <x v="1"/>
    <s v="TADASHII "/>
    <x v="1"/>
  </r>
  <r>
    <n v="0"/>
    <m/>
    <s v="Szigetszentmiklós"/>
    <d v="2026-03-22T00:00:00"/>
    <x v="196"/>
    <x v="0"/>
    <s v="Főnix Dojo"/>
    <x v="1"/>
  </r>
  <r>
    <n v="0"/>
    <m/>
    <s v="Szigetszentmiklós"/>
    <d v="2026-03-22T00:00:00"/>
    <x v="214"/>
    <x v="0"/>
    <s v="Katana SE"/>
    <x v="1"/>
  </r>
  <r>
    <n v="10"/>
    <m/>
    <s v="Szigetszentmiklós"/>
    <d v="2026-03-22T00:00:00"/>
    <x v="223"/>
    <x v="0"/>
    <s v="BHMSE"/>
    <x v="1"/>
  </r>
  <r>
    <n v="8"/>
    <m/>
    <s v="Szigetszentmiklós"/>
    <d v="2026-03-22T00:00:00"/>
    <x v="224"/>
    <x v="1"/>
    <s v="VTSE"/>
    <x v="1"/>
  </r>
  <r>
    <n v="6"/>
    <m/>
    <s v="Szigetszentmiklós"/>
    <d v="2026-03-22T00:00:00"/>
    <x v="413"/>
    <x v="0"/>
    <s v="Victory"/>
    <x v="1"/>
  </r>
  <r>
    <n v="6"/>
    <m/>
    <s v="Szigetszentmiklós"/>
    <d v="2026-03-22T00:00:00"/>
    <x v="412"/>
    <x v="0"/>
    <s v="KHSE"/>
    <x v="1"/>
  </r>
  <r>
    <n v="0"/>
    <s v="nem volt nyertes mérkőzése"/>
    <s v="Szigetszentmiklós"/>
    <d v="2026-03-22T00:00:00"/>
    <x v="508"/>
    <x v="0"/>
    <s v="Derecske BUDO"/>
    <x v="1"/>
  </r>
  <r>
    <n v="3"/>
    <m/>
    <s v="Szigetszentmiklós"/>
    <d v="2026-03-22T00:00:00"/>
    <x v="414"/>
    <x v="0"/>
    <s v="KHSE"/>
    <x v="1"/>
  </r>
  <r>
    <n v="0"/>
    <s v="nem volt nyertes mérkőzése"/>
    <s v="Szigetszentmiklós"/>
    <d v="2026-03-22T00:00:00"/>
    <x v="436"/>
    <x v="0"/>
    <s v="Victory"/>
    <x v="1"/>
  </r>
  <r>
    <n v="3"/>
    <m/>
    <s v="Szigetszentmiklós"/>
    <d v="2026-03-22T00:00:00"/>
    <x v="509"/>
    <x v="0"/>
    <s v="Nyíradonyi KKE"/>
    <x v="1"/>
  </r>
  <r>
    <n v="0"/>
    <m/>
    <s v="Szigetszentmiklós"/>
    <d v="2026-03-22T00:00:00"/>
    <x v="510"/>
    <x v="0"/>
    <s v="Griff SE"/>
    <x v="1"/>
  </r>
  <r>
    <n v="0"/>
    <m/>
    <s v="Szigetszentmiklós"/>
    <d v="2026-03-22T00:00:00"/>
    <x v="225"/>
    <x v="0"/>
    <s v="BHMSE"/>
    <x v="1"/>
  </r>
  <r>
    <n v="8"/>
    <m/>
    <s v="Szigetszentmiklós"/>
    <d v="2026-03-22T00:00:00"/>
    <x v="415"/>
    <x v="0"/>
    <s v="Shogun"/>
    <x v="1"/>
  </r>
  <r>
    <n v="6"/>
    <m/>
    <s v="Szigetszentmiklós"/>
    <d v="2026-03-22T00:00:00"/>
    <x v="226"/>
    <x v="1"/>
    <s v="VTSE"/>
    <x v="1"/>
  </r>
  <r>
    <n v="4"/>
    <m/>
    <s v="Szigetszentmiklós"/>
    <d v="2026-03-22T00:00:00"/>
    <x v="416"/>
    <x v="0"/>
    <s v="KHSE"/>
    <x v="1"/>
  </r>
  <r>
    <n v="0"/>
    <m/>
    <s v="Szigetszentmiklós"/>
    <d v="2026-03-22T00:00:00"/>
    <x v="418"/>
    <x v="0"/>
    <s v="Victory"/>
    <x v="1"/>
  </r>
  <r>
    <n v="10"/>
    <m/>
    <s v="Szigetszentmiklós"/>
    <d v="2026-03-22T00:00:00"/>
    <x v="419"/>
    <x v="0"/>
    <s v="KHSE"/>
    <x v="1"/>
  </r>
  <r>
    <n v="8"/>
    <m/>
    <s v="Szigetszentmiklós"/>
    <d v="2026-03-22T00:00:00"/>
    <x v="228"/>
    <x v="1"/>
    <s v="Ichiro Dojo"/>
    <x v="1"/>
  </r>
  <r>
    <n v="6"/>
    <m/>
    <s v="Szigetszentmiklós"/>
    <d v="2026-03-22T00:00:00"/>
    <x v="511"/>
    <x v="1"/>
    <s v="TADASHII "/>
    <x v="1"/>
  </r>
  <r>
    <n v="4"/>
    <m/>
    <s v="Szigetszentmiklós"/>
    <d v="2026-03-22T00:00:00"/>
    <x v="420"/>
    <x v="0"/>
    <s v="KYO Fighter SE"/>
    <x v="1"/>
  </r>
  <r>
    <n v="3"/>
    <m/>
    <s v="Szigetszentmiklós"/>
    <d v="2026-03-22T00:00:00"/>
    <x v="229"/>
    <x v="0"/>
    <s v="Katana SE"/>
    <x v="1"/>
  </r>
  <r>
    <n v="10"/>
    <m/>
    <s v="Szigetszentmiklós"/>
    <d v="2026-03-22T00:00:00"/>
    <x v="231"/>
    <x v="1"/>
    <s v="Ichiro Dojo"/>
    <x v="1"/>
  </r>
  <r>
    <n v="8"/>
    <m/>
    <s v="Szigetszentmiklós"/>
    <d v="2026-03-22T00:00:00"/>
    <x v="230"/>
    <x v="0"/>
    <s v="Főnix Dojo"/>
    <x v="1"/>
  </r>
  <r>
    <n v="6"/>
    <m/>
    <s v="Szigetszentmiklós"/>
    <d v="2026-03-22T00:00:00"/>
    <x v="423"/>
    <x v="1"/>
    <s v="Nintai KKSE"/>
    <x v="1"/>
  </r>
  <r>
    <n v="6"/>
    <m/>
    <s v="Szigetszentmiklós"/>
    <d v="2026-03-22T00:00:00"/>
    <x v="424"/>
    <x v="0"/>
    <s v="Derecske BUDO"/>
    <x v="1"/>
  </r>
  <r>
    <n v="3"/>
    <m/>
    <s v="Szigetszentmiklós"/>
    <d v="2026-03-22T00:00:00"/>
    <x v="233"/>
    <x v="1"/>
    <s v="VTSE"/>
    <x v="1"/>
  </r>
  <r>
    <n v="0"/>
    <s v="nem volt nyertes mérkőzése"/>
    <s v="Szigetszentmiklós"/>
    <d v="2026-03-22T00:00:00"/>
    <x v="232"/>
    <x v="0"/>
    <s v="WARRIORS TEAM"/>
    <x v="1"/>
  </r>
  <r>
    <n v="0"/>
    <s v="nem volt nyertes mérkőzése"/>
    <s v="Szigetszentmiklós"/>
    <d v="2026-03-22T00:00:00"/>
    <x v="422"/>
    <x v="1"/>
    <s v="Wheelmaker dojo SE"/>
    <x v="1"/>
  </r>
  <r>
    <n v="3"/>
    <m/>
    <s v="Szigetszentmiklós"/>
    <d v="2026-03-22T00:00:00"/>
    <x v="234"/>
    <x v="0"/>
    <s v="BHMSE"/>
    <x v="1"/>
  </r>
  <r>
    <n v="0"/>
    <m/>
    <s v="Szigetszentmiklós"/>
    <d v="2026-03-22T00:00:00"/>
    <x v="235"/>
    <x v="0"/>
    <s v="POWER SE."/>
    <x v="1"/>
  </r>
  <r>
    <n v="0"/>
    <m/>
    <s v="Szigetszentmiklós"/>
    <d v="2026-03-22T00:00:00"/>
    <x v="236"/>
    <x v="0"/>
    <s v="POWER SE."/>
    <x v="1"/>
  </r>
  <r>
    <n v="6"/>
    <m/>
    <s v="Szigetszentmiklós"/>
    <d v="2026-03-22T00:00:00"/>
    <x v="426"/>
    <x v="0"/>
    <s v="Magna Dojo"/>
    <x v="1"/>
  </r>
  <r>
    <n v="4"/>
    <m/>
    <s v="Szigetszentmiklós"/>
    <d v="2026-03-22T00:00:00"/>
    <x v="425"/>
    <x v="0"/>
    <s v="Victory"/>
    <x v="1"/>
  </r>
  <r>
    <n v="0"/>
    <m/>
    <s v="Szigetszentmiklós"/>
    <d v="2026-03-22T00:00:00"/>
    <x v="427"/>
    <x v="0"/>
    <s v="Bendiák Dojo"/>
    <x v="1"/>
  </r>
  <r>
    <n v="8"/>
    <m/>
    <s v="Szigetszentmiklós"/>
    <d v="2026-03-22T00:00:00"/>
    <x v="238"/>
    <x v="0"/>
    <s v="WARRIORS TEAM"/>
    <x v="1"/>
  </r>
  <r>
    <n v="6"/>
    <m/>
    <s v="Szigetszentmiklós"/>
    <d v="2026-03-22T00:00:00"/>
    <x v="237"/>
    <x v="0"/>
    <s v="Kamikaze S"/>
    <x v="1"/>
  </r>
  <r>
    <n v="4"/>
    <m/>
    <s v="Szigetszentmiklós"/>
    <d v="2026-03-22T00:00:00"/>
    <x v="430"/>
    <x v="0"/>
    <s v="KHSE"/>
    <x v="1"/>
  </r>
  <r>
    <n v="4"/>
    <m/>
    <s v="Szigetszentmiklós"/>
    <d v="2026-03-22T00:00:00"/>
    <x v="512"/>
    <x v="0"/>
    <s v="Derecske BUDO"/>
    <x v="1"/>
  </r>
  <r>
    <n v="0"/>
    <m/>
    <s v="Szigetszentmiklós"/>
    <d v="2026-03-22T00:00:00"/>
    <x v="239"/>
    <x v="0"/>
    <s v="Cs.S.E."/>
    <x v="1"/>
  </r>
  <r>
    <n v="0"/>
    <m/>
    <s v="Szigetszentmiklós"/>
    <d v="2026-03-22T00:00:00"/>
    <x v="428"/>
    <x v="0"/>
    <s v="KHSE"/>
    <x v="1"/>
  </r>
  <r>
    <n v="0"/>
    <m/>
    <s v="Szigetszentmiklós"/>
    <d v="2026-03-22T00:00:00"/>
    <x v="429"/>
    <x v="0"/>
    <s v="Bendiák Dojo"/>
    <x v="1"/>
  </r>
  <r>
    <n v="8"/>
    <m/>
    <s v="Szigetszentmiklós"/>
    <d v="2026-03-22T00:00:00"/>
    <x v="240"/>
    <x v="0"/>
    <s v="WARRIORS TEAM"/>
    <x v="1"/>
  </r>
  <r>
    <n v="6"/>
    <m/>
    <s v="Szigetszentmiklós"/>
    <d v="2026-03-22T00:00:00"/>
    <x v="431"/>
    <x v="1"/>
    <s v="Nintai KKSE"/>
    <x v="1"/>
  </r>
  <r>
    <n v="4"/>
    <m/>
    <s v="Szigetszentmiklós"/>
    <d v="2026-03-22T00:00:00"/>
    <x v="432"/>
    <x v="0"/>
    <s v="Bendiák Dojo"/>
    <x v="1"/>
  </r>
  <r>
    <n v="4"/>
    <m/>
    <s v="Szigetszentmiklós"/>
    <d v="2026-03-22T00:00:00"/>
    <x v="433"/>
    <x v="0"/>
    <s v="Buke Reikon HRSE"/>
    <x v="1"/>
  </r>
  <r>
    <n v="0"/>
    <m/>
    <s v="Szigetszentmiklós"/>
    <d v="2026-03-22T00:00:00"/>
    <x v="242"/>
    <x v="0"/>
    <s v="RDKKSE"/>
    <x v="1"/>
  </r>
  <r>
    <n v="0"/>
    <m/>
    <s v="Szigetszentmiklós"/>
    <d v="2026-03-22T00:00:00"/>
    <x v="513"/>
    <x v="0"/>
    <s v="POWER SE."/>
    <x v="1"/>
  </r>
  <r>
    <n v="0"/>
    <m/>
    <s v="Szigetszentmiklós"/>
    <d v="2026-03-22T00:00:00"/>
    <x v="241"/>
    <x v="0"/>
    <s v="Kamikaze S"/>
    <x v="1"/>
  </r>
  <r>
    <n v="8"/>
    <s v="13 fő esetén: 1-8 helyezett"/>
    <s v="Szigetszentmiklós"/>
    <d v="2026-03-22T00:00:00"/>
    <x v="415"/>
    <x v="0"/>
    <s v="Shogun"/>
    <x v="1"/>
  </r>
  <r>
    <n v="6"/>
    <s v="13 fő esetén: 1-8 helyezett"/>
    <s v="Szigetszentmiklós"/>
    <d v="2026-03-22T00:00:00"/>
    <x v="435"/>
    <x v="0"/>
    <s v="Shogun"/>
    <x v="1"/>
  </r>
  <r>
    <n v="4"/>
    <s v="13 fő esetén: 1-8 helyezett"/>
    <s v="Szigetszentmiklós"/>
    <d v="2026-03-22T00:00:00"/>
    <x v="239"/>
    <x v="0"/>
    <s v="Cs.S.E."/>
    <x v="1"/>
  </r>
  <r>
    <n v="3"/>
    <s v="13 fő esetén: 1-8 helyezett"/>
    <s v="Szigetszentmiklós"/>
    <d v="2026-03-22T00:00:00"/>
    <x v="244"/>
    <x v="0"/>
    <s v="KSE Tarján"/>
    <x v="1"/>
  </r>
  <r>
    <n v="2"/>
    <s v="13 fő esetén: 1-8 helyezett"/>
    <s v="Szigetszentmiklós"/>
    <d v="2026-03-22T00:00:00"/>
    <x v="436"/>
    <x v="0"/>
    <s v="Victory"/>
    <x v="1"/>
  </r>
  <r>
    <n v="2"/>
    <s v="13 fő esetén: 1-8 helyezett"/>
    <s v="Szigetszentmiklós"/>
    <d v="2026-03-22T00:00:00"/>
    <x v="427"/>
    <x v="0"/>
    <s v="Bendiák Dojo"/>
    <x v="1"/>
  </r>
  <r>
    <n v="2"/>
    <s v="13 fő esetén: 1-8 helyezett"/>
    <s v="Szigetszentmiklós"/>
    <d v="2026-03-22T00:00:00"/>
    <x v="434"/>
    <x v="0"/>
    <s v="Shogun"/>
    <x v="1"/>
  </r>
  <r>
    <n v="2"/>
    <s v="13 fő esetén: 1-8 helyezett"/>
    <s v="Szigetszentmiklós"/>
    <d v="2026-03-22T00:00:00"/>
    <x v="432"/>
    <x v="0"/>
    <s v="Bendiák Dojo"/>
    <x v="1"/>
  </r>
  <r>
    <n v="0"/>
    <s v="13 fő esetén: 1-8 helyezett"/>
    <s v="Szigetszentmiklós"/>
    <d v="2026-03-22T00:00:00"/>
    <x v="225"/>
    <x v="0"/>
    <s v="BHMSE"/>
    <x v="1"/>
  </r>
  <r>
    <n v="0"/>
    <s v="13 fő esetén: 1-8 helyezett"/>
    <s v="Szigetszentmiklós"/>
    <d v="2026-03-22T00:00:00"/>
    <x v="246"/>
    <x v="0"/>
    <s v="BHMSE"/>
    <x v="1"/>
  </r>
  <r>
    <n v="0"/>
    <s v="13 fő esetén: 1-8 helyezett"/>
    <s v="Szigetszentmiklós"/>
    <d v="2026-03-22T00:00:00"/>
    <x v="245"/>
    <x v="0"/>
    <s v="BHMSE"/>
    <x v="1"/>
  </r>
  <r>
    <n v="0"/>
    <s v="13 fő esetén: 1-8 helyezett"/>
    <s v="Szigetszentmiklós"/>
    <d v="2026-03-22T00:00:00"/>
    <x v="247"/>
    <x v="0"/>
    <s v="ARSC"/>
    <x v="1"/>
  </r>
  <r>
    <n v="0"/>
    <s v="13 fő esetén: 1-8 helyezett"/>
    <s v="Szigetszentmiklós"/>
    <d v="2026-03-22T00:00:00"/>
    <x v="420"/>
    <x v="0"/>
    <s v="KYO Fighter SE"/>
    <x v="1"/>
  </r>
  <r>
    <n v="10"/>
    <m/>
    <s v="Szigetszentmiklós"/>
    <d v="2026-03-22T00:00:00"/>
    <x v="248"/>
    <x v="1"/>
    <s v="Nagy Sándor Dojo"/>
    <x v="1"/>
  </r>
  <r>
    <n v="8"/>
    <m/>
    <s v="Szigetszentmiklós"/>
    <d v="2026-03-22T00:00:00"/>
    <x v="249"/>
    <x v="0"/>
    <s v="Főnix Dojo"/>
    <x v="1"/>
  </r>
  <r>
    <n v="6"/>
    <m/>
    <s v="Szigetszentmiklós"/>
    <d v="2026-03-22T00:00:00"/>
    <x v="250"/>
    <x v="0"/>
    <s v="KSE Tarján"/>
    <x v="1"/>
  </r>
  <r>
    <n v="4"/>
    <m/>
    <s v="Szigetszentmiklós"/>
    <d v="2026-03-22T00:00:00"/>
    <x v="438"/>
    <x v="1"/>
    <s v="Borza Dojo"/>
    <x v="1"/>
  </r>
  <r>
    <n v="0"/>
    <m/>
    <s v="Szigetszentmiklós"/>
    <d v="2026-03-22T00:00:00"/>
    <x v="437"/>
    <x v="0"/>
    <s v="Hajdúszoboszló"/>
    <x v="1"/>
  </r>
  <r>
    <n v="8"/>
    <m/>
    <s v="Szigetszentmiklós"/>
    <d v="2026-03-22T00:00:00"/>
    <x v="439"/>
    <x v="0"/>
    <s v="KHSE"/>
    <x v="1"/>
  </r>
  <r>
    <n v="6"/>
    <m/>
    <s v="Szigetszentmiklós"/>
    <d v="2026-03-22T00:00:00"/>
    <x v="440"/>
    <x v="0"/>
    <s v="Derecske BUDO"/>
    <x v="1"/>
  </r>
  <r>
    <n v="4"/>
    <m/>
    <s v="Szigetszentmiklós"/>
    <d v="2026-03-22T00:00:00"/>
    <x v="251"/>
    <x v="0"/>
    <s v="Castrum"/>
    <x v="1"/>
  </r>
  <r>
    <n v="0"/>
    <m/>
    <s v="Szigetszentmiklós"/>
    <d v="2026-03-22T00:00:00"/>
    <x v="253"/>
    <x v="0"/>
    <s v="Rakurai"/>
    <x v="1"/>
  </r>
  <r>
    <n v="0"/>
    <m/>
    <s v="Szigetszentmiklós"/>
    <d v="2026-03-22T00:00:00"/>
    <x v="252"/>
    <x v="0"/>
    <s v="Castrum"/>
    <x v="1"/>
  </r>
  <r>
    <n v="0"/>
    <m/>
    <s v="Szigetszentmiklós"/>
    <d v="2026-03-22T00:00:00"/>
    <x v="441"/>
    <x v="0"/>
    <s v="Shogun"/>
    <x v="1"/>
  </r>
  <r>
    <n v="8"/>
    <m/>
    <s v="Szigetszentmiklós"/>
    <d v="2026-03-22T00:00:00"/>
    <x v="514"/>
    <x v="0"/>
    <s v="BHMSE"/>
    <x v="1"/>
  </r>
  <r>
    <n v="6"/>
    <m/>
    <s v="Szigetszentmiklós"/>
    <d v="2026-03-22T00:00:00"/>
    <x v="256"/>
    <x v="0"/>
    <s v="WARRIORS TEAM"/>
    <x v="1"/>
  </r>
  <r>
    <n v="4"/>
    <m/>
    <s v="Szigetszentmiklós"/>
    <d v="2026-03-22T00:00:00"/>
    <x v="254"/>
    <x v="1"/>
    <s v="VTSE"/>
    <x v="1"/>
  </r>
  <r>
    <n v="0"/>
    <m/>
    <s v="Szigetszentmiklós"/>
    <d v="2026-03-22T00:00:00"/>
    <x v="515"/>
    <x v="0"/>
    <s v="KYO Fighter SE"/>
    <x v="1"/>
  </r>
  <r>
    <n v="0"/>
    <m/>
    <s v="Szigetszentmiklós"/>
    <d v="2026-03-22T00:00:00"/>
    <x v="516"/>
    <x v="0"/>
    <s v="Főnix Dojo"/>
    <x v="1"/>
  </r>
  <r>
    <n v="0"/>
    <m/>
    <s v="Szigetszentmiklós"/>
    <d v="2026-03-22T00:00:00"/>
    <x v="263"/>
    <x v="0"/>
    <s v="BHMSE"/>
    <x v="1"/>
  </r>
  <r>
    <n v="10"/>
    <m/>
    <s v="Szigetszentmiklós"/>
    <d v="2026-03-22T00:00:00"/>
    <x v="442"/>
    <x v="0"/>
    <s v="KHSE"/>
    <x v="1"/>
  </r>
  <r>
    <n v="8"/>
    <m/>
    <s v="Szigetszentmiklós"/>
    <d v="2026-03-22T00:00:00"/>
    <x v="443"/>
    <x v="0"/>
    <s v="Derecske BUDO"/>
    <x v="1"/>
  </r>
  <r>
    <n v="6"/>
    <m/>
    <s v="Szigetszentmiklós"/>
    <d v="2026-03-22T00:00:00"/>
    <x v="444"/>
    <x v="0"/>
    <s v="Bendiák Dojo"/>
    <x v="1"/>
  </r>
  <r>
    <n v="4"/>
    <m/>
    <s v="Szigetszentmiklós"/>
    <d v="2026-03-22T00:00:00"/>
    <x v="445"/>
    <x v="0"/>
    <s v="Kelemen-Team"/>
    <x v="1"/>
  </r>
  <r>
    <n v="0"/>
    <m/>
    <s v="Szigetszentmiklós"/>
    <d v="2026-03-22T00:00:00"/>
    <x v="255"/>
    <x v="0"/>
    <s v="Rakurai"/>
    <x v="1"/>
  </r>
  <r>
    <n v="10"/>
    <m/>
    <s v="Szigetszentmiklós"/>
    <d v="2026-03-22T00:00:00"/>
    <x v="257"/>
    <x v="0"/>
    <s v="Kamikaze S"/>
    <x v="1"/>
  </r>
  <r>
    <n v="8"/>
    <m/>
    <s v="Szigetszentmiklós"/>
    <d v="2026-03-22T00:00:00"/>
    <x v="517"/>
    <x v="0"/>
    <s v="Nagykátai Bushido SE"/>
    <x v="1"/>
  </r>
  <r>
    <n v="6"/>
    <m/>
    <s v="Szigetszentmiklós"/>
    <d v="2026-03-22T00:00:00"/>
    <x v="260"/>
    <x v="0"/>
    <s v="BHMSE"/>
    <x v="1"/>
  </r>
  <r>
    <n v="4"/>
    <m/>
    <s v="Szigetszentmiklós"/>
    <d v="2026-03-22T00:00:00"/>
    <x v="259"/>
    <x v="0"/>
    <s v="Keszth.KKK"/>
    <x v="1"/>
  </r>
  <r>
    <n v="0"/>
    <m/>
    <s v="Szigetszentmiklós"/>
    <d v="2026-03-22T00:00:00"/>
    <x v="258"/>
    <x v="0"/>
    <s v="Griff SE"/>
    <x v="1"/>
  </r>
  <r>
    <n v="8"/>
    <s v="11 fő esetén: 1-7 helyezett"/>
    <s v="Szigetszentmiklós"/>
    <d v="2026-03-22T00:00:00"/>
    <x v="447"/>
    <x v="0"/>
    <s v="Shogun"/>
    <x v="1"/>
  </r>
  <r>
    <n v="6"/>
    <s v="11 fő esetén: 1-7 helyezett"/>
    <s v="Szigetszentmiklós"/>
    <d v="2026-03-22T00:00:00"/>
    <x v="446"/>
    <x v="0"/>
    <s v="Kisvárda KKDOSC"/>
    <x v="1"/>
  </r>
  <r>
    <n v="4"/>
    <s v="11 fő esetén: 1-7 helyezett"/>
    <s v="Szigetszentmiklós"/>
    <d v="2026-03-22T00:00:00"/>
    <x v="248"/>
    <x v="1"/>
    <s v="Nagy Sándor Dojo"/>
    <x v="1"/>
  </r>
  <r>
    <n v="3"/>
    <s v="11 fő esetén: 1-7 helyezett"/>
    <s v="Szigetszentmiklós"/>
    <d v="2026-03-22T00:00:00"/>
    <x v="261"/>
    <x v="1"/>
    <s v="Genbu dojo"/>
    <x v="1"/>
  </r>
  <r>
    <n v="2"/>
    <s v="11 fő esetén: 1-7 helyezett"/>
    <s v="Szigetszentmiklós"/>
    <d v="2026-03-22T00:00:00"/>
    <x v="250"/>
    <x v="0"/>
    <s v="KSE Tarján"/>
    <x v="1"/>
  </r>
  <r>
    <n v="2"/>
    <s v="11 fő esetén: 1-7 helyezett"/>
    <s v="Szigetszentmiklós"/>
    <d v="2026-03-22T00:00:00"/>
    <x v="262"/>
    <x v="0"/>
    <s v="Nagykátai Bushido SE"/>
    <x v="1"/>
  </r>
  <r>
    <n v="2"/>
    <s v="11 fő esetén: 1-7 helyezett"/>
    <s v="Szigetszentmiklós"/>
    <d v="2026-03-22T00:00:00"/>
    <x v="441"/>
    <x v="0"/>
    <s v="Shogun"/>
    <x v="1"/>
  </r>
  <r>
    <n v="0"/>
    <s v="11 fő esetén: 1-7 helyezett"/>
    <s v="Szigetszentmiklós"/>
    <d v="2026-03-22T00:00:00"/>
    <x v="249"/>
    <x v="0"/>
    <s v="Főnix Dojo"/>
    <x v="1"/>
  </r>
  <r>
    <n v="0"/>
    <s v="11 fő esetén: 1-7 helyezett"/>
    <s v="Szigetszentmiklós"/>
    <d v="2026-03-22T00:00:00"/>
    <x v="265"/>
    <x v="0"/>
    <s v="ARSC"/>
    <x v="1"/>
  </r>
  <r>
    <n v="0"/>
    <s v="11 fő esetén: 1-7 helyezett"/>
    <s v="Szigetszentmiklós"/>
    <d v="2026-03-22T00:00:00"/>
    <x v="263"/>
    <x v="0"/>
    <s v="BHMSE"/>
    <x v="1"/>
  </r>
  <r>
    <n v="0"/>
    <s v="11 fő esetén: 1-7 helyezett"/>
    <s v="Szigetszentmiklós"/>
    <d v="2026-03-22T00:00:00"/>
    <x v="448"/>
    <x v="0"/>
    <s v="Kagami"/>
    <x v="1"/>
  </r>
  <r>
    <n v="6"/>
    <m/>
    <s v="Szigetszentmiklós"/>
    <d v="2026-03-22T00:00:00"/>
    <x v="449"/>
    <x v="0"/>
    <s v="KHSE"/>
    <x v="1"/>
  </r>
  <r>
    <n v="4"/>
    <m/>
    <s v="Szigetszentmiklós"/>
    <d v="2026-03-22T00:00:00"/>
    <x v="450"/>
    <x v="0"/>
    <s v="Nozomu Dojo"/>
    <x v="1"/>
  </r>
  <r>
    <n v="0"/>
    <m/>
    <s v="Szigetszentmiklós"/>
    <d v="2026-03-22T00:00:00"/>
    <x v="518"/>
    <x v="0"/>
    <s v="Főnix Dojo"/>
    <x v="1"/>
  </r>
  <r>
    <n v="8"/>
    <m/>
    <s v="Szigetszentmiklós"/>
    <d v="2026-03-22T00:00:00"/>
    <x v="452"/>
    <x v="0"/>
    <s v="KHSE"/>
    <x v="1"/>
  </r>
  <r>
    <n v="6"/>
    <m/>
    <s v="Szigetszentmiklós"/>
    <d v="2026-03-22T00:00:00"/>
    <x v="451"/>
    <x v="0"/>
    <s v="KHSE"/>
    <x v="1"/>
  </r>
  <r>
    <n v="4"/>
    <m/>
    <s v="Szigetszentmiklós"/>
    <d v="2026-03-22T00:00:00"/>
    <x v="267"/>
    <x v="0"/>
    <s v="Nagykátai Bushido SE"/>
    <x v="1"/>
  </r>
  <r>
    <n v="4"/>
    <m/>
    <s v="Szigetszentmiklós"/>
    <d v="2026-03-22T00:00:00"/>
    <x v="453"/>
    <x v="1"/>
    <s v="TADASHII "/>
    <x v="1"/>
  </r>
  <r>
    <n v="0"/>
    <m/>
    <s v="Szigetszentmiklós"/>
    <d v="2026-03-22T00:00:00"/>
    <x v="270"/>
    <x v="0"/>
    <s v="Goukai KSE"/>
    <x v="1"/>
  </r>
  <r>
    <n v="0"/>
    <m/>
    <s v="Szigetszentmiklós"/>
    <d v="2026-03-22T00:00:00"/>
    <x v="268"/>
    <x v="0"/>
    <s v="Ippon KKSE"/>
    <x v="1"/>
  </r>
  <r>
    <n v="0"/>
    <m/>
    <s v="Szigetszentmiklós"/>
    <d v="2026-03-22T00:00:00"/>
    <x v="269"/>
    <x v="0"/>
    <s v="Ippon KKSE"/>
    <x v="1"/>
  </r>
  <r>
    <n v="8"/>
    <m/>
    <s v="Szigetszentmiklós"/>
    <d v="2026-03-22T00:00:00"/>
    <x v="454"/>
    <x v="0"/>
    <s v="Victory"/>
    <x v="1"/>
  </r>
  <r>
    <n v="6"/>
    <m/>
    <s v="Szigetszentmiklós"/>
    <d v="2026-03-22T00:00:00"/>
    <x v="272"/>
    <x v="1"/>
    <s v="Tora HSE"/>
    <x v="1"/>
  </r>
  <r>
    <n v="4"/>
    <m/>
    <s v="Szigetszentmiklós"/>
    <d v="2026-03-22T00:00:00"/>
    <x v="456"/>
    <x v="0"/>
    <s v="KHSE"/>
    <x v="1"/>
  </r>
  <r>
    <n v="4"/>
    <m/>
    <s v="Szigetszentmiklós"/>
    <d v="2026-03-22T00:00:00"/>
    <x v="271"/>
    <x v="1"/>
    <s v="VTSE"/>
    <x v="1"/>
  </r>
  <r>
    <n v="0"/>
    <m/>
    <s v="Szigetszentmiklós"/>
    <d v="2026-03-22T00:00:00"/>
    <x v="519"/>
    <x v="0"/>
    <s v="Shogun"/>
    <x v="1"/>
  </r>
  <r>
    <n v="0"/>
    <m/>
    <s v="Szigetszentmiklós"/>
    <d v="2026-03-22T00:00:00"/>
    <x v="520"/>
    <x v="0"/>
    <s v="Nozomu Dojo"/>
    <x v="1"/>
  </r>
  <r>
    <n v="0"/>
    <m/>
    <s v="Szigetszentmiklós"/>
    <d v="2026-03-22T00:00:00"/>
    <x v="521"/>
    <x v="1"/>
    <s v="Nintai KKSE"/>
    <x v="1"/>
  </r>
  <r>
    <n v="0"/>
    <m/>
    <s v="Szigetszentmiklós"/>
    <d v="2026-03-22T00:00:00"/>
    <x v="455"/>
    <x v="0"/>
    <s v="Victory"/>
    <x v="1"/>
  </r>
  <r>
    <n v="8"/>
    <m/>
    <s v="Szigetszentmiklós"/>
    <d v="2026-03-22T00:00:00"/>
    <x v="457"/>
    <x v="0"/>
    <s v="Victory"/>
    <x v="1"/>
  </r>
  <r>
    <n v="6"/>
    <m/>
    <s v="Szigetszentmiklós"/>
    <d v="2026-03-22T00:00:00"/>
    <x v="458"/>
    <x v="0"/>
    <s v="Victory"/>
    <x v="1"/>
  </r>
  <r>
    <n v="0"/>
    <m/>
    <s v="Szigetszentmiklós"/>
    <d v="2026-03-22T00:00:00"/>
    <x v="522"/>
    <x v="1"/>
    <s v="VTSE"/>
    <x v="1"/>
  </r>
  <r>
    <n v="0"/>
    <m/>
    <s v="Szigetszentmiklós"/>
    <d v="2026-03-22T00:00:00"/>
    <x v="459"/>
    <x v="0"/>
    <s v="Bendiák Dojo"/>
    <x v="1"/>
  </r>
  <r>
    <n v="0"/>
    <m/>
    <s v="Szigetszentmiklós"/>
    <d v="2026-03-22T00:00:00"/>
    <x v="523"/>
    <x v="0"/>
    <s v="Kemecse SE"/>
    <x v="1"/>
  </r>
  <r>
    <n v="0"/>
    <m/>
    <s v="Szigetszentmiklós"/>
    <d v="2026-03-22T00:00:00"/>
    <x v="524"/>
    <x v="0"/>
    <s v="WARRIORS TEAM"/>
    <x v="1"/>
  </r>
  <r>
    <n v="0"/>
    <m/>
    <s v="Szigetszentmiklós"/>
    <d v="2026-03-22T00:00:00"/>
    <x v="525"/>
    <x v="0"/>
    <s v="Keizoku SE"/>
    <x v="1"/>
  </r>
  <r>
    <n v="8"/>
    <m/>
    <s v="Szigetszentmiklós"/>
    <d v="2026-03-22T00:00:00"/>
    <x v="461"/>
    <x v="0"/>
    <s v="Nozomu Dojo"/>
    <x v="1"/>
  </r>
  <r>
    <n v="6"/>
    <m/>
    <s v="Szigetszentmiklós"/>
    <d v="2026-03-22T00:00:00"/>
    <x v="460"/>
    <x v="0"/>
    <s v="Shogun"/>
    <x v="1"/>
  </r>
  <r>
    <n v="4"/>
    <m/>
    <s v="Szigetszentmiklós"/>
    <d v="2026-03-22T00:00:00"/>
    <x v="462"/>
    <x v="1"/>
    <s v="TADASHII "/>
    <x v="1"/>
  </r>
  <r>
    <n v="0"/>
    <m/>
    <s v="Szigetszentmiklós"/>
    <d v="2026-03-22T00:00:00"/>
    <x v="23"/>
    <x v="1"/>
    <s v="KyoDabas SE."/>
    <x v="1"/>
  </r>
  <r>
    <n v="8"/>
    <m/>
    <s v="Szigetszentmiklós"/>
    <d v="2026-03-22T00:00:00"/>
    <x v="282"/>
    <x v="0"/>
    <s v="BHMSE"/>
    <x v="1"/>
  </r>
  <r>
    <n v="6"/>
    <m/>
    <s v="Szigetszentmiklós"/>
    <d v="2026-03-22T00:00:00"/>
    <x v="463"/>
    <x v="0"/>
    <s v="Shogun"/>
    <x v="1"/>
  </r>
  <r>
    <n v="4"/>
    <m/>
    <s v="Szigetszentmiklós"/>
    <d v="2026-03-22T00:00:00"/>
    <x v="273"/>
    <x v="1"/>
    <s v="IKIGAI DOJO BÖRCS"/>
    <x v="1"/>
  </r>
  <r>
    <n v="4"/>
    <m/>
    <s v="Szigetszentmiklós"/>
    <d v="2026-03-22T00:00:00"/>
    <x v="465"/>
    <x v="0"/>
    <s v="Kisvárda KKDOSC"/>
    <x v="1"/>
  </r>
  <r>
    <n v="0"/>
    <m/>
    <s v="Szigetszentmiklós"/>
    <d v="2026-03-22T00:00:00"/>
    <x v="526"/>
    <x v="0"/>
    <s v="Kisvárda KKDOSC"/>
    <x v="1"/>
  </r>
  <r>
    <n v="0"/>
    <m/>
    <s v="Szigetszentmiklós"/>
    <d v="2026-03-22T00:00:00"/>
    <x v="274"/>
    <x v="0"/>
    <s v="Shinkyo SE"/>
    <x v="1"/>
  </r>
  <r>
    <n v="0"/>
    <m/>
    <s v="Szigetszentmiklós"/>
    <d v="2026-03-22T00:00:00"/>
    <x v="464"/>
    <x v="0"/>
    <s v="KHSE"/>
    <x v="1"/>
  </r>
  <r>
    <n v="8"/>
    <s v="9 fő esetén: 1-5 helyezett"/>
    <s v="Szigetszentmiklós"/>
    <d v="2026-03-22T00:00:00"/>
    <x v="460"/>
    <x v="0"/>
    <s v="Shogun"/>
    <x v="1"/>
  </r>
  <r>
    <n v="6"/>
    <s v="9 fő esetén: 1-5 helyezett"/>
    <s v="Szigetszentmiklós"/>
    <d v="2026-03-22T00:00:00"/>
    <x v="466"/>
    <x v="0"/>
    <s v="Shogun"/>
    <x v="1"/>
  </r>
  <r>
    <n v="4"/>
    <s v="9 fő esetén: 1-5 helyezett"/>
    <s v="Szigetszentmiklós"/>
    <d v="2026-03-22T00:00:00"/>
    <x v="467"/>
    <x v="0"/>
    <s v="Shogun"/>
    <x v="1"/>
  </r>
  <r>
    <n v="3"/>
    <s v="9 fő esetén: 1-5 helyezett"/>
    <s v="Szigetszentmiklós"/>
    <d v="2026-03-22T00:00:00"/>
    <x v="275"/>
    <x v="0"/>
    <s v="BHMSE"/>
    <x v="1"/>
  </r>
  <r>
    <n v="2"/>
    <s v="9 fő esetén: 1-5 helyezett"/>
    <s v="Szigetszentmiklós"/>
    <d v="2026-03-22T00:00:00"/>
    <x v="468"/>
    <x v="1"/>
    <s v="TADASHII "/>
    <x v="1"/>
  </r>
  <r>
    <n v="0"/>
    <s v="9 fő esetén: 1-5 helyezett"/>
    <s v="Szigetszentmiklós"/>
    <d v="2026-03-22T00:00:00"/>
    <x v="276"/>
    <x v="1"/>
    <s v="Nagy Sándor Dojo"/>
    <x v="1"/>
  </r>
  <r>
    <n v="0"/>
    <s v="9 fő esetén: 1-5 helyezett"/>
    <s v="Szigetszentmiklós"/>
    <d v="2026-03-22T00:00:00"/>
    <x v="273"/>
    <x v="1"/>
    <s v="IKIGAI DOJO BÖRCS"/>
    <x v="1"/>
  </r>
  <r>
    <n v="0"/>
    <s v="9 fő esetén: 1-5 helyezett"/>
    <s v="Szigetszentmiklós"/>
    <d v="2026-03-22T00:00:00"/>
    <x v="482"/>
    <x v="0"/>
    <s v="KHSE"/>
    <x v="1"/>
  </r>
  <r>
    <n v="0"/>
    <s v="9 fő esetén: 1-5 helyezett"/>
    <s v="Szigetszentmiklós"/>
    <d v="2026-03-22T00:00:00"/>
    <x v="469"/>
    <x v="1"/>
    <s v="Borza Dojo"/>
    <x v="1"/>
  </r>
  <r>
    <n v="10"/>
    <m/>
    <s v="Szigetszentmiklós"/>
    <d v="2026-03-22T00:00:00"/>
    <x v="470"/>
    <x v="0"/>
    <s v="Nozomu Dojo"/>
    <x v="1"/>
  </r>
  <r>
    <n v="8"/>
    <m/>
    <s v="Szigetszentmiklós"/>
    <d v="2026-03-22T00:00:00"/>
    <x v="277"/>
    <x v="0"/>
    <s v="Cs.S.E."/>
    <x v="1"/>
  </r>
  <r>
    <n v="6"/>
    <m/>
    <s v="Szigetszentmiklós"/>
    <d v="2026-03-22T00:00:00"/>
    <x v="278"/>
    <x v="0"/>
    <s v="BHMSE"/>
    <x v="1"/>
  </r>
  <r>
    <n v="4"/>
    <m/>
    <s v="Szigetszentmiklós"/>
    <d v="2026-03-22T00:00:00"/>
    <x v="279"/>
    <x v="0"/>
    <s v="Főnix Dojo"/>
    <x v="1"/>
  </r>
  <r>
    <n v="0"/>
    <m/>
    <s v="Szigetszentmiklós"/>
    <d v="2026-03-22T00:00:00"/>
    <x v="471"/>
    <x v="0"/>
    <s v="Shogun"/>
    <x v="1"/>
  </r>
  <r>
    <n v="8"/>
    <m/>
    <s v="Szigetszentmiklós"/>
    <d v="2026-03-22T00:00:00"/>
    <x v="473"/>
    <x v="0"/>
    <s v="KHSE"/>
    <x v="1"/>
  </r>
  <r>
    <n v="6"/>
    <m/>
    <s v="Szigetszentmiklós"/>
    <d v="2026-03-22T00:00:00"/>
    <x v="472"/>
    <x v="0"/>
    <s v="Victory"/>
    <x v="1"/>
  </r>
  <r>
    <n v="4"/>
    <m/>
    <s v="Szigetszentmiklós"/>
    <d v="2026-03-22T00:00:00"/>
    <x v="280"/>
    <x v="0"/>
    <s v="Castrum"/>
    <x v="1"/>
  </r>
  <r>
    <n v="0"/>
    <m/>
    <s v="Szigetszentmiklós"/>
    <d v="2026-03-22T00:00:00"/>
    <x v="281"/>
    <x v="0"/>
    <s v="Rakurai"/>
    <x v="1"/>
  </r>
  <r>
    <n v="10"/>
    <m/>
    <s v="Szigetszentmiklós"/>
    <d v="2026-03-22T00:00:00"/>
    <x v="283"/>
    <x v="1"/>
    <s v="VTSE"/>
    <x v="1"/>
  </r>
  <r>
    <n v="8"/>
    <m/>
    <s v="Szigetszentmiklós"/>
    <d v="2026-03-22T00:00:00"/>
    <x v="284"/>
    <x v="0"/>
    <s v="Rakurai"/>
    <x v="1"/>
  </r>
  <r>
    <n v="6"/>
    <m/>
    <s v="Szigetszentmiklós"/>
    <d v="2026-03-22T00:00:00"/>
    <x v="474"/>
    <x v="0"/>
    <s v="Kemecse SE"/>
    <x v="1"/>
  </r>
  <r>
    <n v="4"/>
    <m/>
    <s v="Szigetszentmiklós"/>
    <d v="2026-03-22T00:00:00"/>
    <x v="527"/>
    <x v="0"/>
    <s v="Főnix Dojo"/>
    <x v="1"/>
  </r>
  <r>
    <n v="3"/>
    <m/>
    <s v="Szigetszentmiklós"/>
    <d v="2026-03-22T00:00:00"/>
    <x v="475"/>
    <x v="0"/>
    <s v="Derecske BUDO"/>
    <x v="1"/>
  </r>
  <r>
    <n v="8"/>
    <m/>
    <s v="Szigetszentmiklós"/>
    <d v="2026-03-22T00:00:00"/>
    <x v="56"/>
    <x v="0"/>
    <s v="Shogun"/>
    <x v="1"/>
  </r>
  <r>
    <n v="6"/>
    <m/>
    <s v="Szigetszentmiklós"/>
    <d v="2026-03-22T00:00:00"/>
    <x v="477"/>
    <x v="0"/>
    <s v="Shogun"/>
    <x v="1"/>
  </r>
  <r>
    <n v="4"/>
    <m/>
    <s v="Szigetszentmiklós"/>
    <d v="2026-03-22T00:00:00"/>
    <x v="476"/>
    <x v="0"/>
    <s v="Victory"/>
    <x v="1"/>
  </r>
  <r>
    <n v="4"/>
    <m/>
    <s v="Szigetszentmiklós"/>
    <d v="2026-03-22T00:00:00"/>
    <x v="51"/>
    <x v="0"/>
    <s v="KHSE"/>
    <x v="1"/>
  </r>
  <r>
    <n v="0"/>
    <m/>
    <s v="Szigetszentmiklós"/>
    <d v="2026-03-22T00:00:00"/>
    <x v="286"/>
    <x v="0"/>
    <s v="BHMSE"/>
    <x v="1"/>
  </r>
  <r>
    <n v="0"/>
    <m/>
    <s v="Szigetszentmiklós"/>
    <d v="2026-03-22T00:00:00"/>
    <x v="287"/>
    <x v="0"/>
    <s v="Goukai KSE"/>
    <x v="1"/>
  </r>
  <r>
    <n v="0"/>
    <m/>
    <s v="Szigetszentmiklós"/>
    <d v="2026-03-22T00:00:00"/>
    <x v="285"/>
    <x v="1"/>
    <s v="VTSE"/>
    <x v="1"/>
  </r>
  <r>
    <n v="6"/>
    <m/>
    <s v="Szigetszentmiklós"/>
    <d v="2026-03-22T00:00:00"/>
    <x v="479"/>
    <x v="0"/>
    <s v="KHSE"/>
    <x v="1"/>
  </r>
  <r>
    <n v="4"/>
    <m/>
    <s v="Szigetszentmiklós"/>
    <d v="2026-03-22T00:00:00"/>
    <x v="480"/>
    <x v="0"/>
    <s v="KHSE"/>
    <x v="1"/>
  </r>
  <r>
    <n v="0"/>
    <m/>
    <s v="Szigetszentmiklós"/>
    <d v="2026-03-22T00:00:00"/>
    <x v="481"/>
    <x v="0"/>
    <s v="Shogun"/>
    <x v="1"/>
  </r>
  <r>
    <n v="8"/>
    <s v="14 fő esetén: 1-8 helyezett"/>
    <s v="Szigetszentmiklós"/>
    <d v="2026-03-22T00:00:00"/>
    <x v="55"/>
    <x v="0"/>
    <s v="Kagami"/>
    <x v="1"/>
  </r>
  <r>
    <n v="6"/>
    <s v="14 fő esetén: 1-8 helyezett"/>
    <s v="Szigetszentmiklós"/>
    <d v="2026-03-22T00:00:00"/>
    <x v="56"/>
    <x v="0"/>
    <s v="Shogun"/>
    <x v="1"/>
  </r>
  <r>
    <n v="4"/>
    <s v="14 fő esetén: 1-8 helyezett"/>
    <s v="Szigetszentmiklós"/>
    <d v="2026-03-22T00:00:00"/>
    <x v="60"/>
    <x v="0"/>
    <s v="Shogun"/>
    <x v="1"/>
  </r>
  <r>
    <n v="3"/>
    <s v="14 fő esetén: 1-8 helyezett"/>
    <s v="Szigetszentmiklós"/>
    <d v="2026-03-22T00:00:00"/>
    <x v="58"/>
    <x v="0"/>
    <s v="Kagami"/>
    <x v="1"/>
  </r>
  <r>
    <n v="2"/>
    <s v="14 fő esetén: 1-8 helyezett"/>
    <s v="Szigetszentmiklós"/>
    <d v="2026-03-22T00:00:00"/>
    <x v="474"/>
    <x v="0"/>
    <s v="Kemecse SE"/>
    <x v="1"/>
  </r>
  <r>
    <n v="2"/>
    <s v="14 fő esetén: 1-8 helyezett"/>
    <s v="Szigetszentmiklós"/>
    <d v="2026-03-22T00:00:00"/>
    <x v="284"/>
    <x v="0"/>
    <s v="Rakurai"/>
    <x v="1"/>
  </r>
  <r>
    <n v="2"/>
    <s v="14 fő esetén: 1-8 helyezett"/>
    <s v="Szigetszentmiklós"/>
    <d v="2026-03-22T00:00:00"/>
    <x v="477"/>
    <x v="0"/>
    <s v="Shogun"/>
    <x v="1"/>
  </r>
  <r>
    <n v="2"/>
    <s v="14 fő esetén: 1-8 helyezett"/>
    <s v="Szigetszentmiklós"/>
    <d v="2026-03-22T00:00:00"/>
    <x v="277"/>
    <x v="0"/>
    <s v="Cs.S.E."/>
    <x v="1"/>
  </r>
  <r>
    <n v="0"/>
    <s v="14 fő esetén: 1-8 helyezett"/>
    <s v="Szigetszentmiklós"/>
    <d v="2026-03-22T00:00:00"/>
    <x v="291"/>
    <x v="0"/>
    <s v="Siófok KSE"/>
    <x v="1"/>
  </r>
  <r>
    <n v="0"/>
    <s v="14 fő esetén: 1-8 helyezett"/>
    <s v="Szigetszentmiklós"/>
    <d v="2026-03-22T00:00:00"/>
    <x v="289"/>
    <x v="0"/>
    <s v="ARSC"/>
    <x v="1"/>
  </r>
  <r>
    <n v="0"/>
    <s v="14 fő esetén: 1-8 helyezett"/>
    <s v="Szigetszentmiklós"/>
    <d v="2026-03-22T00:00:00"/>
    <x v="294"/>
    <x v="0"/>
    <s v="Kihaku SE"/>
    <x v="1"/>
  </r>
  <r>
    <n v="4"/>
    <m/>
    <s v="Szigetszentmiklós"/>
    <d v="2026-03-22T00:00:00"/>
    <x v="28"/>
    <x v="0"/>
    <s v="Főnix Dojo"/>
    <x v="1"/>
  </r>
  <r>
    <n v="0"/>
    <s v="14 fő esetén: 1-8 helyezett"/>
    <s v="Szigetszentmiklós"/>
    <d v="2026-03-22T00:00:00"/>
    <x v="292"/>
    <x v="0"/>
    <s v="ARSC"/>
    <x v="1"/>
  </r>
  <r>
    <n v="0"/>
    <s v="14 fő esetén: 1-8 helyezett"/>
    <s v="Szigetszentmiklós"/>
    <d v="2026-03-22T00:00:00"/>
    <x v="290"/>
    <x v="0"/>
    <s v="Shinkyo SE"/>
    <x v="1"/>
  </r>
  <r>
    <n v="0"/>
    <s v="14 fő esetén: 1-8 helyezett"/>
    <s v="Szigetszentmiklós"/>
    <d v="2026-03-22T00:00:00"/>
    <x v="288"/>
    <x v="0"/>
    <s v="KSE Tarján"/>
    <x v="1"/>
  </r>
  <r>
    <n v="6"/>
    <m/>
    <s v="Várpalota"/>
    <d v="2026-02-28T00:00:00"/>
    <x v="99"/>
    <x v="0"/>
    <s v="Katana SE"/>
    <x v="1"/>
  </r>
  <r>
    <n v="5"/>
    <m/>
    <s v="Várpalota"/>
    <d v="2026-02-28T00:00:00"/>
    <x v="110"/>
    <x v="0"/>
    <s v="Katana SE"/>
    <x v="1"/>
  </r>
  <r>
    <n v="3"/>
    <m/>
    <s v="Várpalota"/>
    <d v="2026-02-28T00:00:00"/>
    <x v="101"/>
    <x v="0"/>
    <s v="Kamikaze S"/>
    <x v="1"/>
  </r>
  <r>
    <n v="4"/>
    <m/>
    <s v="Várpalota"/>
    <d v="2026-02-28T00:00:00"/>
    <x v="126"/>
    <x v="0"/>
    <s v="WARRIORS TEAM"/>
    <x v="1"/>
  </r>
  <r>
    <n v="3"/>
    <m/>
    <s v="Várpalota"/>
    <d v="2026-02-28T00:00:00"/>
    <x v="528"/>
    <x v="0"/>
    <s v="POWER SE."/>
    <x v="1"/>
  </r>
  <r>
    <n v="0"/>
    <m/>
    <s v="Várpalota"/>
    <d v="2026-02-28T00:00:00"/>
    <x v="121"/>
    <x v="0"/>
    <s v="Katana SE"/>
    <x v="1"/>
  </r>
  <r>
    <n v="3"/>
    <m/>
    <s v="Várpalota"/>
    <d v="2026-02-28T00:00:00"/>
    <x v="529"/>
    <x v="0"/>
    <s v="Nagykátai Bushido SE"/>
    <x v="1"/>
  </r>
  <r>
    <n v="0"/>
    <m/>
    <s v="Várpalota"/>
    <d v="2026-02-28T00:00:00"/>
    <x v="491"/>
    <x v="0"/>
    <s v="Rakurai"/>
    <x v="1"/>
  </r>
  <r>
    <n v="3"/>
    <m/>
    <s v="Várpalota"/>
    <d v="2026-02-28T00:00:00"/>
    <x v="144"/>
    <x v="1"/>
    <s v="VTSE"/>
    <x v="1"/>
  </r>
  <r>
    <n v="0"/>
    <m/>
    <s v="Várpalota"/>
    <d v="2026-02-28T00:00:00"/>
    <x v="147"/>
    <x v="0"/>
    <s v="Főnix Dojo"/>
    <x v="1"/>
  </r>
  <r>
    <n v="6"/>
    <m/>
    <s v="Várpalota"/>
    <d v="2026-02-28T00:00:00"/>
    <x v="142"/>
    <x v="1"/>
    <s v="Genbu dojo"/>
    <x v="1"/>
  </r>
  <r>
    <n v="5"/>
    <m/>
    <s v="Várpalota"/>
    <d v="2026-02-28T00:00:00"/>
    <x v="141"/>
    <x v="1"/>
    <s v="Genbu dojo"/>
    <x v="1"/>
  </r>
  <r>
    <n v="3"/>
    <m/>
    <s v="Várpalota"/>
    <d v="2026-02-28T00:00:00"/>
    <x v="494"/>
    <x v="0"/>
    <s v="Főnix Dojo"/>
    <x v="1"/>
  </r>
  <r>
    <n v="6"/>
    <m/>
    <s v="Várpalota"/>
    <d v="2026-02-28T00:00:00"/>
    <x v="530"/>
    <x v="0"/>
    <s v="POWER SE."/>
    <x v="1"/>
  </r>
  <r>
    <n v="5"/>
    <m/>
    <s v="Várpalota"/>
    <d v="2026-02-28T00:00:00"/>
    <x v="158"/>
    <x v="0"/>
    <s v="KKE - Spartacus"/>
    <x v="1"/>
  </r>
  <r>
    <n v="3"/>
    <m/>
    <s v="Várpalota"/>
    <d v="2026-02-28T00:00:00"/>
    <x v="160"/>
    <x v="1"/>
    <s v="VTSE"/>
    <x v="1"/>
  </r>
  <r>
    <n v="8"/>
    <m/>
    <s v="Várpalota"/>
    <d v="2026-02-28T00:00:00"/>
    <x v="171"/>
    <x v="1"/>
    <s v="VTSE"/>
    <x v="1"/>
  </r>
  <r>
    <n v="6"/>
    <m/>
    <s v="Várpalota"/>
    <d v="2026-02-28T00:00:00"/>
    <x v="531"/>
    <x v="0"/>
    <s v="KKE - Spartacus"/>
    <x v="1"/>
  </r>
  <r>
    <n v="4"/>
    <m/>
    <s v="Várpalota"/>
    <d v="2026-02-28T00:00:00"/>
    <x v="163"/>
    <x v="0"/>
    <s v="KKE - Spartacus"/>
    <x v="1"/>
  </r>
  <r>
    <n v="4"/>
    <m/>
    <s v="Várpalota"/>
    <d v="2026-02-28T00:00:00"/>
    <x v="170"/>
    <x v="1"/>
    <s v="VTSE"/>
    <x v="1"/>
  </r>
  <r>
    <n v="0"/>
    <s v="nem volt nyertes mérkőzése"/>
    <s v="Várpalota"/>
    <d v="2026-02-28T00:00:00"/>
    <x v="174"/>
    <x v="0"/>
    <s v="Rokku KKSE"/>
    <x v="1"/>
  </r>
  <r>
    <n v="0"/>
    <s v="nem volt nyertes mérkőzése"/>
    <s v="Várpalota"/>
    <d v="2026-02-28T00:00:00"/>
    <x v="173"/>
    <x v="0"/>
    <s v="Főnix Dojo"/>
    <x v="1"/>
  </r>
  <r>
    <n v="0"/>
    <s v="nem volt nyertes mérkőzése"/>
    <s v="Várpalota"/>
    <d v="2026-02-28T00:00:00"/>
    <x v="532"/>
    <x v="0"/>
    <s v="Marcali SKK"/>
    <x v="1"/>
  </r>
  <r>
    <n v="0"/>
    <s v="nem volt nyertes mérkőzése"/>
    <s v="Várpalota"/>
    <d v="2026-02-28T00:00:00"/>
    <x v="533"/>
    <x v="0"/>
    <s v="ASE Bulldog KKSZCS"/>
    <x v="1"/>
  </r>
  <r>
    <n v="0"/>
    <m/>
    <s v="Várpalota"/>
    <d v="2026-02-28T00:00:00"/>
    <x v="165"/>
    <x v="0"/>
    <s v="Rakurai"/>
    <x v="1"/>
  </r>
  <r>
    <n v="3"/>
    <m/>
    <s v="Várpalota"/>
    <d v="2026-02-28T00:00:00"/>
    <x v="172"/>
    <x v="0"/>
    <s v="Rokku KKSE"/>
    <x v="1"/>
  </r>
  <r>
    <n v="0"/>
    <m/>
    <s v="Várpalota"/>
    <d v="2026-02-28T00:00:00"/>
    <x v="184"/>
    <x v="0"/>
    <s v="Rokku KKSE"/>
    <x v="1"/>
  </r>
  <r>
    <n v="6"/>
    <m/>
    <s v="Várpalota"/>
    <d v="2026-02-28T00:00:00"/>
    <x v="176"/>
    <x v="0"/>
    <s v="Rakurai"/>
    <x v="1"/>
  </r>
  <r>
    <n v="5"/>
    <m/>
    <s v="Várpalota"/>
    <d v="2026-02-28T00:00:00"/>
    <x v="178"/>
    <x v="0"/>
    <s v="Rakurai"/>
    <x v="1"/>
  </r>
  <r>
    <n v="3"/>
    <m/>
    <s v="Várpalota"/>
    <d v="2026-02-28T00:00:00"/>
    <x v="187"/>
    <x v="0"/>
    <s v="KKE - Spartacus"/>
    <x v="1"/>
  </r>
  <r>
    <n v="3"/>
    <m/>
    <s v="Várpalota"/>
    <d v="2026-02-28T00:00:00"/>
    <x v="534"/>
    <x v="0"/>
    <s v="POWER SE."/>
    <x v="1"/>
  </r>
  <r>
    <n v="0"/>
    <m/>
    <s v="Várpalota"/>
    <d v="2026-02-28T00:00:00"/>
    <x v="179"/>
    <x v="0"/>
    <s v="Főnix Dojo"/>
    <x v="1"/>
  </r>
  <r>
    <n v="0"/>
    <m/>
    <s v="Várpalota"/>
    <d v="2026-02-28T00:00:00"/>
    <x v="177"/>
    <x v="0"/>
    <s v="Rokku KKSE"/>
    <x v="1"/>
  </r>
  <r>
    <n v="0"/>
    <m/>
    <s v="Várpalota"/>
    <d v="2026-02-28T00:00:00"/>
    <x v="535"/>
    <x v="0"/>
    <s v="Griff SE"/>
    <x v="1"/>
  </r>
  <r>
    <n v="0"/>
    <m/>
    <s v="Várpalota"/>
    <d v="2026-02-28T00:00:00"/>
    <x v="502"/>
    <x v="0"/>
    <s v="Rakurai"/>
    <x v="1"/>
  </r>
  <r>
    <n v="3"/>
    <m/>
    <s v="Várpalota"/>
    <d v="2026-02-28T00:00:00"/>
    <x v="193"/>
    <x v="0"/>
    <s v="Rakurai"/>
    <x v="1"/>
  </r>
  <r>
    <n v="0"/>
    <m/>
    <s v="Várpalota"/>
    <d v="2026-02-28T00:00:00"/>
    <x v="212"/>
    <x v="0"/>
    <s v="Kamikaze S"/>
    <x v="1"/>
  </r>
  <r>
    <n v="6"/>
    <m/>
    <s v="Várpalota"/>
    <d v="2026-02-28T00:00:00"/>
    <x v="202"/>
    <x v="0"/>
    <s v="Főnix Dojo"/>
    <x v="1"/>
  </r>
  <r>
    <n v="5"/>
    <m/>
    <s v="Várpalota"/>
    <d v="2026-02-28T00:00:00"/>
    <x v="195"/>
    <x v="1"/>
    <s v="VTSE"/>
    <x v="1"/>
  </r>
  <r>
    <n v="3"/>
    <m/>
    <s v="Várpalota"/>
    <d v="2026-02-28T00:00:00"/>
    <x v="536"/>
    <x v="1"/>
    <s v="Tora HSE"/>
    <x v="1"/>
  </r>
  <r>
    <n v="4"/>
    <m/>
    <s v="Várpalota"/>
    <d v="2026-02-28T00:00:00"/>
    <x v="206"/>
    <x v="0"/>
    <s v="WARRIORS TEAM"/>
    <x v="1"/>
  </r>
  <r>
    <n v="3"/>
    <m/>
    <s v="Várpalota"/>
    <d v="2026-02-28T00:00:00"/>
    <x v="207"/>
    <x v="0"/>
    <s v="Katana SE"/>
    <x v="1"/>
  </r>
  <r>
    <n v="0"/>
    <m/>
    <s v="Várpalota"/>
    <d v="2026-02-28T00:00:00"/>
    <x v="537"/>
    <x v="0"/>
    <s v="Keszth.KKK"/>
    <x v="1"/>
  </r>
  <r>
    <n v="4"/>
    <m/>
    <s v="Várpalota"/>
    <d v="2026-02-28T00:00:00"/>
    <x v="209"/>
    <x v="1"/>
    <s v="VTSE"/>
    <x v="1"/>
  </r>
  <r>
    <n v="3"/>
    <m/>
    <s v="Várpalota"/>
    <d v="2026-02-28T00:00:00"/>
    <x v="211"/>
    <x v="0"/>
    <s v="Rakurai"/>
    <x v="1"/>
  </r>
  <r>
    <n v="0"/>
    <m/>
    <s v="Várpalota"/>
    <d v="2026-02-28T00:00:00"/>
    <x v="214"/>
    <x v="0"/>
    <s v="Katana SE"/>
    <x v="1"/>
  </r>
  <r>
    <n v="4"/>
    <m/>
    <s v="Várpalota"/>
    <d v="2026-02-28T00:00:00"/>
    <x v="261"/>
    <x v="1"/>
    <s v="Genbu dojo"/>
    <x v="1"/>
  </r>
  <r>
    <n v="3"/>
    <m/>
    <s v="Várpalota"/>
    <d v="2026-02-28T00:00:00"/>
    <x v="249"/>
    <x v="0"/>
    <s v="Főnix Dojo"/>
    <x v="1"/>
  </r>
  <r>
    <n v="0"/>
    <m/>
    <s v="Várpalota"/>
    <d v="2026-02-28T00:00:00"/>
    <x v="538"/>
    <x v="0"/>
    <s v="POWER SE."/>
    <x v="1"/>
  </r>
  <r>
    <n v="3"/>
    <m/>
    <s v="Várpalota"/>
    <d v="2026-02-28T00:00:00"/>
    <x v="253"/>
    <x v="0"/>
    <s v="Rakurai"/>
    <x v="1"/>
  </r>
  <r>
    <n v="0"/>
    <m/>
    <s v="Várpalota"/>
    <d v="2026-02-28T00:00:00"/>
    <x v="539"/>
    <x v="1"/>
    <s v="Tora HSE"/>
    <x v="1"/>
  </r>
  <r>
    <n v="6"/>
    <m/>
    <s v="Várpalota"/>
    <d v="2026-02-28T00:00:00"/>
    <x v="514"/>
    <x v="0"/>
    <s v="BHMSE"/>
    <x v="1"/>
  </r>
  <r>
    <n v="5"/>
    <m/>
    <s v="Várpalota"/>
    <d v="2026-02-28T00:00:00"/>
    <x v="254"/>
    <x v="1"/>
    <s v="VTSE"/>
    <x v="1"/>
  </r>
  <r>
    <n v="3"/>
    <m/>
    <s v="Várpalota"/>
    <d v="2026-02-28T00:00:00"/>
    <x v="256"/>
    <x v="0"/>
    <s v="WARRIORS TEAM"/>
    <x v="1"/>
  </r>
  <r>
    <n v="3"/>
    <m/>
    <s v="Várpalota"/>
    <d v="2026-02-28T00:00:00"/>
    <x v="257"/>
    <x v="0"/>
    <s v="Kamikaze S"/>
    <x v="1"/>
  </r>
  <r>
    <n v="0"/>
    <m/>
    <s v="Várpalota"/>
    <d v="2026-02-28T00:00:00"/>
    <x v="259"/>
    <x v="0"/>
    <s v="Keszth.KKK"/>
    <x v="1"/>
  </r>
  <r>
    <n v="8"/>
    <m/>
    <s v="Gyöngyös"/>
    <d v="2026-03-07T00:00:00"/>
    <x v="540"/>
    <x v="0"/>
    <s v="Magna Dojo"/>
    <x v="1"/>
  </r>
  <r>
    <n v="6"/>
    <m/>
    <s v="Gyöngyös"/>
    <d v="2026-03-07T00:00:00"/>
    <x v="330"/>
    <x v="0"/>
    <s v="Shogun"/>
    <x v="1"/>
  </r>
  <r>
    <n v="4"/>
    <m/>
    <s v="Gyöngyös"/>
    <d v="2026-03-07T00:00:00"/>
    <x v="319"/>
    <x v="0"/>
    <s v="Shogun"/>
    <x v="1"/>
  </r>
  <r>
    <n v="3"/>
    <m/>
    <s v="Gyöngyös"/>
    <d v="2026-03-07T00:00:00"/>
    <x v="333"/>
    <x v="0"/>
    <s v="Keizoku SE"/>
    <x v="1"/>
  </r>
  <r>
    <n v="4"/>
    <m/>
    <s v="Gyöngyös"/>
    <d v="2026-03-07T00:00:00"/>
    <x v="541"/>
    <x v="0"/>
    <s v="KHSE"/>
    <x v="1"/>
  </r>
  <r>
    <n v="3"/>
    <m/>
    <s v="Gyöngyös"/>
    <d v="2026-03-07T00:00:00"/>
    <x v="542"/>
    <x v="1"/>
    <s v="Wheelmaker dojo SE"/>
    <x v="1"/>
  </r>
  <r>
    <n v="0"/>
    <m/>
    <s v="Gyöngyös"/>
    <d v="2026-03-07T00:00:00"/>
    <x v="543"/>
    <x v="0"/>
    <s v="KHSE"/>
    <x v="1"/>
  </r>
  <r>
    <n v="6"/>
    <m/>
    <s v="Gyöngyös"/>
    <d v="2026-03-07T00:00:00"/>
    <x v="544"/>
    <x v="0"/>
    <s v="KHSE"/>
    <x v="1"/>
  </r>
  <r>
    <n v="5"/>
    <m/>
    <s v="Gyöngyös"/>
    <d v="2026-03-07T00:00:00"/>
    <x v="341"/>
    <x v="0"/>
    <s v="Derecske BUDO"/>
    <x v="1"/>
  </r>
  <r>
    <n v="3"/>
    <m/>
    <s v="Gyöngyös"/>
    <d v="2026-03-07T00:00:00"/>
    <x v="340"/>
    <x v="0"/>
    <s v="Derecske BUDO"/>
    <x v="1"/>
  </r>
  <r>
    <n v="3"/>
    <m/>
    <s v="Gyöngyös"/>
    <d v="2026-03-07T00:00:00"/>
    <x v="335"/>
    <x v="0"/>
    <s v="Shogun"/>
    <x v="1"/>
  </r>
  <r>
    <n v="0"/>
    <m/>
    <s v="Gyöngyös"/>
    <d v="2026-03-07T00:00:00"/>
    <x v="347"/>
    <x v="0"/>
    <s v="Shogun"/>
    <x v="1"/>
  </r>
  <r>
    <n v="0"/>
    <m/>
    <s v="Gyöngyös"/>
    <d v="2026-03-07T00:00:00"/>
    <x v="545"/>
    <x v="0"/>
    <s v="KHSE"/>
    <x v="1"/>
  </r>
  <r>
    <n v="0"/>
    <m/>
    <s v="Gyöngyös"/>
    <d v="2026-03-07T00:00:00"/>
    <x v="348"/>
    <x v="0"/>
    <s v="Shogun"/>
    <x v="1"/>
  </r>
  <r>
    <n v="3"/>
    <m/>
    <s v="Gyöngyös"/>
    <d v="2026-03-07T00:00:00"/>
    <x v="358"/>
    <x v="0"/>
    <s v="Shogun"/>
    <x v="1"/>
  </r>
  <r>
    <n v="0"/>
    <m/>
    <s v="Gyöngyös"/>
    <d v="2026-03-07T00:00:00"/>
    <x v="366"/>
    <x v="0"/>
    <s v="Kemecse SE"/>
    <x v="1"/>
  </r>
  <r>
    <n v="3"/>
    <m/>
    <s v="Gyöngyös"/>
    <d v="2026-03-07T00:00:00"/>
    <x v="546"/>
    <x v="0"/>
    <s v="KHSE"/>
    <x v="1"/>
  </r>
  <r>
    <n v="0"/>
    <m/>
    <s v="Gyöngyös"/>
    <d v="2026-03-07T00:00:00"/>
    <x v="363"/>
    <x v="0"/>
    <s v="Shogun"/>
    <x v="1"/>
  </r>
  <r>
    <n v="4"/>
    <m/>
    <s v="Gyöngyös"/>
    <d v="2026-03-07T00:00:00"/>
    <x v="394"/>
    <x v="0"/>
    <s v="KYO Fighter SE"/>
    <x v="1"/>
  </r>
  <r>
    <n v="3"/>
    <m/>
    <s v="Gyöngyös"/>
    <d v="2026-03-07T00:00:00"/>
    <x v="547"/>
    <x v="1"/>
    <s v="Wheelmaker dojo SE"/>
    <x v="1"/>
  </r>
  <r>
    <n v="0"/>
    <m/>
    <s v="Gyöngyös"/>
    <d v="2026-03-07T00:00:00"/>
    <x v="548"/>
    <x v="1"/>
    <s v="Wheelmaker dojo SE"/>
    <x v="1"/>
  </r>
  <r>
    <n v="6"/>
    <m/>
    <s v="Gyöngyös"/>
    <d v="2026-03-07T00:00:00"/>
    <x v="549"/>
    <x v="1"/>
    <s v="Wheelmaker dojo SE"/>
    <x v="1"/>
  </r>
  <r>
    <n v="5"/>
    <m/>
    <s v="Gyöngyös"/>
    <d v="2026-03-07T00:00:00"/>
    <x v="550"/>
    <x v="1"/>
    <s v="Délegyházi Karate SE"/>
    <x v="1"/>
  </r>
  <r>
    <n v="3"/>
    <m/>
    <s v="Gyöngyös"/>
    <d v="2026-03-07T00:00:00"/>
    <x v="551"/>
    <x v="1"/>
    <s v="TADASHII "/>
    <x v="1"/>
  </r>
  <r>
    <n v="3"/>
    <m/>
    <s v="Gyöngyös"/>
    <d v="2026-03-07T00:00:00"/>
    <x v="389"/>
    <x v="0"/>
    <s v="Derecske BUDO"/>
    <x v="1"/>
  </r>
  <r>
    <n v="0"/>
    <m/>
    <s v="Gyöngyös"/>
    <d v="2026-03-07T00:00:00"/>
    <x v="391"/>
    <x v="0"/>
    <s v="KHSE"/>
    <x v="1"/>
  </r>
  <r>
    <n v="3"/>
    <m/>
    <s v="Gyöngyös"/>
    <d v="2026-03-07T00:00:00"/>
    <x v="388"/>
    <x v="0"/>
    <s v="KHSE"/>
    <x v="1"/>
  </r>
  <r>
    <n v="0"/>
    <m/>
    <s v="Gyöngyös"/>
    <d v="2026-03-07T00:00:00"/>
    <x v="386"/>
    <x v="0"/>
    <s v="KHSE"/>
    <x v="1"/>
  </r>
  <r>
    <n v="3"/>
    <m/>
    <s v="Gyöngyös"/>
    <d v="2026-03-07T00:00:00"/>
    <x v="439"/>
    <x v="0"/>
    <s v="KHSE"/>
    <x v="1"/>
  </r>
  <r>
    <n v="0"/>
    <m/>
    <s v="Gyöngyös"/>
    <d v="2026-03-07T00:00:00"/>
    <x v="440"/>
    <x v="0"/>
    <s v="Derecske BUDO"/>
    <x v="1"/>
  </r>
  <r>
    <n v="8"/>
    <m/>
    <s v="Gyöngyös"/>
    <d v="2026-03-07T00:00:00"/>
    <x v="552"/>
    <x v="1"/>
    <s v="TADASHII "/>
    <x v="1"/>
  </r>
  <r>
    <n v="6"/>
    <m/>
    <s v="Gyöngyös"/>
    <d v="2026-03-07T00:00:00"/>
    <x v="442"/>
    <x v="0"/>
    <s v="KHSE"/>
    <x v="1"/>
  </r>
  <r>
    <n v="4"/>
    <m/>
    <s v="Gyöngyös"/>
    <d v="2026-03-07T00:00:00"/>
    <x v="443"/>
    <x v="0"/>
    <s v="Derecske BUDO"/>
    <x v="1"/>
  </r>
  <r>
    <n v="3"/>
    <m/>
    <s v="Gyöngyös"/>
    <d v="2026-03-07T00:00:00"/>
    <x v="553"/>
    <x v="1"/>
    <s v="Nintai KKSE"/>
    <x v="1"/>
  </r>
  <r>
    <n v="8"/>
    <m/>
    <s v="Szigetszentmiklós"/>
    <d v="2026-03-22T00:00:00"/>
    <x v="540"/>
    <x v="0"/>
    <s v="Magna Dojo"/>
    <x v="1"/>
  </r>
  <r>
    <n v="6"/>
    <m/>
    <s v="Szigetszentmiklós"/>
    <d v="2026-03-22T00:00:00"/>
    <x v="99"/>
    <x v="0"/>
    <s v="Katana SE"/>
    <x v="1"/>
  </r>
  <r>
    <n v="4"/>
    <m/>
    <s v="Szigetszentmiklós"/>
    <d v="2026-03-22T00:00:00"/>
    <x v="110"/>
    <x v="0"/>
    <s v="Katana SE"/>
    <x v="1"/>
  </r>
  <r>
    <n v="4"/>
    <m/>
    <s v="Szigetszentmiklós"/>
    <d v="2026-03-22T00:00:00"/>
    <x v="333"/>
    <x v="0"/>
    <s v="Keizoku SE"/>
    <x v="1"/>
  </r>
  <r>
    <n v="0"/>
    <s v="nem volt nyertes mérkőzése"/>
    <s v="Szigetszentmiklós"/>
    <d v="2026-03-22T00:00:00"/>
    <x v="101"/>
    <x v="0"/>
    <s v="Kamikaze S"/>
    <x v="1"/>
  </r>
  <r>
    <n v="0"/>
    <s v="nem volt nyertes mérkőzése"/>
    <s v="Szigetszentmiklós"/>
    <d v="2026-03-22T00:00:00"/>
    <x v="332"/>
    <x v="0"/>
    <s v="Keizoku SE"/>
    <x v="1"/>
  </r>
  <r>
    <n v="2"/>
    <m/>
    <s v="Szigetszentmiklós"/>
    <d v="2026-03-22T00:00:00"/>
    <x v="112"/>
    <x v="0"/>
    <s v="KKE - Spartacus"/>
    <x v="1"/>
  </r>
  <r>
    <n v="0"/>
    <s v="nem volt nyertes mérkőzése"/>
    <s v="Szigetszentmiklós"/>
    <d v="2026-03-22T00:00:00"/>
    <x v="330"/>
    <x v="0"/>
    <s v="Shogun"/>
    <x v="1"/>
  </r>
  <r>
    <n v="0"/>
    <m/>
    <s v="Szigetszentmiklós"/>
    <d v="2026-03-22T00:00:00"/>
    <x v="102"/>
    <x v="1"/>
    <s v="VTSE"/>
    <x v="1"/>
  </r>
  <r>
    <n v="0"/>
    <m/>
    <s v="Szigetszentmiklós"/>
    <d v="2026-03-22T00:00:00"/>
    <x v="319"/>
    <x v="0"/>
    <s v="Shogun"/>
    <x v="1"/>
  </r>
  <r>
    <n v="6"/>
    <m/>
    <s v="Szigetszentmiklós"/>
    <d v="2026-03-22T00:00:00"/>
    <x v="126"/>
    <x v="0"/>
    <s v="WARRIORS TEAM"/>
    <x v="1"/>
  </r>
  <r>
    <n v="5"/>
    <m/>
    <s v="Szigetszentmiklós"/>
    <d v="2026-03-22T00:00:00"/>
    <x v="543"/>
    <x v="0"/>
    <s v="KHSE"/>
    <x v="1"/>
  </r>
  <r>
    <n v="3"/>
    <m/>
    <s v="Szigetszentmiklós"/>
    <d v="2026-03-22T00:00:00"/>
    <x v="542"/>
    <x v="1"/>
    <s v="Wheelmaker dojo SE"/>
    <x v="1"/>
  </r>
  <r>
    <n v="2"/>
    <m/>
    <s v="Szigetszentmiklós"/>
    <d v="2026-03-22T00:00:00"/>
    <x v="541"/>
    <x v="0"/>
    <s v="KHSE"/>
    <x v="1"/>
  </r>
  <r>
    <n v="6"/>
    <m/>
    <s v="Szigetszentmiklós"/>
    <d v="2026-03-22T00:00:00"/>
    <x v="545"/>
    <x v="0"/>
    <s v="KHSE"/>
    <x v="1"/>
  </r>
  <r>
    <n v="5"/>
    <m/>
    <s v="Szigetszentmiklós"/>
    <d v="2026-03-22T00:00:00"/>
    <x v="341"/>
    <x v="0"/>
    <s v="Derecske BUDO"/>
    <x v="1"/>
  </r>
  <r>
    <n v="3"/>
    <m/>
    <s v="Szigetszentmiklós"/>
    <d v="2026-03-22T00:00:00"/>
    <x v="544"/>
    <x v="0"/>
    <s v="KHSE"/>
    <x v="1"/>
  </r>
  <r>
    <n v="3"/>
    <m/>
    <s v="Szigetszentmiklós"/>
    <d v="2026-03-22T00:00:00"/>
    <x v="348"/>
    <x v="0"/>
    <s v="Shogun"/>
    <x v="1"/>
  </r>
  <r>
    <n v="0"/>
    <m/>
    <s v="Szigetszentmiklós"/>
    <d v="2026-03-22T00:00:00"/>
    <x v="529"/>
    <x v="0"/>
    <s v="Nagykátai Bushido SE"/>
    <x v="1"/>
  </r>
  <r>
    <n v="0"/>
    <m/>
    <s v="Szigetszentmiklós"/>
    <d v="2026-03-22T00:00:00"/>
    <x v="335"/>
    <x v="0"/>
    <s v="Shogun"/>
    <x v="1"/>
  </r>
  <r>
    <n v="0"/>
    <m/>
    <s v="Szigetszentmiklós"/>
    <d v="2026-03-22T00:00:00"/>
    <x v="340"/>
    <x v="0"/>
    <s v="Derecske BUDO"/>
    <x v="1"/>
  </r>
  <r>
    <n v="0"/>
    <m/>
    <s v="Szigetszentmiklós"/>
    <d v="2026-03-22T00:00:00"/>
    <x v="491"/>
    <x v="0"/>
    <s v="Rakurai"/>
    <x v="1"/>
  </r>
  <r>
    <n v="3"/>
    <m/>
    <s v="Szigetszentmiklós"/>
    <d v="2026-03-22T00:00:00"/>
    <x v="358"/>
    <x v="0"/>
    <s v="Shogun"/>
    <x v="1"/>
  </r>
  <r>
    <n v="0"/>
    <m/>
    <s v="Szigetszentmiklós"/>
    <d v="2026-03-22T00:00:00"/>
    <x v="366"/>
    <x v="0"/>
    <s v="Kemecse SE"/>
    <x v="1"/>
  </r>
  <r>
    <n v="3"/>
    <m/>
    <s v="Szigetszentmiklós"/>
    <d v="2026-03-22T00:00:00"/>
    <x v="144"/>
    <x v="1"/>
    <s v="VTSE"/>
    <x v="1"/>
  </r>
  <r>
    <n v="0"/>
    <m/>
    <s v="Szigetszentmiklós"/>
    <d v="2026-03-22T00:00:00"/>
    <x v="147"/>
    <x v="0"/>
    <s v="Főnix Dojo"/>
    <x v="1"/>
  </r>
  <r>
    <n v="6"/>
    <m/>
    <s v="Szigetszentmiklós"/>
    <d v="2026-03-22T00:00:00"/>
    <x v="546"/>
    <x v="0"/>
    <s v="KHSE"/>
    <x v="1"/>
  </r>
  <r>
    <n v="5"/>
    <m/>
    <s v="Szigetszentmiklós"/>
    <d v="2026-03-22T00:00:00"/>
    <x v="141"/>
    <x v="1"/>
    <s v="Genbu dojo"/>
    <x v="1"/>
  </r>
  <r>
    <n v="3"/>
    <m/>
    <s v="Szigetszentmiklós"/>
    <d v="2026-03-22T00:00:00"/>
    <x v="142"/>
    <x v="1"/>
    <s v="Genbu dojo"/>
    <x v="1"/>
  </r>
  <r>
    <n v="0"/>
    <m/>
    <s v="Szigetszentmiklós"/>
    <d v="2026-03-22T00:00:00"/>
    <x v="554"/>
    <x v="0"/>
    <s v="POWER SE."/>
    <x v="1"/>
  </r>
  <r>
    <n v="0"/>
    <m/>
    <s v="Szigetszentmiklós"/>
    <d v="2026-03-22T00:00:00"/>
    <x v="363"/>
    <x v="0"/>
    <s v="Shogun"/>
    <x v="1"/>
  </r>
  <r>
    <n v="0"/>
    <m/>
    <s v="Szigetszentmiklós"/>
    <d v="2026-03-22T00:00:00"/>
    <x v="494"/>
    <x v="0"/>
    <s v="Főnix Dojo"/>
    <x v="1"/>
  </r>
  <r>
    <n v="8"/>
    <m/>
    <s v="Szigetszentmiklós"/>
    <d v="2026-03-22T00:00:00"/>
    <x v="158"/>
    <x v="0"/>
    <s v="KKE - Spartacus"/>
    <x v="1"/>
  </r>
  <r>
    <n v="6"/>
    <m/>
    <s v="Szigetszentmiklós"/>
    <d v="2026-03-22T00:00:00"/>
    <x v="555"/>
    <x v="0"/>
    <s v="Nagykátai Bushido SE"/>
    <x v="1"/>
  </r>
  <r>
    <n v="4"/>
    <m/>
    <s v="Szigetszentmiklós"/>
    <d v="2026-03-22T00:00:00"/>
    <x v="530"/>
    <x v="0"/>
    <s v="POWER SE."/>
    <x v="1"/>
  </r>
  <r>
    <n v="4"/>
    <m/>
    <s v="Szigetszentmiklós"/>
    <d v="2026-03-22T00:00:00"/>
    <x v="556"/>
    <x v="0"/>
    <s v="Nagykátai Bushido SE"/>
    <x v="1"/>
  </r>
  <r>
    <n v="0"/>
    <s v="nem volt nyertes mérkőzése"/>
    <s v="Szigetszentmiklós"/>
    <d v="2026-03-22T00:00:00"/>
    <x v="548"/>
    <x v="1"/>
    <s v="Wheelmaker dojo SE"/>
    <x v="1"/>
  </r>
  <r>
    <n v="0"/>
    <s v="nem volt nyertes mérkőzése"/>
    <s v="Szigetszentmiklós"/>
    <d v="2026-03-22T00:00:00"/>
    <x v="394"/>
    <x v="0"/>
    <s v="KYO Fighter SE"/>
    <x v="1"/>
  </r>
  <r>
    <n v="0"/>
    <s v="nem volt nyertes mérkőzése"/>
    <s v="Szigetszentmiklós"/>
    <d v="2026-03-22T00:00:00"/>
    <x v="160"/>
    <x v="1"/>
    <s v="VTSE"/>
    <x v="1"/>
  </r>
  <r>
    <n v="0"/>
    <s v="nem volt nyertes mérkőzése"/>
    <s v="Szigetszentmiklós"/>
    <d v="2026-03-22T00:00:00"/>
    <x v="547"/>
    <x v="1"/>
    <s v="Wheelmaker dojo SE"/>
    <x v="1"/>
  </r>
  <r>
    <n v="0"/>
    <m/>
    <s v="Szigetszentmiklós"/>
    <d v="2026-03-22T00:00:00"/>
    <x v="498"/>
    <x v="0"/>
    <s v="Rakurai"/>
    <x v="1"/>
  </r>
  <r>
    <n v="8"/>
    <m/>
    <s v="Szigetszentmiklós"/>
    <d v="2026-03-22T00:00:00"/>
    <x v="170"/>
    <x v="1"/>
    <s v="VTSE"/>
    <x v="1"/>
  </r>
  <r>
    <n v="6"/>
    <m/>
    <s v="Szigetszentmiklós"/>
    <d v="2026-03-22T00:00:00"/>
    <x v="171"/>
    <x v="1"/>
    <s v="VTSE"/>
    <x v="1"/>
  </r>
  <r>
    <n v="4"/>
    <m/>
    <s v="Szigetszentmiklós"/>
    <d v="2026-03-22T00:00:00"/>
    <x v="163"/>
    <x v="0"/>
    <s v="KKE - Spartacus"/>
    <x v="1"/>
  </r>
  <r>
    <n v="4"/>
    <m/>
    <s v="Szigetszentmiklós"/>
    <d v="2026-03-22T00:00:00"/>
    <x v="550"/>
    <x v="1"/>
    <s v="Délegyházi Karate SE"/>
    <x v="1"/>
  </r>
  <r>
    <n v="0"/>
    <s v="nem volt nyertes mérkőzése"/>
    <s v="Szigetszentmiklós"/>
    <d v="2026-03-22T00:00:00"/>
    <x v="549"/>
    <x v="1"/>
    <s v="Wheelmaker dojo SE"/>
    <x v="1"/>
  </r>
  <r>
    <n v="0"/>
    <s v="nem volt nyertes mérkőzése"/>
    <s v="Szigetszentmiklós"/>
    <d v="2026-03-22T00:00:00"/>
    <x v="551"/>
    <x v="1"/>
    <s v="TADASHII "/>
    <x v="1"/>
  </r>
  <r>
    <n v="2"/>
    <m/>
    <s v="Szigetszentmiklós"/>
    <d v="2026-03-22T00:00:00"/>
    <x v="165"/>
    <x v="0"/>
    <s v="Rakurai"/>
    <x v="1"/>
  </r>
  <r>
    <n v="2"/>
    <m/>
    <s v="Szigetszentmiklós"/>
    <d v="2026-03-22T00:00:00"/>
    <x v="174"/>
    <x v="0"/>
    <s v="Rokku KKSE"/>
    <x v="1"/>
  </r>
  <r>
    <n v="0"/>
    <m/>
    <s v="Szigetszentmiklós"/>
    <d v="2026-03-22T00:00:00"/>
    <x v="532"/>
    <x v="0"/>
    <s v="Marcali SKK"/>
    <x v="1"/>
  </r>
  <r>
    <n v="0"/>
    <m/>
    <s v="Szigetszentmiklós"/>
    <d v="2026-03-22T00:00:00"/>
    <x v="533"/>
    <x v="0"/>
    <s v="ASE Bulldog KKSZCS"/>
    <x v="1"/>
  </r>
  <r>
    <n v="6"/>
    <m/>
    <s v="Szigetszentmiklós"/>
    <d v="2026-03-22T00:00:00"/>
    <x v="389"/>
    <x v="0"/>
    <s v="Derecske BUDO"/>
    <x v="1"/>
  </r>
  <r>
    <n v="5"/>
    <m/>
    <s v="Szigetszentmiklós"/>
    <d v="2026-03-22T00:00:00"/>
    <x v="391"/>
    <x v="0"/>
    <s v="KHSE"/>
    <x v="1"/>
  </r>
  <r>
    <n v="3"/>
    <m/>
    <s v="Szigetszentmiklós"/>
    <d v="2026-03-22T00:00:00"/>
    <x v="172"/>
    <x v="0"/>
    <s v="Rokku KKSE"/>
    <x v="1"/>
  </r>
  <r>
    <n v="0"/>
    <s v="nem volt nyertes mérkőzése"/>
    <s v="Szigetszentmiklós"/>
    <d v="2026-03-22T00:00:00"/>
    <x v="184"/>
    <x v="0"/>
    <s v="Rokku KKSE"/>
    <x v="1"/>
  </r>
  <r>
    <n v="6"/>
    <m/>
    <s v="Szigetszentmiklós"/>
    <d v="2026-03-22T00:00:00"/>
    <x v="176"/>
    <x v="0"/>
    <s v="Rakurai"/>
    <x v="1"/>
  </r>
  <r>
    <n v="5"/>
    <m/>
    <s v="Szigetszentmiklós"/>
    <d v="2026-03-22T00:00:00"/>
    <x v="178"/>
    <x v="0"/>
    <s v="Rakurai"/>
    <x v="1"/>
  </r>
  <r>
    <n v="3"/>
    <m/>
    <s v="Szigetszentmiklós"/>
    <d v="2026-03-22T00:00:00"/>
    <x v="177"/>
    <x v="0"/>
    <s v="Rokku KKSE"/>
    <x v="1"/>
  </r>
  <r>
    <n v="3"/>
    <m/>
    <s v="Szigetszentmiklós"/>
    <d v="2026-03-22T00:00:00"/>
    <x v="535"/>
    <x v="0"/>
    <s v="Griff SE"/>
    <x v="1"/>
  </r>
  <r>
    <n v="0"/>
    <m/>
    <s v="Szigetszentmiklós"/>
    <d v="2026-03-22T00:00:00"/>
    <x v="534"/>
    <x v="0"/>
    <s v="POWER SE."/>
    <x v="1"/>
  </r>
  <r>
    <n v="0"/>
    <m/>
    <s v="Szigetszentmiklós"/>
    <d v="2026-03-22T00:00:00"/>
    <x v="179"/>
    <x v="0"/>
    <s v="Főnix Dojo"/>
    <x v="1"/>
  </r>
  <r>
    <n v="0"/>
    <m/>
    <s v="Szigetszentmiklós"/>
    <d v="2026-03-22T00:00:00"/>
    <x v="388"/>
    <x v="0"/>
    <s v="KHSE"/>
    <x v="1"/>
  </r>
  <r>
    <n v="0"/>
    <m/>
    <s v="Szigetszentmiklós"/>
    <d v="2026-03-22T00:00:00"/>
    <x v="502"/>
    <x v="0"/>
    <s v="Rakurai"/>
    <x v="1"/>
  </r>
  <r>
    <n v="3"/>
    <m/>
    <s v="Szigetszentmiklós"/>
    <d v="2026-03-22T00:00:00"/>
    <x v="193"/>
    <x v="0"/>
    <s v="Rakurai"/>
    <x v="1"/>
  </r>
  <r>
    <n v="0"/>
    <m/>
    <s v="Szigetszentmiklós"/>
    <d v="2026-03-22T00:00:00"/>
    <x v="406"/>
    <x v="0"/>
    <s v="SONGOKU SE"/>
    <x v="1"/>
  </r>
  <r>
    <n v="6"/>
    <m/>
    <s v="Szigetszentmiklós"/>
    <d v="2026-03-22T00:00:00"/>
    <x v="199"/>
    <x v="0"/>
    <s v="Rakurai"/>
    <x v="1"/>
  </r>
  <r>
    <n v="5"/>
    <m/>
    <s v="Szigetszentmiklós"/>
    <d v="2026-03-22T00:00:00"/>
    <x v="205"/>
    <x v="0"/>
    <s v="WARRIORS TEAM"/>
    <x v="1"/>
  </r>
  <r>
    <n v="3"/>
    <m/>
    <s v="Szigetszentmiklós"/>
    <d v="2026-03-22T00:00:00"/>
    <x v="195"/>
    <x v="1"/>
    <s v="VTSE"/>
    <x v="1"/>
  </r>
  <r>
    <n v="0"/>
    <s v="nem volt nyertes mérkőzése"/>
    <s v="Szigetszentmiklós"/>
    <d v="2026-03-22T00:00:00"/>
    <x v="202"/>
    <x v="0"/>
    <s v="Főnix Dojo"/>
    <x v="1"/>
  </r>
  <r>
    <n v="0"/>
    <m/>
    <s v="Szigetszentmiklós"/>
    <d v="2026-03-22T00:00:00"/>
    <x v="408"/>
    <x v="1"/>
    <s v="TADASHII "/>
    <x v="1"/>
  </r>
  <r>
    <n v="0"/>
    <m/>
    <s v="Szigetszentmiklós"/>
    <d v="2026-03-22T00:00:00"/>
    <x v="536"/>
    <x v="1"/>
    <s v="Tora HSE"/>
    <x v="1"/>
  </r>
  <r>
    <n v="0"/>
    <m/>
    <s v="Szigetszentmiklós"/>
    <d v="2026-03-22T00:00:00"/>
    <x v="196"/>
    <x v="0"/>
    <s v="Főnix Dojo"/>
    <x v="1"/>
  </r>
  <r>
    <n v="6"/>
    <m/>
    <s v="Szigetszentmiklós"/>
    <d v="2026-03-22T00:00:00"/>
    <x v="206"/>
    <x v="0"/>
    <s v="WARRIORS TEAM"/>
    <x v="1"/>
  </r>
  <r>
    <n v="5"/>
    <m/>
    <s v="Szigetszentmiklós"/>
    <d v="2026-03-22T00:00:00"/>
    <x v="403"/>
    <x v="0"/>
    <s v="Kemecse SE"/>
    <x v="1"/>
  </r>
  <r>
    <n v="3"/>
    <m/>
    <s v="Szigetszentmiklós"/>
    <d v="2026-03-22T00:00:00"/>
    <x v="537"/>
    <x v="0"/>
    <s v="Keszth.KKK"/>
    <x v="1"/>
  </r>
  <r>
    <n v="0"/>
    <s v="nem volt nyertes mérkőzése"/>
    <s v="Szigetszentmiklós"/>
    <d v="2026-03-22T00:00:00"/>
    <x v="207"/>
    <x v="0"/>
    <s v="Katana SE"/>
    <x v="1"/>
  </r>
  <r>
    <n v="3"/>
    <m/>
    <s v="Szigetszentmiklós"/>
    <d v="2026-03-22T00:00:00"/>
    <x v="211"/>
    <x v="0"/>
    <s v="Rakurai"/>
    <x v="1"/>
  </r>
  <r>
    <n v="0"/>
    <m/>
    <s v="Szigetszentmiklós"/>
    <d v="2026-03-22T00:00:00"/>
    <x v="214"/>
    <x v="0"/>
    <s v="Katana SE"/>
    <x v="1"/>
  </r>
  <r>
    <n v="4"/>
    <m/>
    <s v="Szigetszentmiklós"/>
    <d v="2026-03-22T00:00:00"/>
    <x v="261"/>
    <x v="1"/>
    <s v="Genbu dojo"/>
    <x v="1"/>
  </r>
  <r>
    <n v="3"/>
    <m/>
    <s v="Szigetszentmiklós"/>
    <d v="2026-03-22T00:00:00"/>
    <x v="249"/>
    <x v="0"/>
    <s v="Főnix Dojo"/>
    <x v="1"/>
  </r>
  <r>
    <n v="0"/>
    <m/>
    <s v="Szigetszentmiklós"/>
    <d v="2026-03-22T00:00:00"/>
    <x v="538"/>
    <x v="0"/>
    <s v="POWER SE."/>
    <x v="1"/>
  </r>
  <r>
    <n v="6"/>
    <m/>
    <s v="Szigetszentmiklós"/>
    <d v="2026-03-22T00:00:00"/>
    <x v="439"/>
    <x v="0"/>
    <s v="KHSE"/>
    <x v="1"/>
  </r>
  <r>
    <n v="5"/>
    <m/>
    <s v="Szigetszentmiklós"/>
    <d v="2026-03-22T00:00:00"/>
    <x v="440"/>
    <x v="0"/>
    <s v="Derecske BUDO"/>
    <x v="1"/>
  </r>
  <r>
    <n v="3"/>
    <m/>
    <s v="Szigetszentmiklós"/>
    <d v="2026-03-22T00:00:00"/>
    <x v="539"/>
    <x v="1"/>
    <s v="Tora HSE"/>
    <x v="1"/>
  </r>
  <r>
    <n v="0"/>
    <s v="nem volt nyertes mérkőzése"/>
    <s v="Szigetszentmiklós"/>
    <d v="2026-03-22T00:00:00"/>
    <x v="253"/>
    <x v="0"/>
    <s v="Rakurai"/>
    <x v="1"/>
  </r>
  <r>
    <n v="4"/>
    <m/>
    <s v="Szigetszentmiklós"/>
    <d v="2026-03-22T00:00:00"/>
    <x v="254"/>
    <x v="1"/>
    <s v="VTSE"/>
    <x v="1"/>
  </r>
  <r>
    <n v="3"/>
    <m/>
    <s v="Szigetszentmiklós"/>
    <d v="2026-03-22T00:00:00"/>
    <x v="256"/>
    <x v="0"/>
    <s v="WARRIORS TEAM"/>
    <x v="1"/>
  </r>
  <r>
    <n v="2"/>
    <s v="volt nyertes mérkőzése"/>
    <s v="Szigetszentmiklós"/>
    <d v="2026-03-22T00:00:00"/>
    <x v="514"/>
    <x v="0"/>
    <s v="BHMSE"/>
    <x v="1"/>
  </r>
  <r>
    <n v="6"/>
    <m/>
    <s v="Szigetszentmiklós"/>
    <d v="2026-03-22T00:00:00"/>
    <x v="442"/>
    <x v="0"/>
    <s v="KHSE"/>
    <x v="1"/>
  </r>
  <r>
    <n v="5"/>
    <m/>
    <s v="Szigetszentmiklós"/>
    <d v="2026-03-22T00:00:00"/>
    <x v="552"/>
    <x v="1"/>
    <s v="TADASHII "/>
    <x v="1"/>
  </r>
  <r>
    <n v="3"/>
    <m/>
    <s v="Szigetszentmiklós"/>
    <d v="2026-03-22T00:00:00"/>
    <x v="255"/>
    <x v="0"/>
    <s v="Rakurai"/>
    <x v="1"/>
  </r>
  <r>
    <n v="0"/>
    <m/>
    <s v="Szigetszentmiklós"/>
    <d v="2026-03-22T00:00:00"/>
    <x v="443"/>
    <x v="0"/>
    <s v="Derecske BUDO"/>
    <x v="1"/>
  </r>
  <r>
    <n v="0"/>
    <m/>
    <s v="Szigetszentmiklós"/>
    <d v="2026-03-22T00:00:00"/>
    <x v="553"/>
    <x v="1"/>
    <s v="Nintai KKSE"/>
    <x v="1"/>
  </r>
  <r>
    <n v="0"/>
    <m/>
    <s v="Szigetszentmiklós"/>
    <d v="2026-03-22T00:00:00"/>
    <x v="557"/>
    <x v="1"/>
    <s v="TADASHII "/>
    <x v="1"/>
  </r>
  <r>
    <n v="3"/>
    <m/>
    <s v="Szigetszentmiklós"/>
    <d v="2026-03-22T00:00:00"/>
    <x v="257"/>
    <x v="0"/>
    <s v="Kamikaze S"/>
    <x v="1"/>
  </r>
  <r>
    <n v="0"/>
    <m/>
    <s v="Szigetszentmiklós"/>
    <d v="2026-03-22T00:00:00"/>
    <x v="259"/>
    <x v="0"/>
    <s v="Keszth.KKK"/>
    <x v="1"/>
  </r>
  <r>
    <n v="15"/>
    <m/>
    <s v="Batumi, Georgia"/>
    <d v="2026-05-09T00:00:00"/>
    <x v="473"/>
    <x v="0"/>
    <s v="KHSE"/>
    <x v="1"/>
  </r>
  <r>
    <n v="15"/>
    <m/>
    <s v="Batumi, Georgia"/>
    <d v="2026-05-09T00:00:00"/>
    <x v="472"/>
    <x v="0"/>
    <s v="Victory"/>
    <x v="1"/>
  </r>
  <r>
    <n v="8"/>
    <m/>
    <s v="Batumi, Georgia"/>
    <d v="2026-05-09T00:00:00"/>
    <x v="477"/>
    <x v="0"/>
    <s v="Shogun"/>
    <x v="1"/>
  </r>
  <r>
    <n v="8"/>
    <m/>
    <s v="Batumi, Georgia"/>
    <d v="2026-05-09T00:00:00"/>
    <x v="558"/>
    <x v="0"/>
    <s v="Victory"/>
    <x v="1"/>
  </r>
  <r>
    <n v="8"/>
    <m/>
    <s v="Batumi, Georgia"/>
    <d v="2026-05-09T00:00:00"/>
    <x v="479"/>
    <x v="0"/>
    <s v="KHSE"/>
    <x v="1"/>
  </r>
  <r>
    <n v="15"/>
    <m/>
    <s v="Batumi, Georgia"/>
    <d v="2026-05-09T00:00:00"/>
    <x v="480"/>
    <x v="0"/>
    <s v="KHSE"/>
    <x v="1"/>
  </r>
  <r>
    <n v="8"/>
    <m/>
    <s v="Batumi, Georgia"/>
    <d v="2026-05-09T00:00:00"/>
    <x v="454"/>
    <x v="0"/>
    <s v="Victory"/>
    <x v="1"/>
  </r>
  <r>
    <n v="8"/>
    <m/>
    <s v="Batumi, Georgia"/>
    <d v="2026-05-09T00:00:00"/>
    <x v="460"/>
    <x v="0"/>
    <s v="Shogun"/>
    <x v="1"/>
  </r>
  <r>
    <n v="6"/>
    <m/>
    <s v="Batumi, Georgia"/>
    <d v="2026-05-09T00:00:00"/>
    <x v="460"/>
    <x v="0"/>
    <s v="Shogun"/>
    <x v="1"/>
  </r>
  <r>
    <n v="10"/>
    <m/>
    <s v="Batumi, Georgia"/>
    <d v="2026-05-09T00:00:00"/>
    <x v="466"/>
    <x v="0"/>
    <s v="Shogun"/>
    <x v="1"/>
  </r>
  <r>
    <n v="15"/>
    <m/>
    <s v="Batumi, Georgia"/>
    <d v="2026-05-10T00:00:00"/>
    <x v="37"/>
    <x v="0"/>
    <s v="Victory"/>
    <x v="0"/>
  </r>
  <r>
    <n v="15"/>
    <m/>
    <s v="Batumi, Georgia"/>
    <d v="2026-05-10T00:00:00"/>
    <x v="41"/>
    <x v="0"/>
    <s v="KHSE"/>
    <x v="0"/>
  </r>
  <r>
    <n v="45"/>
    <m/>
    <s v="Batumi, Georgia"/>
    <d v="2026-05-10T00:00:00"/>
    <x v="39"/>
    <x v="0"/>
    <s v="KHSE"/>
    <x v="0"/>
  </r>
  <r>
    <n v="30"/>
    <m/>
    <s v="Batumi, Georgia"/>
    <d v="2026-05-10T00:00:00"/>
    <x v="45"/>
    <x v="0"/>
    <s v="Victory"/>
    <x v="0"/>
  </r>
  <r>
    <n v="15"/>
    <m/>
    <s v="Batumi, Georgia"/>
    <d v="2026-05-10T00:00:00"/>
    <x v="559"/>
    <x v="0"/>
    <s v="Shogun"/>
    <x v="0"/>
  </r>
  <r>
    <n v="30"/>
    <m/>
    <s v="Batumi, Georgia"/>
    <d v="2026-05-10T00:00:00"/>
    <x v="48"/>
    <x v="0"/>
    <s v="Victory"/>
    <x v="0"/>
  </r>
  <r>
    <n v="15"/>
    <m/>
    <s v="Batumi, Georgia"/>
    <d v="2026-05-10T00:00:00"/>
    <x v="49"/>
    <x v="0"/>
    <s v="BHMSE"/>
    <x v="0"/>
  </r>
  <r>
    <n v="30"/>
    <m/>
    <s v="Batumi, Georgia"/>
    <d v="2026-05-10T00:00:00"/>
    <x v="0"/>
    <x v="0"/>
    <s v="Victory"/>
    <x v="0"/>
  </r>
  <r>
    <n v="60"/>
    <m/>
    <s v="Batumi, Georgia"/>
    <d v="2026-05-10T00:00:00"/>
    <x v="9"/>
    <x v="0"/>
    <s v="Victory"/>
    <x v="0"/>
  </r>
  <r>
    <n v="3.3"/>
    <m/>
    <s v="Batumi, Georgia"/>
    <d v="2026-05-09T00:00:00"/>
    <x v="39"/>
    <x v="0"/>
    <s v="KHSE"/>
    <x v="0"/>
  </r>
  <r>
    <n v="3.3"/>
    <m/>
    <s v="Batumi, Georgia"/>
    <d v="2026-05-09T00:00:00"/>
    <x v="53"/>
    <x v="0"/>
    <s v="KHSE"/>
    <x v="0"/>
  </r>
  <r>
    <n v="3.3"/>
    <m/>
    <s v="Batumi, Georgia"/>
    <d v="2026-05-09T00:00:00"/>
    <x v="61"/>
    <x v="0"/>
    <s v="KHSE"/>
    <x v="0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  <r>
    <m/>
    <m/>
    <m/>
    <m/>
    <x v="560"/>
    <x v="2"/>
    <m/>
    <x v="2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73">
  <r>
    <x v="0"/>
    <s v="HUN"/>
    <n v="12"/>
    <m/>
    <s v="Veszprém"/>
    <d v="2026-02-14T00:00:00"/>
    <s v="Fekete Gergely - Victory"/>
    <x v="0"/>
  </r>
  <r>
    <x v="1"/>
    <s v="HUN"/>
    <n v="9"/>
    <m/>
    <s v="Veszprém"/>
    <d v="2026-02-14T00:00:00"/>
    <s v="Ujvári Bálint - Ippon KKSE"/>
    <x v="0"/>
  </r>
  <r>
    <x v="2"/>
    <s v="HUN"/>
    <n v="6"/>
    <m/>
    <s v="Veszprém"/>
    <d v="2026-02-14T00:00:00"/>
    <s v="Rétfalvi Tamás - Kisvárda KKDOSC"/>
    <x v="0"/>
  </r>
  <r>
    <x v="2"/>
    <s v="HUN"/>
    <n v="10"/>
    <m/>
    <s v="Veszprém"/>
    <d v="2026-02-14T00:00:00"/>
    <s v="Soltész Szabolcs - Kisvárda KKDOSC"/>
    <x v="0"/>
  </r>
  <r>
    <x v="3"/>
    <s v="HUN"/>
    <n v="6"/>
    <m/>
    <s v="Veszprém"/>
    <d v="2026-02-14T00:00:00"/>
    <s v="Feczkó Zoltán - Shogun"/>
    <x v="0"/>
  </r>
  <r>
    <x v="0"/>
    <s v="HUN"/>
    <n v="0"/>
    <s v="nem volt nyertes mérkőzése"/>
    <s v="Veszprém"/>
    <d v="2026-02-14T00:00:00"/>
    <s v="Törő Attila - Victory"/>
    <x v="0"/>
  </r>
  <r>
    <x v="1"/>
    <s v="HUN"/>
    <n v="10"/>
    <m/>
    <s v="Veszprém"/>
    <d v="2026-02-14T00:00:00"/>
    <s v="Bede Zsombor - Ippon KKSE"/>
    <x v="0"/>
  </r>
  <r>
    <x v="4"/>
    <s v="HUN"/>
    <n v="6"/>
    <m/>
    <s v="Veszprém"/>
    <d v="2026-02-14T00:00:00"/>
    <s v="Ludszky Tamás - Főnix Dojo"/>
    <x v="0"/>
  </r>
  <r>
    <x v="0"/>
    <s v="HUN"/>
    <n v="0"/>
    <s v="nem volt nyertes mérkőzése"/>
    <s v="Veszprém"/>
    <d v="2026-02-14T00:00:00"/>
    <s v="Törő Márton - Victory"/>
    <x v="0"/>
  </r>
  <r>
    <x v="0"/>
    <s v="HUN"/>
    <n v="6"/>
    <m/>
    <s v="Veszprém"/>
    <d v="2026-02-14T00:00:00"/>
    <s v="Lajtos Patrik - Victory"/>
    <x v="0"/>
  </r>
  <r>
    <x v="5"/>
    <s v="HUN"/>
    <n v="0"/>
    <s v="nem volt nyertes mérkőzése"/>
    <s v="Veszprém"/>
    <d v="2026-02-14T00:00:00"/>
    <s v="Badar Máté - TADASHII "/>
    <x v="1"/>
  </r>
  <r>
    <x v="3"/>
    <s v="HUN"/>
    <n v="12"/>
    <m/>
    <s v="Veszprém"/>
    <d v="2026-02-14T00:00:00"/>
    <s v="Baranyai Máté - Shogun"/>
    <x v="0"/>
  </r>
  <r>
    <x v="1"/>
    <s v="HUN"/>
    <n v="9"/>
    <m/>
    <s v="Veszprém"/>
    <d v="2026-02-14T00:00:00"/>
    <s v="Vancsek Kristóf - Ippon KKSE"/>
    <x v="0"/>
  </r>
  <r>
    <x v="6"/>
    <s v="HUN"/>
    <n v="6"/>
    <m/>
    <s v="Veszprém"/>
    <d v="2026-02-14T00:00:00"/>
    <s v="Hoffer András - Castrum"/>
    <x v="0"/>
  </r>
  <r>
    <x v="7"/>
    <s v="HUN"/>
    <n v="6"/>
    <m/>
    <s v="Veszprém"/>
    <d v="2026-02-14T00:00:00"/>
    <s v="Béres Sándor - KHSE"/>
    <x v="0"/>
  </r>
  <r>
    <x v="7"/>
    <s v="HUN"/>
    <n v="5"/>
    <m/>
    <s v="Veszprém"/>
    <d v="2026-02-14T00:00:00"/>
    <s v="Hamar Levente - KHSE"/>
    <x v="0"/>
  </r>
  <r>
    <x v="3"/>
    <s v="HUN"/>
    <n v="3"/>
    <m/>
    <s v="Veszprém"/>
    <d v="2026-02-14T00:00:00"/>
    <s v="Kollányi Miklós - Shogun"/>
    <x v="0"/>
  </r>
  <r>
    <x v="8"/>
    <s v="HUN"/>
    <n v="6"/>
    <m/>
    <s v="Veszprém"/>
    <d v="2026-02-14T00:00:00"/>
    <s v="Tóth Attila - Seiken STKE"/>
    <x v="1"/>
  </r>
  <r>
    <x v="9"/>
    <s v="HUN"/>
    <n v="5"/>
    <m/>
    <s v="Veszprém"/>
    <d v="2026-02-14T00:00:00"/>
    <s v="Lengyel László - Beledi KÉSZ SE"/>
    <x v="1"/>
  </r>
  <r>
    <x v="9"/>
    <s v="HUN"/>
    <n v="3"/>
    <m/>
    <s v="Veszprém"/>
    <d v="2026-02-14T00:00:00"/>
    <s v="Varga Krsiztián - Beledi KÉSZ SE"/>
    <x v="1"/>
  </r>
  <r>
    <x v="9"/>
    <s v="HUN"/>
    <n v="0"/>
    <s v="nem volt nyertes mérkőzése"/>
    <s v="Veszprém"/>
    <d v="2026-02-14T00:00:00"/>
    <s v="Csillag Viktor  - Beledi KÉSZ SE"/>
    <x v="1"/>
  </r>
  <r>
    <x v="3"/>
    <s v="HUN"/>
    <n v="6"/>
    <m/>
    <s v="Veszprém"/>
    <d v="2026-02-14T00:00:00"/>
    <s v="Szakály Dominik - Shogun"/>
    <x v="0"/>
  </r>
  <r>
    <x v="10"/>
    <s v="HUN"/>
    <n v="4"/>
    <m/>
    <s v="Veszprém"/>
    <d v="2026-02-14T00:00:00"/>
    <s v="Kollát Zétény - Nintai KKSE"/>
    <x v="1"/>
  </r>
  <r>
    <x v="11"/>
    <s v="HUN"/>
    <n v="0"/>
    <s v="nem volt nyertes mérkőzése"/>
    <s v="Veszprém"/>
    <d v="2026-02-14T00:00:00"/>
    <s v="Szabó István Balázs - KyoDabas SE."/>
    <x v="1"/>
  </r>
  <r>
    <x v="8"/>
    <s v="HUN"/>
    <n v="4"/>
    <m/>
    <s v="Veszprém"/>
    <d v="2026-02-14T00:00:00"/>
    <s v="Csordás Benjamin - Seiken STKE"/>
    <x v="1"/>
  </r>
  <r>
    <x v="7"/>
    <s v="HUN"/>
    <n v="0"/>
    <s v="nem volt nyertes mérkőzése"/>
    <s v="Veszprém"/>
    <d v="2026-02-14T00:00:00"/>
    <s v="Szabó Imre Richárd - KHSE"/>
    <x v="0"/>
  </r>
  <r>
    <x v="7"/>
    <s v="HUN"/>
    <n v="6"/>
    <m/>
    <s v="Veszprém"/>
    <d v="2026-02-14T00:00:00"/>
    <s v="Jámbor Dániel - KHSE"/>
    <x v="0"/>
  </r>
  <r>
    <x v="6"/>
    <s v="HUN"/>
    <n v="4"/>
    <m/>
    <s v="Veszprém"/>
    <d v="2026-02-14T00:00:00"/>
    <s v="Horváth Levente András - Castrum"/>
    <x v="0"/>
  </r>
  <r>
    <x v="4"/>
    <s v="HUN"/>
    <n v="0"/>
    <s v="nem volt nyertes mérkőzése"/>
    <s v="Veszprém"/>
    <d v="2026-02-14T00:00:00"/>
    <s v="Gáspár Botond - Főnix Dojo"/>
    <x v="0"/>
  </r>
  <r>
    <x v="12"/>
    <s v="HUN"/>
    <n v="10"/>
    <m/>
    <s v="Veszprém"/>
    <d v="2026-02-14T00:00:00"/>
    <s v="Bendiák Soma - Bendiák Dojo"/>
    <x v="0"/>
  </r>
  <r>
    <x v="13"/>
    <s v="HUN"/>
    <n v="8"/>
    <m/>
    <s v="Veszprém"/>
    <d v="2026-02-14T00:00:00"/>
    <s v="Spéder István - Kamikaze S"/>
    <x v="0"/>
  </r>
  <r>
    <x v="5"/>
    <s v="HUN"/>
    <n v="6"/>
    <m/>
    <s v="Veszprém"/>
    <d v="2026-02-14T00:00:00"/>
    <s v="Pápai Balázs - TADASHII "/>
    <x v="1"/>
  </r>
  <r>
    <x v="2"/>
    <s v="HUN"/>
    <n v="4"/>
    <m/>
    <s v="Veszprém"/>
    <d v="2026-02-14T00:00:00"/>
    <s v="Soltész Szabolcs - Kisvárda KKDOSC"/>
    <x v="0"/>
  </r>
  <r>
    <x v="14"/>
    <s v="HUN"/>
    <n v="3"/>
    <m/>
    <s v="Veszprém"/>
    <d v="2026-02-14T00:00:00"/>
    <s v="Gagna Patrik - Nozomu Dojo"/>
    <x v="0"/>
  </r>
  <r>
    <x v="3"/>
    <s v="HUN"/>
    <n v="3"/>
    <m/>
    <s v="Veszprém"/>
    <d v="2026-02-14T00:00:00"/>
    <s v="Szabó Bence - Shogun"/>
    <x v="0"/>
  </r>
  <r>
    <x v="15"/>
    <s v="HUN"/>
    <n v="0"/>
    <s v="10 induló &gt; nem jár már pont"/>
    <s v="Veszprém"/>
    <d v="2026-02-14T00:00:00"/>
    <s v="Andrikó Antal - KSE Tarján"/>
    <x v="0"/>
  </r>
  <r>
    <x v="16"/>
    <s v="HUN"/>
    <n v="0"/>
    <s v="10 induló &gt; nem jár már pont"/>
    <s v="Veszprém"/>
    <d v="2026-02-14T00:00:00"/>
    <s v="Kurucz László Botond - Genbu dojo"/>
    <x v="1"/>
  </r>
  <r>
    <x v="8"/>
    <s v="HUN"/>
    <n v="0"/>
    <s v="10 induló &gt; nem jár már pont"/>
    <s v="Veszprém"/>
    <d v="2026-02-14T00:00:00"/>
    <s v="Csordás Benjamin - Seiken STKE"/>
    <x v="1"/>
  </r>
  <r>
    <x v="17"/>
    <s v="HUN"/>
    <n v="0"/>
    <s v="10 induló &gt; nem jár már pont"/>
    <s v="Veszprém"/>
    <d v="2026-02-14T00:00:00"/>
    <s v="Dávid András - BHMSE"/>
    <x v="0"/>
  </r>
  <r>
    <x v="0"/>
    <s v="HUN"/>
    <n v="6"/>
    <m/>
    <s v="Veszprém"/>
    <d v="2026-02-14T00:00:00"/>
    <s v="Dévényi Lora - Victory"/>
    <x v="0"/>
  </r>
  <r>
    <x v="18"/>
    <s v="HUN"/>
    <n v="0"/>
    <s v="nem volt nyertes mérkőzése"/>
    <s v="Veszprém"/>
    <d v="2026-02-14T00:00:00"/>
    <s v="Bihari Lili - Bátor KSE"/>
    <x v="0"/>
  </r>
  <r>
    <x v="7"/>
    <s v="HUN"/>
    <n v="10"/>
    <m/>
    <s v="Veszprém"/>
    <d v="2026-02-14T00:00:00"/>
    <s v="Litvák Lili - KHSE"/>
    <x v="0"/>
  </r>
  <r>
    <x v="5"/>
    <s v="HUN"/>
    <n v="6"/>
    <m/>
    <s v="Veszprém"/>
    <d v="2026-02-14T00:00:00"/>
    <s v="Polák Leila - TADASHII "/>
    <x v="1"/>
  </r>
  <r>
    <x v="7"/>
    <s v="HUN"/>
    <n v="0"/>
    <s v="nem volt nyertes mérkőzése"/>
    <s v="Veszprém"/>
    <d v="2026-02-14T00:00:00"/>
    <s v="Gyenge Judit - KHSE"/>
    <x v="0"/>
  </r>
  <r>
    <x v="8"/>
    <s v="HUN"/>
    <n v="12"/>
    <m/>
    <s v="Veszprém"/>
    <d v="2026-02-14T00:00:00"/>
    <s v="Csordás Norina - Seiken STKE"/>
    <x v="1"/>
  </r>
  <r>
    <x v="19"/>
    <s v="HUN"/>
    <n v="9"/>
    <m/>
    <s v="Veszprém"/>
    <d v="2026-02-14T00:00:00"/>
    <s v="Kántor Viktória - VTSE"/>
    <x v="1"/>
  </r>
  <r>
    <x v="17"/>
    <s v="HUN"/>
    <n v="6"/>
    <m/>
    <s v="Veszprém"/>
    <d v="2026-02-14T00:00:00"/>
    <s v="Sharabi Maya - BHMSE"/>
    <x v="0"/>
  </r>
  <r>
    <x v="0"/>
    <s v="HUN"/>
    <n v="12"/>
    <m/>
    <s v="Veszprém"/>
    <d v="2026-02-14T00:00:00"/>
    <s v="Mező Lili - Victory"/>
    <x v="0"/>
  </r>
  <r>
    <x v="6"/>
    <s v="HUN"/>
    <n v="9"/>
    <m/>
    <s v="Veszprém"/>
    <d v="2026-02-14T00:00:00"/>
    <s v="Szalay Berta - Castrum"/>
    <x v="0"/>
  </r>
  <r>
    <x v="20"/>
    <s v="HUN"/>
    <n v="6"/>
    <m/>
    <s v="Veszprém"/>
    <d v="2026-02-14T00:00:00"/>
    <s v="Bóka Viktória - Griff SE"/>
    <x v="0"/>
  </r>
  <r>
    <x v="0"/>
    <s v="HUN"/>
    <n v="12"/>
    <m/>
    <s v="Veszprém"/>
    <d v="2026-02-14T00:00:00"/>
    <s v="Tóth Csenge - Victory"/>
    <x v="0"/>
  </r>
  <r>
    <x v="17"/>
    <s v="HUN"/>
    <n v="9"/>
    <m/>
    <s v="Veszprém"/>
    <d v="2026-02-14T00:00:00"/>
    <s v="Gergely Henrietta - BHMSE"/>
    <x v="0"/>
  </r>
  <r>
    <x v="13"/>
    <s v="HUN"/>
    <n v="6"/>
    <m/>
    <s v="Veszprém"/>
    <d v="2026-02-14T00:00:00"/>
    <s v="Varga Borbála - Kamikaze S"/>
    <x v="0"/>
  </r>
  <r>
    <x v="7"/>
    <s v="HUN"/>
    <n v="6"/>
    <m/>
    <s v="Veszprém"/>
    <d v="2026-02-14T00:00:00"/>
    <s v="Józsa Erika Réka - KHSE"/>
    <x v="0"/>
  </r>
  <r>
    <x v="4"/>
    <s v="HUN"/>
    <n v="4"/>
    <m/>
    <s v="Veszprém"/>
    <d v="2026-02-14T00:00:00"/>
    <s v="Kis Mónika - Főnix Dojo"/>
    <x v="0"/>
  </r>
  <r>
    <x v="7"/>
    <s v="HUN"/>
    <n v="0"/>
    <s v="nem volt nyertes mérkőzése"/>
    <s v="Veszprém"/>
    <d v="2026-02-14T00:00:00"/>
    <s v="Rácz Dorottya - KHSE"/>
    <x v="0"/>
  </r>
  <r>
    <x v="5"/>
    <s v="HUN"/>
    <n v="10.000000010000001"/>
    <m/>
    <s v="Veszprém"/>
    <d v="2026-02-14T00:00:00"/>
    <s v="Polák Leila - TADASHII "/>
    <x v="1"/>
  </r>
  <r>
    <x v="21"/>
    <s v="HUN"/>
    <n v="8.0000000100000008"/>
    <m/>
    <s v="Veszprém"/>
    <d v="2026-02-14T00:00:00"/>
    <s v="Berényi Lujza Beatrix - Kagami"/>
    <x v="0"/>
  </r>
  <r>
    <x v="8"/>
    <s v="HUN"/>
    <n v="6.0000000099999999"/>
    <m/>
    <s v="Veszprém"/>
    <d v="2026-02-14T00:00:00"/>
    <s v="Csordás Norina - Seiken STKE"/>
    <x v="1"/>
  </r>
  <r>
    <x v="21"/>
    <s v="HUN"/>
    <n v="4.0000000099999999"/>
    <m/>
    <s v="Veszprém"/>
    <d v="2026-02-14T00:00:00"/>
    <s v="Gerő Hanna Gréta - Kagami"/>
    <x v="0"/>
  </r>
  <r>
    <x v="7"/>
    <s v="HUN"/>
    <n v="3.0000000099999999"/>
    <m/>
    <s v="Veszprém"/>
    <d v="2026-02-14T00:00:00"/>
    <s v="Litvák Lili - KHSE"/>
    <x v="0"/>
  </r>
  <r>
    <x v="3"/>
    <s v="HUN"/>
    <n v="3.0000000099999999"/>
    <m/>
    <s v="Veszprém"/>
    <d v="2026-02-14T00:00:00"/>
    <s v="Rácz Viktória - Shogun"/>
    <x v="0"/>
  </r>
  <r>
    <x v="3"/>
    <s v="HUN"/>
    <n v="3.0000000099999999"/>
    <m/>
    <s v="Veszprém"/>
    <d v="2026-02-14T00:00:00"/>
    <s v="Sólyom Anna - Shogun"/>
    <x v="0"/>
  </r>
  <r>
    <x v="21"/>
    <s v="HUN"/>
    <n v="3.0000000099999999"/>
    <m/>
    <s v="Veszprém"/>
    <d v="2026-02-14T00:00:00"/>
    <s v="Arnódi Gréta Bernadette - Kagami"/>
    <x v="0"/>
  </r>
  <r>
    <x v="22"/>
    <s v="HUN"/>
    <n v="0"/>
    <s v="14 induló &gt; nem jár már pont"/>
    <s v="Veszprém"/>
    <d v="2026-02-14T00:00:00"/>
    <s v="Hardi Laura - Siófok KSE"/>
    <x v="0"/>
  </r>
  <r>
    <x v="3"/>
    <s v="HUN"/>
    <n v="0"/>
    <s v="14 induló &gt; nem jár már pont"/>
    <s v="Veszprém"/>
    <d v="2026-02-14T00:00:00"/>
    <s v="Sólyom Gréta - Shogun"/>
    <x v="0"/>
  </r>
  <r>
    <x v="7"/>
    <s v="HUN"/>
    <n v="0"/>
    <s v="14 induló &gt; nem jár már pont"/>
    <s v="Veszprém"/>
    <d v="2026-02-14T00:00:00"/>
    <s v="Jernyei Nikolett - KHSE"/>
    <x v="0"/>
  </r>
  <r>
    <x v="17"/>
    <s v="HUN"/>
    <n v="0"/>
    <s v="14 induló &gt; nem jár már pont"/>
    <s v="Veszprém"/>
    <d v="2026-02-14T00:00:00"/>
    <s v="Nagy Nóra Bíborka - BHMSE"/>
    <x v="0"/>
  </r>
  <r>
    <x v="9"/>
    <s v="HUN"/>
    <n v="0"/>
    <s v="14 induló &gt; nem jár már pont"/>
    <s v="Veszprém"/>
    <d v="2026-02-14T00:00:00"/>
    <s v="Horváth Nóra - Beledi KÉSZ SE"/>
    <x v="1"/>
  </r>
  <r>
    <x v="23"/>
    <s v="HUN"/>
    <n v="0"/>
    <s v="14 induló &gt; nem jár már pont"/>
    <s v="Veszprém"/>
    <d v="2026-02-14T00:00:00"/>
    <s v="Dróth-Tóth Adrienn - Rakurai"/>
    <x v="0"/>
  </r>
  <r>
    <x v="7"/>
    <s v="HUN"/>
    <n v="0"/>
    <s v="2 induló estetán nem jár pont"/>
    <s v="Veszprém"/>
    <d v="2026-02-14T00:00:00"/>
    <s v="KHSE csapat - KHSE"/>
    <x v="0"/>
  </r>
  <r>
    <x v="21"/>
    <s v="HUN"/>
    <n v="0"/>
    <s v="2 induló estetán nem jár pont"/>
    <s v="Veszprém"/>
    <d v="2026-02-14T00:00:00"/>
    <s v="Kagami csapat - Kagami"/>
    <x v="0"/>
  </r>
  <r>
    <x v="24"/>
    <s v="HUN"/>
    <n v="6"/>
    <m/>
    <s v="Várpalota"/>
    <d v="2026-02-28T00:00:00"/>
    <s v="Vámosi Juhász Ádám - Nagykátai Bushido SE"/>
    <x v="0"/>
  </r>
  <r>
    <x v="13"/>
    <s v="HUN"/>
    <n v="5"/>
    <m/>
    <s v="Várpalota"/>
    <d v="2026-02-28T00:00:00"/>
    <s v="Zajácz Imre - Kamikaze S"/>
    <x v="0"/>
  </r>
  <r>
    <x v="19"/>
    <s v="HUN"/>
    <n v="3"/>
    <m/>
    <s v="Várpalota"/>
    <d v="2026-02-28T00:00:00"/>
    <s v="Aupek Márk - VTSE"/>
    <x v="1"/>
  </r>
  <r>
    <x v="17"/>
    <s v="HUN"/>
    <n v="6"/>
    <m/>
    <s v="Várpalota"/>
    <d v="2026-02-28T00:00:00"/>
    <s v="Gombos-Weidinger Bence - BHMSE"/>
    <x v="0"/>
  </r>
  <r>
    <x v="1"/>
    <s v="HUN"/>
    <n v="5"/>
    <m/>
    <s v="Várpalota"/>
    <d v="2026-02-28T00:00:00"/>
    <s v="Seres Zoltán - Ippon KKSE"/>
    <x v="0"/>
  </r>
  <r>
    <x v="9"/>
    <s v="HUN"/>
    <n v="3"/>
    <m/>
    <s v="Várpalota"/>
    <d v="2026-02-28T00:00:00"/>
    <s v="Menyhárt Levente  - Beledi KÉSZ SE"/>
    <x v="1"/>
  </r>
  <r>
    <x v="25"/>
    <s v="HUN"/>
    <n v="6"/>
    <m/>
    <s v="Várpalota"/>
    <d v="2026-02-28T00:00:00"/>
    <s v="Szabó Marcell Károly - Katana SE"/>
    <x v="0"/>
  </r>
  <r>
    <x v="24"/>
    <s v="HUN"/>
    <n v="5"/>
    <m/>
    <s v="Várpalota"/>
    <d v="2026-02-28T00:00:00"/>
    <s v="Kasza Benett - Nagykátai Bushido SE"/>
    <x v="0"/>
  </r>
  <r>
    <x v="17"/>
    <s v="HUN"/>
    <n v="0"/>
    <s v="nem volt nyertes mérkőzése"/>
    <s v="Várpalota"/>
    <d v="2026-02-28T00:00:00"/>
    <s v="Bakonyi Erik - BHMSE"/>
    <x v="0"/>
  </r>
  <r>
    <x v="9"/>
    <s v="HUN"/>
    <n v="3"/>
    <m/>
    <s v="Várpalota"/>
    <d v="2026-02-28T00:00:00"/>
    <s v="Kelemen Milán - Beledi KÉSZ SE"/>
    <x v="1"/>
  </r>
  <r>
    <x v="4"/>
    <s v="HUN"/>
    <n v="0"/>
    <m/>
    <s v="Várpalota"/>
    <d v="2026-02-28T00:00:00"/>
    <s v="Vass Zalán - Főnix Dojo"/>
    <x v="0"/>
  </r>
  <r>
    <x v="6"/>
    <s v="HUN"/>
    <n v="0"/>
    <m/>
    <s v="Várpalota"/>
    <d v="2026-02-28T00:00:00"/>
    <s v="Tamási Péter Tamás - Castrum"/>
    <x v="0"/>
  </r>
  <r>
    <x v="23"/>
    <s v="HUN"/>
    <n v="0"/>
    <m/>
    <s v="Várpalota"/>
    <d v="2026-02-28T00:00:00"/>
    <s v="Nagy Hunor - Rakurai"/>
    <x v="0"/>
  </r>
  <r>
    <x v="15"/>
    <s v="HUN"/>
    <n v="6"/>
    <m/>
    <s v="Várpalota"/>
    <d v="2026-02-28T00:00:00"/>
    <s v="Kolipka Máté Gergő - KSE Tarján"/>
    <x v="0"/>
  </r>
  <r>
    <x v="19"/>
    <s v="HUN"/>
    <n v="5"/>
    <m/>
    <s v="Várpalota"/>
    <d v="2026-02-28T00:00:00"/>
    <s v="Aupek Márk - VTSE"/>
    <x v="1"/>
  </r>
  <r>
    <x v="15"/>
    <s v="HUN"/>
    <n v="3"/>
    <m/>
    <s v="Várpalota"/>
    <d v="2026-02-28T00:00:00"/>
    <s v="Csordás Olivér - KSE Tarján"/>
    <x v="0"/>
  </r>
  <r>
    <x v="22"/>
    <s v="HUN"/>
    <n v="3"/>
    <m/>
    <s v="Várpalota"/>
    <d v="2026-02-28T00:00:00"/>
    <s v="Gruber Marcell - Siófok KSE"/>
    <x v="0"/>
  </r>
  <r>
    <x v="25"/>
    <s v="HUN"/>
    <n v="0"/>
    <s v="nem volt nyertes mérkőzése"/>
    <s v="Várpalota"/>
    <d v="2026-02-28T00:00:00"/>
    <s v="Bogdán Zsombor - Katana SE"/>
    <x v="0"/>
  </r>
  <r>
    <x v="17"/>
    <s v="HUN"/>
    <n v="0"/>
    <s v="nem volt nyertes mérkőzése"/>
    <s v="Várpalota"/>
    <d v="2026-02-28T00:00:00"/>
    <s v="Németh Dávid - BHMSE"/>
    <x v="0"/>
  </r>
  <r>
    <x v="25"/>
    <s v="HUN"/>
    <n v="0"/>
    <s v="nem volt nyertes mérkőzése"/>
    <s v="Várpalota"/>
    <d v="2026-02-28T00:00:00"/>
    <s v="Péntek András - Katana SE"/>
    <x v="0"/>
  </r>
  <r>
    <x v="17"/>
    <s v="HUN"/>
    <n v="0"/>
    <s v="nem volt nyertes mérkőzése"/>
    <s v="Várpalota"/>
    <d v="2026-02-28T00:00:00"/>
    <s v="Bakonyi Erik - BHMSE"/>
    <x v="0"/>
  </r>
  <r>
    <x v="17"/>
    <s v="HUN"/>
    <n v="0"/>
    <m/>
    <s v="Várpalota"/>
    <d v="2026-02-28T00:00:00"/>
    <s v="Gattoni Marcello - BHMSE"/>
    <x v="0"/>
  </r>
  <r>
    <x v="17"/>
    <s v="HUN"/>
    <n v="0"/>
    <m/>
    <s v="Várpalota"/>
    <d v="2026-02-28T00:00:00"/>
    <s v="Karácsony Vadim - BHMSE"/>
    <x v="0"/>
  </r>
  <r>
    <x v="17"/>
    <s v="HUN"/>
    <n v="0"/>
    <m/>
    <s v="Várpalota"/>
    <d v="2026-02-28T00:00:00"/>
    <s v="Jávor Mika - BHMSE"/>
    <x v="0"/>
  </r>
  <r>
    <x v="17"/>
    <s v="HUN"/>
    <n v="0"/>
    <m/>
    <s v="Várpalota"/>
    <d v="2026-02-28T00:00:00"/>
    <s v="Gombos-Weidinger Bence - BHMSE"/>
    <x v="0"/>
  </r>
  <r>
    <x v="17"/>
    <s v="HUN"/>
    <n v="3"/>
    <m/>
    <s v="Várpalota"/>
    <d v="2026-02-28T00:00:00"/>
    <s v="Lukács Ajsa - BHMSE"/>
    <x v="0"/>
  </r>
  <r>
    <x v="26"/>
    <s v="HUN"/>
    <n v="0"/>
    <m/>
    <s v="Várpalota"/>
    <d v="2026-02-28T00:00:00"/>
    <s v="Erdei Emília - Rokku KKSE"/>
    <x v="0"/>
  </r>
  <r>
    <x v="23"/>
    <s v="HUN"/>
    <n v="3"/>
    <m/>
    <s v="Várpalota"/>
    <d v="2026-02-28T00:00:00"/>
    <s v="Kámán Luca - Rakurai"/>
    <x v="0"/>
  </r>
  <r>
    <x v="26"/>
    <s v="HUN"/>
    <n v="0"/>
    <m/>
    <s v="Várpalota"/>
    <d v="2026-02-28T00:00:00"/>
    <s v="Falus Dorottya - Rokku KKSE"/>
    <x v="0"/>
  </r>
  <r>
    <x v="27"/>
    <s v="HUN"/>
    <n v="6"/>
    <m/>
    <s v="Várpalota"/>
    <d v="2026-02-28T00:00:00"/>
    <s v="Németh Kitti - Meiyo dojo"/>
    <x v="0"/>
  </r>
  <r>
    <x v="27"/>
    <s v="HUN"/>
    <n v="5"/>
    <m/>
    <s v="Várpalota"/>
    <d v="2026-02-28T00:00:00"/>
    <s v="Buzás Anna - Meiyo dojo"/>
    <x v="0"/>
  </r>
  <r>
    <x v="27"/>
    <s v="HUN"/>
    <n v="3"/>
    <m/>
    <s v="Várpalota"/>
    <d v="2026-02-28T00:00:00"/>
    <s v="Balogh Zora - Meiyo dojo"/>
    <x v="0"/>
  </r>
  <r>
    <x v="15"/>
    <s v="HUN"/>
    <n v="5"/>
    <m/>
    <s v="Várpalota"/>
    <d v="2026-02-28T00:00:00"/>
    <s v="Varga Olivia - KSE Tarján"/>
    <x v="0"/>
  </r>
  <r>
    <x v="24"/>
    <s v="HUN"/>
    <n v="4"/>
    <m/>
    <s v="Várpalota"/>
    <d v="2026-02-28T00:00:00"/>
    <s v="Tóth Csenge - Nagykátai Bushido SE"/>
    <x v="0"/>
  </r>
  <r>
    <x v="26"/>
    <s v="HUN"/>
    <n v="2"/>
    <m/>
    <s v="Várpalota"/>
    <d v="2026-02-28T00:00:00"/>
    <s v="Falus Dorottya - Rokku KKSE"/>
    <x v="0"/>
  </r>
  <r>
    <x v="27"/>
    <s v="HUN"/>
    <n v="2"/>
    <m/>
    <s v="Várpalota"/>
    <d v="2026-02-28T00:00:00"/>
    <s v="Németh Kitti - Meiyo dojo"/>
    <x v="0"/>
  </r>
  <r>
    <x v="17"/>
    <s v="HUN"/>
    <n v="0"/>
    <m/>
    <s v="Várpalota"/>
    <d v="2026-02-28T00:00:00"/>
    <s v="Simor Szofi Anna - BHMSE"/>
    <x v="0"/>
  </r>
  <r>
    <x v="17"/>
    <s v="HUN"/>
    <n v="0"/>
    <m/>
    <s v="Várpalota"/>
    <d v="2026-02-28T00:00:00"/>
    <s v="Lukács Ajsa - BHMSE"/>
    <x v="0"/>
  </r>
  <r>
    <x v="26"/>
    <s v="HUN"/>
    <n v="0"/>
    <m/>
    <s v="Várpalota"/>
    <d v="2026-02-28T00:00:00"/>
    <s v="Erdei Emília - Rokku KKSE"/>
    <x v="0"/>
  </r>
  <r>
    <x v="27"/>
    <s v="HUN"/>
    <n v="0"/>
    <m/>
    <s v="Várpalota"/>
    <d v="2026-02-28T00:00:00"/>
    <s v="Buzás Anna - Meiyo dojo"/>
    <x v="0"/>
  </r>
  <r>
    <x v="25"/>
    <s v="HUN"/>
    <n v="8"/>
    <m/>
    <s v="Várpalota"/>
    <d v="2026-02-28T00:00:00"/>
    <s v="Boka Norman Eliot - Katana SE"/>
    <x v="0"/>
  </r>
  <r>
    <x v="24"/>
    <s v="HUN"/>
    <n v="6"/>
    <m/>
    <s v="Várpalota"/>
    <d v="2026-02-28T00:00:00"/>
    <s v="Hegedűs Vencel - Nagykátai Bushido SE"/>
    <x v="0"/>
  </r>
  <r>
    <x v="13"/>
    <s v="HUN"/>
    <n v="4"/>
    <m/>
    <s v="Várpalota"/>
    <d v="2026-02-28T00:00:00"/>
    <s v="Zajácz Miklós - Kamikaze S"/>
    <x v="0"/>
  </r>
  <r>
    <x v="19"/>
    <s v="HUN"/>
    <n v="4"/>
    <m/>
    <s v="Várpalota"/>
    <d v="2026-02-28T00:00:00"/>
    <s v="Gordos Zalán - VTSE"/>
    <x v="1"/>
  </r>
  <r>
    <x v="26"/>
    <s v="HUN"/>
    <n v="0"/>
    <s v="nem volt nyertes mérkőzése"/>
    <s v="Várpalota"/>
    <d v="2026-02-28T00:00:00"/>
    <s v="Vörös Mátyás - Rokku KKSE"/>
    <x v="0"/>
  </r>
  <r>
    <x v="17"/>
    <s v="HUN"/>
    <n v="0"/>
    <s v="nem volt nyertes mérkőzése"/>
    <s v="Várpalota"/>
    <d v="2026-02-28T00:00:00"/>
    <s v="Nagy Zétény - BHMSE"/>
    <x v="0"/>
  </r>
  <r>
    <x v="25"/>
    <s v="HUN"/>
    <n v="2"/>
    <m/>
    <s v="Várpalota"/>
    <d v="2026-02-28T00:00:00"/>
    <s v="Kovács Milán - Katana SE"/>
    <x v="0"/>
  </r>
  <r>
    <x v="17"/>
    <s v="HUN"/>
    <n v="0"/>
    <s v="nem volt nyertes mérkőzése"/>
    <s v="Várpalota"/>
    <d v="2026-02-28T00:00:00"/>
    <s v="Csuha Benedek - BHMSE"/>
    <x v="0"/>
  </r>
  <r>
    <x v="13"/>
    <s v="HUN"/>
    <n v="0"/>
    <m/>
    <s v="Várpalota"/>
    <d v="2026-02-28T00:00:00"/>
    <s v="Reinhoffer Erik - Kamikaze S"/>
    <x v="0"/>
  </r>
  <r>
    <x v="25"/>
    <s v="HUN"/>
    <n v="0"/>
    <m/>
    <s v="Várpalota"/>
    <d v="2026-02-28T00:00:00"/>
    <s v="Süller Zsombor - Katana SE"/>
    <x v="0"/>
  </r>
  <r>
    <x v="6"/>
    <s v="HUN"/>
    <n v="0"/>
    <m/>
    <s v="Várpalota"/>
    <d v="2026-02-28T00:00:00"/>
    <s v="Kalmár Ádám István - Castrum"/>
    <x v="0"/>
  </r>
  <r>
    <x v="25"/>
    <s v="HUN"/>
    <n v="6"/>
    <m/>
    <s v="Várpalota"/>
    <d v="2026-02-28T00:00:00"/>
    <s v="Szenner Valentin - Katana SE"/>
    <x v="0"/>
  </r>
  <r>
    <x v="25"/>
    <s v="HUN"/>
    <n v="5"/>
    <m/>
    <s v="Várpalota"/>
    <d v="2026-02-28T00:00:00"/>
    <s v="Szabó Áron Levente - Katana SE"/>
    <x v="0"/>
  </r>
  <r>
    <x v="28"/>
    <s v="HUN"/>
    <n v="0"/>
    <s v="nem volt nyertes mérkőzése"/>
    <s v="Várpalota"/>
    <d v="2026-02-28T00:00:00"/>
    <s v="Molnár I. Zétény - KKE - Spartacus"/>
    <x v="0"/>
  </r>
  <r>
    <x v="23"/>
    <s v="HUN"/>
    <n v="3"/>
    <m/>
    <s v="Várpalota"/>
    <d v="2026-02-28T00:00:00"/>
    <s v="Hidegh Krisztián - Rakurai"/>
    <x v="0"/>
  </r>
  <r>
    <x v="24"/>
    <s v="HUN"/>
    <n v="0"/>
    <m/>
    <s v="Várpalota"/>
    <d v="2026-02-28T00:00:00"/>
    <s v="Benedek Barnabás - Nagykátai Bushido SE"/>
    <x v="0"/>
  </r>
  <r>
    <x v="20"/>
    <s v="HUN"/>
    <n v="0"/>
    <m/>
    <s v="Várpalota"/>
    <d v="2026-02-28T00:00:00"/>
    <s v="Balázs Dénes - Griff SE"/>
    <x v="0"/>
  </r>
  <r>
    <x v="17"/>
    <s v="HUN"/>
    <n v="0"/>
    <m/>
    <s v="Várpalota"/>
    <d v="2026-02-28T00:00:00"/>
    <s v="Kárász Dániel - BHMSE"/>
    <x v="0"/>
  </r>
  <r>
    <x v="15"/>
    <s v="HUN"/>
    <n v="6"/>
    <m/>
    <s v="Várpalota"/>
    <d v="2026-02-28T00:00:00"/>
    <s v="Árendás Botond - KSE Tarján"/>
    <x v="0"/>
  </r>
  <r>
    <x v="20"/>
    <s v="HUN"/>
    <n v="5"/>
    <m/>
    <s v="Várpalota"/>
    <d v="2026-02-28T00:00:00"/>
    <s v="Horváth Kristóf - Griff SE"/>
    <x v="0"/>
  </r>
  <r>
    <x v="25"/>
    <s v="HUN"/>
    <n v="3"/>
    <m/>
    <s v="Várpalota"/>
    <d v="2026-02-28T00:00:00"/>
    <s v="Bodnár Zoltán - Katana SE"/>
    <x v="0"/>
  </r>
  <r>
    <x v="13"/>
    <s v="HUN"/>
    <n v="0"/>
    <s v="nem volt nyertes mérkőzése"/>
    <s v="Várpalota"/>
    <d v="2026-02-28T00:00:00"/>
    <s v="Dani Andor - Kamikaze S"/>
    <x v="0"/>
  </r>
  <r>
    <x v="25"/>
    <s v="HUN"/>
    <n v="0"/>
    <m/>
    <s v="Várpalota"/>
    <d v="2026-02-28T00:00:00"/>
    <s v="Mohai Szilárd - Katana SE"/>
    <x v="0"/>
  </r>
  <r>
    <x v="17"/>
    <s v="HUN"/>
    <n v="0"/>
    <m/>
    <s v="Várpalota"/>
    <d v="2026-02-28T00:00:00"/>
    <s v="Sipos-Cserjési Horka - BHMSE"/>
    <x v="0"/>
  </r>
  <r>
    <x v="26"/>
    <s v="HUN"/>
    <n v="0"/>
    <m/>
    <s v="Várpalota"/>
    <d v="2026-02-28T00:00:00"/>
    <s v="Fekete Kristóf - Rokku KKSE"/>
    <x v="0"/>
  </r>
  <r>
    <x v="17"/>
    <s v="HUN"/>
    <n v="8"/>
    <m/>
    <s v="Várpalota"/>
    <d v="2026-02-28T00:00:00"/>
    <s v="Gombos-Weidinger Zsombor - BHMSE"/>
    <x v="0"/>
  </r>
  <r>
    <x v="24"/>
    <s v="HUN"/>
    <n v="6"/>
    <m/>
    <s v="Várpalota"/>
    <d v="2026-02-28T00:00:00"/>
    <s v="Vámosi Juhász Máté - Nagykátai Bushido SE"/>
    <x v="0"/>
  </r>
  <r>
    <x v="29"/>
    <s v="HUN"/>
    <n v="4"/>
    <m/>
    <s v="Várpalota"/>
    <d v="2026-02-28T00:00:00"/>
    <s v="Szabó Máté Péter - WARRIORS TEAM"/>
    <x v="0"/>
  </r>
  <r>
    <x v="9"/>
    <s v="HUN"/>
    <n v="3"/>
    <m/>
    <s v="Várpalota"/>
    <d v="2026-02-28T00:00:00"/>
    <s v="Milutinovic Olivér - Beledi KÉSZ SE"/>
    <x v="1"/>
  </r>
  <r>
    <x v="1"/>
    <s v="HUN"/>
    <n v="6"/>
    <m/>
    <s v="Várpalota"/>
    <d v="2026-02-28T00:00:00"/>
    <s v="Tálas Csongor - Ippon KKSE"/>
    <x v="0"/>
  </r>
  <r>
    <x v="17"/>
    <s v="HUN"/>
    <n v="5"/>
    <m/>
    <s v="Várpalota"/>
    <d v="2026-02-28T00:00:00"/>
    <s v="Baky Kornél - BHMSE"/>
    <x v="0"/>
  </r>
  <r>
    <x v="23"/>
    <s v="HUN"/>
    <n v="3"/>
    <m/>
    <s v="Várpalota"/>
    <d v="2026-02-28T00:00:00"/>
    <s v="Koczor Máté - Rakurai"/>
    <x v="0"/>
  </r>
  <r>
    <x v="30"/>
    <s v="HUN"/>
    <n v="6"/>
    <m/>
    <s v="Várpalota"/>
    <d v="2026-02-28T00:00:00"/>
    <s v="Kőszegfalvi Csanád - Shinkyo SE"/>
    <x v="0"/>
  </r>
  <r>
    <x v="17"/>
    <s v="HUN"/>
    <n v="5"/>
    <m/>
    <s v="Várpalota"/>
    <d v="2026-02-28T00:00:00"/>
    <s v="Nagy Zétény - BHMSE"/>
    <x v="0"/>
  </r>
  <r>
    <x v="15"/>
    <s v="HUN"/>
    <n v="3"/>
    <m/>
    <s v="Várpalota"/>
    <d v="2026-02-28T00:00:00"/>
    <s v="Árendás Botond - KSE Tarján"/>
    <x v="0"/>
  </r>
  <r>
    <x v="17"/>
    <s v="HUN"/>
    <n v="3"/>
    <m/>
    <s v="Várpalota"/>
    <d v="2026-02-28T00:00:00"/>
    <s v="Gombos-Weidinger Zsombor - BHMSE"/>
    <x v="0"/>
  </r>
  <r>
    <x v="17"/>
    <s v="HUN"/>
    <n v="1"/>
    <m/>
    <s v="Várpalota"/>
    <d v="2026-02-28T00:00:00"/>
    <s v="Eperjesi Dávid - BHMSE"/>
    <x v="0"/>
  </r>
  <r>
    <x v="26"/>
    <s v="HUN"/>
    <n v="1"/>
    <m/>
    <s v="Várpalota"/>
    <d v="2026-02-28T00:00:00"/>
    <s v="Virág Oszkár - Rokku KKSE"/>
    <x v="0"/>
  </r>
  <r>
    <x v="17"/>
    <s v="HUN"/>
    <n v="0"/>
    <s v="nem volt nyertes mérkőzése"/>
    <s v="Várpalota"/>
    <d v="2026-02-28T00:00:00"/>
    <s v="Kárász Dániel - BHMSE"/>
    <x v="0"/>
  </r>
  <r>
    <x v="17"/>
    <s v="HUN"/>
    <n v="0"/>
    <s v="nem volt nyertes mérkőzése"/>
    <s v="Várpalota"/>
    <d v="2026-02-28T00:00:00"/>
    <s v="Hernádi Bere - BHMSE"/>
    <x v="0"/>
  </r>
  <r>
    <x v="23"/>
    <s v="HUN"/>
    <n v="0"/>
    <m/>
    <s v="Várpalota"/>
    <d v="2026-02-28T00:00:00"/>
    <s v="Hidegh Krisztián - Rakurai"/>
    <x v="0"/>
  </r>
  <r>
    <x v="25"/>
    <s v="HUN"/>
    <n v="0"/>
    <m/>
    <s v="Várpalota"/>
    <d v="2026-02-28T00:00:00"/>
    <s v="Mohai Szilárd - Katana SE"/>
    <x v="0"/>
  </r>
  <r>
    <x v="31"/>
    <s v="HUN"/>
    <n v="0"/>
    <m/>
    <s v="Várpalota"/>
    <d v="2026-02-28T00:00:00"/>
    <s v="Káplár János Mihály - Pagoda"/>
    <x v="1"/>
  </r>
  <r>
    <x v="17"/>
    <s v="HUN"/>
    <n v="0"/>
    <m/>
    <s v="Várpalota"/>
    <d v="2026-02-28T00:00:00"/>
    <s v="Sipos-Cserjési Horka - BHMSE"/>
    <x v="0"/>
  </r>
  <r>
    <x v="17"/>
    <s v="HUN"/>
    <n v="0"/>
    <m/>
    <s v="Várpalota"/>
    <d v="2026-02-28T00:00:00"/>
    <s v="Bocsányi Márton - BHMSE"/>
    <x v="0"/>
  </r>
  <r>
    <x v="22"/>
    <s v="HUN"/>
    <n v="0"/>
    <m/>
    <s v="Várpalota"/>
    <d v="2026-02-28T00:00:00"/>
    <s v="Vass Alexander - Siófok KSE"/>
    <x v="0"/>
  </r>
  <r>
    <x v="17"/>
    <s v="HUN"/>
    <n v="6"/>
    <m/>
    <s v="Várpalota"/>
    <d v="2026-02-28T00:00:00"/>
    <s v="Jakubovics Nikolett - BHMSE"/>
    <x v="0"/>
  </r>
  <r>
    <x v="20"/>
    <s v="HUN"/>
    <n v="5"/>
    <m/>
    <s v="Várpalota"/>
    <d v="2026-02-28T00:00:00"/>
    <s v="Pődör Panka - Griff SE"/>
    <x v="0"/>
  </r>
  <r>
    <x v="23"/>
    <s v="HUN"/>
    <n v="3"/>
    <m/>
    <s v="Várpalota"/>
    <d v="2026-02-28T00:00:00"/>
    <s v="Horváth Boróka - Rakurai"/>
    <x v="0"/>
  </r>
  <r>
    <x v="16"/>
    <s v="HUN"/>
    <n v="6"/>
    <m/>
    <s v="Várpalota"/>
    <d v="2026-02-28T00:00:00"/>
    <s v="Kocsis Nóra - Genbu dojo"/>
    <x v="1"/>
  </r>
  <r>
    <x v="16"/>
    <s v="HUN"/>
    <n v="5"/>
    <m/>
    <s v="Várpalota"/>
    <d v="2026-02-28T00:00:00"/>
    <s v="Kocsis Angéla - Genbu dojo"/>
    <x v="1"/>
  </r>
  <r>
    <x v="29"/>
    <s v="HUN"/>
    <n v="3"/>
    <m/>
    <s v="Várpalota"/>
    <d v="2026-02-28T00:00:00"/>
    <s v="Garamszegi Szófia - WARRIORS TEAM"/>
    <x v="0"/>
  </r>
  <r>
    <x v="19"/>
    <s v="HUN"/>
    <n v="6"/>
    <m/>
    <s v="Várpalota"/>
    <d v="2026-02-28T00:00:00"/>
    <s v="Vig Boglárka - VTSE"/>
    <x v="1"/>
  </r>
  <r>
    <x v="24"/>
    <s v="HUN"/>
    <n v="5"/>
    <m/>
    <s v="Várpalota"/>
    <d v="2026-02-28T00:00:00"/>
    <s v="Tóth Arina Bejke - Nagykátai Bushido SE"/>
    <x v="0"/>
  </r>
  <r>
    <x v="17"/>
    <s v="HUN"/>
    <n v="3"/>
    <m/>
    <s v="Várpalota"/>
    <d v="2026-02-28T00:00:00"/>
    <s v="Spanjevic Frida - BHMSE"/>
    <x v="0"/>
  </r>
  <r>
    <x v="4"/>
    <s v="HUN"/>
    <n v="0"/>
    <s v="nem volt nyertes mérkőzése"/>
    <s v="Várpalota"/>
    <d v="2026-02-28T00:00:00"/>
    <s v="Szombath Jázmin - Főnix Dojo"/>
    <x v="0"/>
  </r>
  <r>
    <x v="26"/>
    <s v="HUN"/>
    <n v="0"/>
    <m/>
    <s v="Várpalota"/>
    <d v="2026-02-28T00:00:00"/>
    <s v="Falus Zsuzsanna - Rokku KKSE"/>
    <x v="0"/>
  </r>
  <r>
    <x v="27"/>
    <s v="HUN"/>
    <n v="0"/>
    <m/>
    <s v="Várpalota"/>
    <d v="2026-02-28T00:00:00"/>
    <s v="Rabi-Szita Emese - Meiyo dojo"/>
    <x v="0"/>
  </r>
  <r>
    <x v="15"/>
    <s v="HUN"/>
    <n v="0"/>
    <m/>
    <s v="Várpalota"/>
    <d v="2026-02-28T00:00:00"/>
    <s v="Baranya Lilla - KSE Tarján"/>
    <x v="0"/>
  </r>
  <r>
    <x v="17"/>
    <s v="HUN"/>
    <n v="6"/>
    <m/>
    <s v="Várpalota"/>
    <d v="2026-02-28T00:00:00"/>
    <s v="Jakubovics Nikolett - BHMSE"/>
    <x v="0"/>
  </r>
  <r>
    <x v="17"/>
    <s v="HUN"/>
    <n v="5"/>
    <m/>
    <s v="Várpalota"/>
    <d v="2026-02-28T00:00:00"/>
    <s v="Domján-Herbat Réka - BHMSE"/>
    <x v="0"/>
  </r>
  <r>
    <x v="23"/>
    <s v="HUN"/>
    <n v="3"/>
    <m/>
    <s v="Várpalota"/>
    <d v="2026-02-28T00:00:00"/>
    <s v="Rudi Noémi - Rakurai"/>
    <x v="0"/>
  </r>
  <r>
    <x v="17"/>
    <s v="HUN"/>
    <n v="3"/>
    <m/>
    <s v="Várpalota"/>
    <d v="2026-02-28T00:00:00"/>
    <s v="Barta-Gaál Adóra - BHMSE"/>
    <x v="0"/>
  </r>
  <r>
    <x v="26"/>
    <s v="HUN"/>
    <n v="0"/>
    <s v="nem volt nyertes mérkőzése"/>
    <s v="Várpalota"/>
    <d v="2026-02-28T00:00:00"/>
    <s v="Falus Zsuzsanna - Rokku KKSE"/>
    <x v="0"/>
  </r>
  <r>
    <x v="9"/>
    <s v="HUN"/>
    <n v="0"/>
    <s v="nem volt nyertes mérkőzése"/>
    <s v="Várpalota"/>
    <d v="2026-02-28T00:00:00"/>
    <s v="Gergácz Izabella - Beledi KÉSZ SE"/>
    <x v="1"/>
  </r>
  <r>
    <x v="17"/>
    <s v="HUN"/>
    <n v="0"/>
    <s v="nem volt nyertes mérkőzése"/>
    <s v="Várpalota"/>
    <d v="2026-02-28T00:00:00"/>
    <s v="Spanjevic Frida - BHMSE"/>
    <x v="0"/>
  </r>
  <r>
    <x v="27"/>
    <s v="HUN"/>
    <n v="0"/>
    <s v="nem volt nyertes mérkőzése"/>
    <s v="Várpalota"/>
    <d v="2026-02-28T00:00:00"/>
    <s v="Rabi-Szita Emese - Meiyo dojo"/>
    <x v="0"/>
  </r>
  <r>
    <x v="25"/>
    <s v="HUN"/>
    <n v="0"/>
    <m/>
    <s v="Várpalota"/>
    <d v="2026-02-28T00:00:00"/>
    <s v="Ükös Júlia - Katana SE"/>
    <x v="0"/>
  </r>
  <r>
    <x v="17"/>
    <s v="HUN"/>
    <n v="3"/>
    <m/>
    <s v="Várpalota"/>
    <d v="2026-02-28T00:00:00"/>
    <s v="Sövér Levente - BHMSE"/>
    <x v="0"/>
  </r>
  <r>
    <x v="22"/>
    <s v="HUN"/>
    <n v="0"/>
    <m/>
    <s v="Várpalota"/>
    <d v="2026-02-28T00:00:00"/>
    <s v="Nyíri György - Siófok KSE"/>
    <x v="0"/>
  </r>
  <r>
    <x v="28"/>
    <s v="HUN"/>
    <n v="8"/>
    <m/>
    <s v="Várpalota"/>
    <d v="2026-02-28T00:00:00"/>
    <s v="Bárkovics Áron - KKE - Spartacus"/>
    <x v="0"/>
  </r>
  <r>
    <x v="23"/>
    <s v="HUN"/>
    <n v="6"/>
    <m/>
    <s v="Várpalota"/>
    <d v="2026-02-28T00:00:00"/>
    <s v="Hidegh Flórián - Rakurai"/>
    <x v="0"/>
  </r>
  <r>
    <x v="19"/>
    <s v="HUN"/>
    <n v="4"/>
    <m/>
    <s v="Várpalota"/>
    <d v="2026-02-28T00:00:00"/>
    <s v="Béres Bence - VTSE"/>
    <x v="1"/>
  </r>
  <r>
    <x v="22"/>
    <s v="HUN"/>
    <n v="3"/>
    <m/>
    <s v="Várpalota"/>
    <d v="2026-02-28T00:00:00"/>
    <s v="Jankovics Marcell - Siófok KSE"/>
    <x v="0"/>
  </r>
  <r>
    <x v="15"/>
    <s v="HUN"/>
    <n v="6"/>
    <m/>
    <s v="Várpalota"/>
    <d v="2026-02-28T00:00:00"/>
    <s v="Antal Dániel Kristóf - KSE Tarján"/>
    <x v="0"/>
  </r>
  <r>
    <x v="28"/>
    <s v="HUN"/>
    <n v="5"/>
    <m/>
    <s v="Várpalota"/>
    <d v="2026-02-28T00:00:00"/>
    <s v="Tóth Kornél - KKE - Spartacus"/>
    <x v="0"/>
  </r>
  <r>
    <x v="17"/>
    <s v="HUN"/>
    <n v="0"/>
    <s v="nem volt nyertes mérkőzése"/>
    <s v="Várpalota"/>
    <d v="2026-02-28T00:00:00"/>
    <s v="Gattyán Máté Barna - BHMSE"/>
    <x v="0"/>
  </r>
  <r>
    <x v="23"/>
    <s v="HUN"/>
    <n v="3"/>
    <m/>
    <s v="Várpalota"/>
    <d v="2026-02-28T00:00:00"/>
    <s v="Kámán Márton - Rakurai"/>
    <x v="0"/>
  </r>
  <r>
    <x v="32"/>
    <s v="HUN"/>
    <n v="0"/>
    <m/>
    <s v="Várpalota"/>
    <d v="2026-02-28T00:00:00"/>
    <s v="Tarjányi Zétény Ferenc - ARSC"/>
    <x v="0"/>
  </r>
  <r>
    <x v="33"/>
    <s v="HUN"/>
    <n v="0"/>
    <m/>
    <s v="Várpalota"/>
    <d v="2026-02-28T00:00:00"/>
    <s v="Tóth Benedek - Ichiro Dojo"/>
    <x v="1"/>
  </r>
  <r>
    <x v="20"/>
    <s v="HUN"/>
    <n v="0"/>
    <m/>
    <s v="Várpalota"/>
    <d v="2026-02-28T00:00:00"/>
    <s v="Halász Zente - Griff SE"/>
    <x v="0"/>
  </r>
  <r>
    <x v="17"/>
    <s v="HUN"/>
    <n v="6"/>
    <m/>
    <s v="Várpalota"/>
    <d v="2026-02-28T00:00:00"/>
    <s v="Ferenczhalmy Félix - BHMSE"/>
    <x v="0"/>
  </r>
  <r>
    <x v="19"/>
    <s v="HUN"/>
    <n v="5"/>
    <m/>
    <s v="Várpalota"/>
    <d v="2026-02-28T00:00:00"/>
    <s v="Viszugyel Bálint - VTSE"/>
    <x v="1"/>
  </r>
  <r>
    <x v="19"/>
    <s v="HUN"/>
    <n v="3"/>
    <m/>
    <s v="Várpalota"/>
    <d v="2026-02-28T00:00:00"/>
    <s v="Vig Bendegúz - VTSE"/>
    <x v="1"/>
  </r>
  <r>
    <x v="26"/>
    <s v="HUN"/>
    <n v="3"/>
    <m/>
    <s v="Várpalota"/>
    <d v="2026-02-28T00:00:00"/>
    <s v="Bánfi Botond - Rokku KKSE"/>
    <x v="0"/>
  </r>
  <r>
    <x v="4"/>
    <s v="HUN"/>
    <n v="0"/>
    <m/>
    <s v="Várpalota"/>
    <d v="2026-02-28T00:00:00"/>
    <s v="Munkácsi Ádám - Főnix Dojo"/>
    <x v="0"/>
  </r>
  <r>
    <x v="26"/>
    <s v="HUN"/>
    <n v="0"/>
    <m/>
    <s v="Várpalota"/>
    <d v="2026-02-28T00:00:00"/>
    <s v="Hadnagy Barnabás - Rokku KKSE"/>
    <x v="0"/>
  </r>
  <r>
    <x v="15"/>
    <s v="HUN"/>
    <n v="0"/>
    <m/>
    <s v="Várpalota"/>
    <d v="2026-02-28T00:00:00"/>
    <s v="Szabó Levente Botond - KSE Tarján"/>
    <x v="0"/>
  </r>
  <r>
    <x v="23"/>
    <s v="HUN"/>
    <n v="8"/>
    <m/>
    <s v="Várpalota"/>
    <d v="2026-02-28T00:00:00"/>
    <s v="Villasenor Babos Viktor Éliás - Rakurai"/>
    <x v="0"/>
  </r>
  <r>
    <x v="26"/>
    <s v="HUN"/>
    <n v="6"/>
    <m/>
    <s v="Várpalota"/>
    <d v="2026-02-28T00:00:00"/>
    <s v="Salga Márton - Rokku KKSE"/>
    <x v="0"/>
  </r>
  <r>
    <x v="23"/>
    <s v="HUN"/>
    <n v="4"/>
    <m/>
    <s v="Várpalota"/>
    <d v="2026-02-28T00:00:00"/>
    <s v="Finta Csanád - Rakurai"/>
    <x v="0"/>
  </r>
  <r>
    <x v="4"/>
    <s v="HUN"/>
    <n v="3"/>
    <m/>
    <s v="Várpalota"/>
    <d v="2026-02-28T00:00:00"/>
    <s v="Gaál-Vajai Tamás - Főnix Dojo"/>
    <x v="0"/>
  </r>
  <r>
    <x v="33"/>
    <s v="HUN"/>
    <n v="6"/>
    <m/>
    <s v="Várpalota"/>
    <d v="2026-02-28T00:00:00"/>
    <s v="Adámi Áron - Ichiro Dojo"/>
    <x v="1"/>
  </r>
  <r>
    <x v="26"/>
    <s v="HUN"/>
    <n v="5"/>
    <m/>
    <s v="Várpalota"/>
    <d v="2026-02-28T00:00:00"/>
    <s v="Urszuly Noel - Rokku KKSE"/>
    <x v="0"/>
  </r>
  <r>
    <x v="34"/>
    <s v="HUN"/>
    <n v="3"/>
    <m/>
    <s v="Várpalota"/>
    <d v="2026-02-28T00:00:00"/>
    <s v="Kárpáti Bence - Cs.S.E."/>
    <x v="0"/>
  </r>
  <r>
    <x v="15"/>
    <s v="HUN"/>
    <n v="3"/>
    <m/>
    <s v="Várpalota"/>
    <d v="2026-02-28T00:00:00"/>
    <s v="Varga Bence - KSE Tarján"/>
    <x v="0"/>
  </r>
  <r>
    <x v="26"/>
    <s v="HUN"/>
    <n v="0"/>
    <m/>
    <s v="Várpalota"/>
    <d v="2026-02-28T00:00:00"/>
    <s v="Reinhofer Patrik - Rokku KKSE"/>
    <x v="0"/>
  </r>
  <r>
    <x v="23"/>
    <s v="HUN"/>
    <n v="0"/>
    <m/>
    <s v="Várpalota"/>
    <d v="2026-02-28T00:00:00"/>
    <s v="Horváth Bence László - Rakurai"/>
    <x v="0"/>
  </r>
  <r>
    <x v="35"/>
    <s v="HUN"/>
    <n v="0"/>
    <m/>
    <s v="Várpalota"/>
    <d v="2026-02-28T00:00:00"/>
    <s v="Gyarmathy Zsolt - Fitt KKSE"/>
    <x v="0"/>
  </r>
  <r>
    <x v="28"/>
    <s v="HUN"/>
    <n v="0"/>
    <m/>
    <s v="Várpalota"/>
    <d v="2026-02-28T00:00:00"/>
    <s v="Nagy Kevin  - KKE - Spartacus"/>
    <x v="0"/>
  </r>
  <r>
    <x v="15"/>
    <s v="HUN"/>
    <n v="6"/>
    <m/>
    <s v="Várpalota"/>
    <d v="2026-02-28T00:00:00"/>
    <s v="Moosbauer Kevin - KSE Tarján"/>
    <x v="0"/>
  </r>
  <r>
    <x v="34"/>
    <s v="HUN"/>
    <n v="5"/>
    <m/>
    <s v="Várpalota"/>
    <d v="2026-02-28T00:00:00"/>
    <s v="Kárpáti Bence - Cs.S.E."/>
    <x v="0"/>
  </r>
  <r>
    <x v="23"/>
    <s v="HUN"/>
    <n v="3"/>
    <m/>
    <s v="Várpalota"/>
    <d v="2026-02-28T00:00:00"/>
    <s v="Kleé Krisztián - Rakurai"/>
    <x v="0"/>
  </r>
  <r>
    <x v="32"/>
    <s v="HUN"/>
    <n v="3"/>
    <m/>
    <s v="Várpalota"/>
    <d v="2026-02-28T00:00:00"/>
    <s v="Tarjányi Zétény Ferenc - ARSC"/>
    <x v="0"/>
  </r>
  <r>
    <x v="22"/>
    <s v="HUN"/>
    <n v="0"/>
    <s v="nem volt nyertes mérkőzése"/>
    <s v="Várpalota"/>
    <d v="2026-02-28T00:00:00"/>
    <s v="Szigeti Boldizsár - Siófok KSE"/>
    <x v="0"/>
  </r>
  <r>
    <x v="17"/>
    <s v="HUN"/>
    <n v="1"/>
    <m/>
    <s v="Várpalota"/>
    <d v="2026-02-28T00:00:00"/>
    <s v="Sövér Levente - BHMSE"/>
    <x v="0"/>
  </r>
  <r>
    <x v="22"/>
    <s v="HUN"/>
    <n v="0"/>
    <s v="nem volt nyertes mérkőzése"/>
    <s v="Várpalota"/>
    <d v="2026-02-28T00:00:00"/>
    <s v="Nyíri György - Siófok KSE"/>
    <x v="0"/>
  </r>
  <r>
    <x v="22"/>
    <s v="HUN"/>
    <n v="0"/>
    <m/>
    <s v="Várpalota"/>
    <d v="2026-02-28T00:00:00"/>
    <s v="Jankovics Marcell - Siófok KSE"/>
    <x v="0"/>
  </r>
  <r>
    <x v="17"/>
    <s v="HUN"/>
    <n v="0"/>
    <m/>
    <s v="Várpalota"/>
    <d v="2026-02-28T00:00:00"/>
    <s v="Ferenczhalmy Félix - BHMSE"/>
    <x v="0"/>
  </r>
  <r>
    <x v="1"/>
    <s v="HUN"/>
    <n v="0"/>
    <m/>
    <s v="Várpalota"/>
    <d v="2026-02-28T00:00:00"/>
    <s v="Fulló István Dragoljub - Ippon KKSE"/>
    <x v="0"/>
  </r>
  <r>
    <x v="11"/>
    <s v="HUN"/>
    <n v="0"/>
    <m/>
    <s v="Várpalota"/>
    <d v="2026-02-28T00:00:00"/>
    <s v="KÁDAS DOMINIK - KyoDabas SE."/>
    <x v="1"/>
  </r>
  <r>
    <x v="23"/>
    <s v="HUN"/>
    <n v="3"/>
    <m/>
    <s v="Várpalota"/>
    <d v="2026-02-28T00:00:00"/>
    <s v="Bogdán Szonja Boróka - Rakurai"/>
    <x v="0"/>
  </r>
  <r>
    <x v="22"/>
    <s v="HUN"/>
    <n v="0"/>
    <m/>
    <s v="Várpalota"/>
    <d v="2026-02-28T00:00:00"/>
    <s v="Rékai Bianka - Siófok KSE"/>
    <x v="0"/>
  </r>
  <r>
    <x v="19"/>
    <s v="HUN"/>
    <n v="8"/>
    <m/>
    <s v="Várpalota"/>
    <d v="2026-02-28T00:00:00"/>
    <s v="Reichert Hanna  - VTSE"/>
    <x v="1"/>
  </r>
  <r>
    <x v="4"/>
    <s v="HUN"/>
    <n v="6"/>
    <m/>
    <s v="Várpalota"/>
    <d v="2026-02-28T00:00:00"/>
    <s v="Gaál-Vajai Tamara - Főnix Dojo"/>
    <x v="0"/>
  </r>
  <r>
    <x v="6"/>
    <s v="HUN"/>
    <n v="4"/>
    <m/>
    <s v="Várpalota"/>
    <d v="2026-02-28T00:00:00"/>
    <s v="Papp Gréta - Castrum"/>
    <x v="0"/>
  </r>
  <r>
    <x v="36"/>
    <s v="HUN"/>
    <n v="4"/>
    <m/>
    <s v="Várpalota"/>
    <d v="2026-02-28T00:00:00"/>
    <s v="Radnóti Lilla - POWER SE."/>
    <x v="0"/>
  </r>
  <r>
    <x v="23"/>
    <s v="HUN"/>
    <n v="0"/>
    <s v="nem volt nyertes mérkőzése"/>
    <s v="Várpalota"/>
    <d v="2026-02-28T00:00:00"/>
    <s v="Villasenor Babos Natália  - Rakurai"/>
    <x v="0"/>
  </r>
  <r>
    <x v="36"/>
    <s v="HUN"/>
    <n v="2"/>
    <m/>
    <s v="Várpalota"/>
    <d v="2026-02-28T00:00:00"/>
    <s v="Ványi Amira - POWER SE."/>
    <x v="0"/>
  </r>
  <r>
    <x v="37"/>
    <s v="HUN"/>
    <n v="0"/>
    <s v="nem volt nyertes mérkőzése"/>
    <s v="Várpalota"/>
    <d v="2026-02-28T00:00:00"/>
    <s v="Gazdag Csinszka - ASE Bulldog KKSZCS"/>
    <x v="0"/>
  </r>
  <r>
    <x v="4"/>
    <s v="HUN"/>
    <n v="0"/>
    <s v="nem volt nyertes mérkőzése"/>
    <s v="Várpalota"/>
    <d v="2026-02-28T00:00:00"/>
    <s v="Nagy Anna - Főnix Dojo"/>
    <x v="0"/>
  </r>
  <r>
    <x v="29"/>
    <s v="HUN"/>
    <n v="0"/>
    <m/>
    <s v="Várpalota"/>
    <d v="2026-02-28T00:00:00"/>
    <s v="Volenszki Mira - WARRIORS TEAM"/>
    <x v="0"/>
  </r>
  <r>
    <x v="29"/>
    <s v="HUN"/>
    <n v="0"/>
    <m/>
    <s v="Várpalota"/>
    <d v="2026-02-28T00:00:00"/>
    <s v="Solymári Orsolya Dalma - WARRIORS TEAM"/>
    <x v="0"/>
  </r>
  <r>
    <x v="29"/>
    <s v="HUN"/>
    <n v="0"/>
    <m/>
    <s v="Várpalota"/>
    <d v="2026-02-28T00:00:00"/>
    <s v="Volenszki Adél - WARRIORS TEAM"/>
    <x v="0"/>
  </r>
  <r>
    <x v="29"/>
    <s v="HUN"/>
    <n v="6"/>
    <m/>
    <s v="Várpalota"/>
    <d v="2026-02-28T00:00:00"/>
    <s v="Bennárik Bella - WARRIORS TEAM"/>
    <x v="0"/>
  </r>
  <r>
    <x v="25"/>
    <s v="HUN"/>
    <n v="5"/>
    <m/>
    <s v="Várpalota"/>
    <d v="2026-02-28T00:00:00"/>
    <s v="Szabó Anna Tímea - Katana SE"/>
    <x v="0"/>
  </r>
  <r>
    <x v="1"/>
    <s v="HUN"/>
    <n v="3"/>
    <m/>
    <s v="Várpalota"/>
    <d v="2026-02-28T00:00:00"/>
    <s v="Abou Hussein Maya - Ippon KKSE"/>
    <x v="0"/>
  </r>
  <r>
    <x v="19"/>
    <s v="HUN"/>
    <n v="4"/>
    <m/>
    <s v="Várpalota"/>
    <d v="2026-02-28T00:00:00"/>
    <s v="Szente Beatrix - VTSE"/>
    <x v="1"/>
  </r>
  <r>
    <x v="1"/>
    <s v="HUN"/>
    <n v="3"/>
    <m/>
    <s v="Várpalota"/>
    <d v="2026-02-28T00:00:00"/>
    <s v="Lukácsi Réka - Ippon KKSE"/>
    <x v="0"/>
  </r>
  <r>
    <x v="23"/>
    <s v="HUN"/>
    <n v="2"/>
    <m/>
    <s v="Várpalota"/>
    <d v="2026-02-28T00:00:00"/>
    <s v="Bota Sára - Rakurai"/>
    <x v="0"/>
  </r>
  <r>
    <x v="13"/>
    <s v="HUN"/>
    <n v="3"/>
    <m/>
    <s v="Várpalota"/>
    <d v="2026-02-28T00:00:00"/>
    <s v="Horváth Liliána - Kamikaze S"/>
    <x v="0"/>
  </r>
  <r>
    <x v="17"/>
    <s v="HUN"/>
    <n v="0"/>
    <m/>
    <s v="Várpalota"/>
    <d v="2026-02-28T00:00:00"/>
    <s v="Mihályi Tünde - BHMSE"/>
    <x v="0"/>
  </r>
  <r>
    <x v="25"/>
    <s v="HUN"/>
    <n v="8"/>
    <m/>
    <s v="Várpalota"/>
    <d v="2026-02-28T00:00:00"/>
    <s v="Szabó Anna Tímea - Katana SE"/>
    <x v="0"/>
  </r>
  <r>
    <x v="25"/>
    <s v="HUN"/>
    <n v="6"/>
    <m/>
    <s v="Várpalota"/>
    <d v="2026-02-28T00:00:00"/>
    <s v="Tóth-Krisó Míra - Katana SE"/>
    <x v="0"/>
  </r>
  <r>
    <x v="17"/>
    <s v="HUN"/>
    <n v="4"/>
    <m/>
    <s v="Várpalota"/>
    <d v="2026-02-28T00:00:00"/>
    <s v="Horváth Dóra Lili - BHMSE"/>
    <x v="0"/>
  </r>
  <r>
    <x v="15"/>
    <s v="HUN"/>
    <n v="4"/>
    <m/>
    <s v="Várpalota"/>
    <d v="2026-02-28T00:00:00"/>
    <s v="Mészáros Lili Dóra - KSE Tarján"/>
    <x v="0"/>
  </r>
  <r>
    <x v="33"/>
    <s v="HUN"/>
    <n v="2"/>
    <m/>
    <s v="Várpalota"/>
    <d v="2026-02-28T00:00:00"/>
    <s v="Szűcs Anna - Ichiro Dojo"/>
    <x v="1"/>
  </r>
  <r>
    <x v="17"/>
    <s v="HUN"/>
    <n v="2"/>
    <m/>
    <s v="Várpalota"/>
    <d v="2026-02-28T00:00:00"/>
    <s v="Mihályi Tünde - BHMSE"/>
    <x v="0"/>
  </r>
  <r>
    <x v="37"/>
    <s v="HUN"/>
    <n v="2"/>
    <m/>
    <s v="Várpalota"/>
    <d v="2026-02-28T00:00:00"/>
    <s v="Gazdag Csinszka - ASE Bulldog KKSZCS"/>
    <x v="0"/>
  </r>
  <r>
    <x v="36"/>
    <s v="HUN"/>
    <n v="2"/>
    <m/>
    <s v="Várpalota"/>
    <d v="2026-02-28T00:00:00"/>
    <s v="Radnóti Lilla - POWER SE."/>
    <x v="0"/>
  </r>
  <r>
    <x v="38"/>
    <s v="HUN"/>
    <n v="0"/>
    <m/>
    <s v="Várpalota"/>
    <d v="2026-02-28T00:00:00"/>
    <s v="Kovács Linett - RDKKSE"/>
    <x v="0"/>
  </r>
  <r>
    <x v="35"/>
    <s v="HUN"/>
    <n v="0"/>
    <m/>
    <s v="Várpalota"/>
    <d v="2026-02-28T00:00:00"/>
    <s v="Gál Petra Andrea - Fitt KKSE"/>
    <x v="0"/>
  </r>
  <r>
    <x v="15"/>
    <s v="HUN"/>
    <n v="0"/>
    <m/>
    <s v="Várpalota"/>
    <d v="2026-02-28T00:00:00"/>
    <s v="Orosz Elizabett - KSE Tarján"/>
    <x v="0"/>
  </r>
  <r>
    <x v="4"/>
    <s v="HUN"/>
    <n v="0"/>
    <m/>
    <s v="Várpalota"/>
    <d v="2026-02-28T00:00:00"/>
    <s v="Gaál-Vajai Tamara - Főnix Dojo"/>
    <x v="0"/>
  </r>
  <r>
    <x v="4"/>
    <s v="HUN"/>
    <n v="0"/>
    <m/>
    <s v="Várpalota"/>
    <d v="2026-02-28T00:00:00"/>
    <s v="Nagy Anna - Főnix Dojo"/>
    <x v="0"/>
  </r>
  <r>
    <x v="25"/>
    <s v="HUN"/>
    <n v="0"/>
    <m/>
    <s v="Várpalota"/>
    <d v="2026-02-28T00:00:00"/>
    <s v="Kovács Maja - Katana SE"/>
    <x v="0"/>
  </r>
  <r>
    <x v="1"/>
    <s v="HUN"/>
    <n v="0"/>
    <m/>
    <s v="Várpalota"/>
    <d v="2026-02-28T00:00:00"/>
    <s v="Lukácsi Réka - Ippon KKSE"/>
    <x v="0"/>
  </r>
  <r>
    <x v="29"/>
    <s v="HUN"/>
    <n v="0"/>
    <m/>
    <s v="Várpalota"/>
    <d v="2026-02-28T00:00:00"/>
    <s v="Szatmári Nóra Hanna - WARRIORS TEAM"/>
    <x v="0"/>
  </r>
  <r>
    <x v="17"/>
    <s v="HUN"/>
    <n v="6"/>
    <m/>
    <s v="Várpalota"/>
    <d v="2026-02-28T00:00:00"/>
    <s v="Gombos-Weidinger Barnabás - BHMSE"/>
    <x v="0"/>
  </r>
  <r>
    <x v="19"/>
    <s v="HUN"/>
    <n v="5"/>
    <m/>
    <s v="Várpalota"/>
    <d v="2026-02-28T00:00:00"/>
    <s v="Bollók Zalán - VTSE"/>
    <x v="1"/>
  </r>
  <r>
    <x v="17"/>
    <s v="HUN"/>
    <n v="3"/>
    <m/>
    <s v="Várpalota"/>
    <d v="2026-02-28T00:00:00"/>
    <s v="Lukács Filip - BHMSE"/>
    <x v="0"/>
  </r>
  <r>
    <x v="19"/>
    <s v="HUN"/>
    <n v="3"/>
    <m/>
    <s v="Várpalota"/>
    <d v="2026-02-28T00:00:00"/>
    <s v="Szőke Zalán - VTSE"/>
    <x v="1"/>
  </r>
  <r>
    <x v="1"/>
    <s v="HUN"/>
    <n v="0"/>
    <m/>
    <s v="Várpalota"/>
    <d v="2026-02-28T00:00:00"/>
    <s v="Sztojka Norbert Kevin - Ippon KKSE"/>
    <x v="0"/>
  </r>
  <r>
    <x v="33"/>
    <s v="HUN"/>
    <n v="3"/>
    <m/>
    <s v="Várpalota"/>
    <d v="2026-02-28T00:00:00"/>
    <s v="Tóth Gergely - Ichiro Dojo"/>
    <x v="1"/>
  </r>
  <r>
    <x v="25"/>
    <s v="HUN"/>
    <n v="0"/>
    <m/>
    <s v="Várpalota"/>
    <d v="2026-02-28T00:00:00"/>
    <s v="Kovács Vajk Zoltán - Katana SE"/>
    <x v="0"/>
  </r>
  <r>
    <x v="4"/>
    <s v="HUN"/>
    <n v="6"/>
    <m/>
    <s v="Várpalota"/>
    <d v="2026-02-28T00:00:00"/>
    <s v="Magasi Attila - Főnix Dojo"/>
    <x v="0"/>
  </r>
  <r>
    <x v="33"/>
    <s v="HUN"/>
    <n v="5"/>
    <m/>
    <s v="Várpalota"/>
    <d v="2026-02-28T00:00:00"/>
    <s v="Farkas Áron Péter - Ichiro Dojo"/>
    <x v="1"/>
  </r>
  <r>
    <x v="29"/>
    <s v="HUN"/>
    <n v="3"/>
    <m/>
    <s v="Várpalota"/>
    <d v="2026-02-28T00:00:00"/>
    <s v="Molnár Bence Noel - WARRIORS TEAM"/>
    <x v="0"/>
  </r>
  <r>
    <x v="19"/>
    <s v="HUN"/>
    <n v="3"/>
    <m/>
    <s v="Várpalota"/>
    <d v="2026-02-28T00:00:00"/>
    <s v="Bagó Balázs - VTSE"/>
    <x v="1"/>
  </r>
  <r>
    <x v="17"/>
    <s v="HUN"/>
    <n v="0"/>
    <m/>
    <s v="Várpalota"/>
    <d v="2026-02-28T00:00:00"/>
    <s v="Alkaddour Ali Áron - BHMSE"/>
    <x v="0"/>
  </r>
  <r>
    <x v="36"/>
    <s v="HUN"/>
    <n v="0"/>
    <m/>
    <s v="Várpalota"/>
    <d v="2026-02-28T00:00:00"/>
    <s v="Fekete Szilárd - POWER SE."/>
    <x v="0"/>
  </r>
  <r>
    <x v="36"/>
    <s v="HUN"/>
    <n v="0"/>
    <m/>
    <s v="Várpalota"/>
    <d v="2026-02-28T00:00:00"/>
    <s v="Baranyi Tibor - POWER SE."/>
    <x v="0"/>
  </r>
  <r>
    <x v="13"/>
    <s v="HUN"/>
    <n v="4"/>
    <m/>
    <s v="Várpalota"/>
    <d v="2026-02-28T00:00:00"/>
    <s v="Csonka Máté - Kamikaze S"/>
    <x v="0"/>
  </r>
  <r>
    <x v="29"/>
    <s v="HUN"/>
    <n v="3"/>
    <m/>
    <s v="Várpalota"/>
    <d v="2026-02-28T00:00:00"/>
    <s v="Szabó Levente - WARRIORS TEAM"/>
    <x v="0"/>
  </r>
  <r>
    <x v="34"/>
    <s v="HUN"/>
    <n v="0"/>
    <s v="nem volt nyertes mérkőzése"/>
    <s v="Várpalota"/>
    <d v="2026-02-28T00:00:00"/>
    <s v="Németh Adrián - Cs.S.E."/>
    <x v="0"/>
  </r>
  <r>
    <x v="29"/>
    <s v="HUN"/>
    <n v="8"/>
    <m/>
    <s v="Várpalota"/>
    <d v="2026-02-28T00:00:00"/>
    <s v="Garamszegi Zente - WARRIORS TEAM"/>
    <x v="0"/>
  </r>
  <r>
    <x v="13"/>
    <s v="HUN"/>
    <n v="6"/>
    <m/>
    <s v="Várpalota"/>
    <d v="2026-02-28T00:00:00"/>
    <s v="Szabó Lóránt - Kamikaze S"/>
    <x v="0"/>
  </r>
  <r>
    <x v="38"/>
    <s v="HUN"/>
    <n v="4"/>
    <m/>
    <s v="Várpalota"/>
    <d v="2026-02-28T00:00:00"/>
    <s v="Vörös Tibor - RDKKSE"/>
    <x v="0"/>
  </r>
  <r>
    <x v="17"/>
    <s v="HUN"/>
    <n v="3"/>
    <m/>
    <s v="Várpalota"/>
    <d v="2026-02-28T00:00:00"/>
    <s v="Kalamár László Thien - BHMSE"/>
    <x v="0"/>
  </r>
  <r>
    <x v="34"/>
    <s v="HUN"/>
    <n v="5"/>
    <s v="6 fő esetén első 3 kap pontot"/>
    <s v="Várpalota"/>
    <d v="2026-02-28T00:00:00"/>
    <s v="Németh Adrián - Cs.S.E."/>
    <x v="0"/>
  </r>
  <r>
    <x v="15"/>
    <s v="HUN"/>
    <n v="4"/>
    <s v="6 fő esetén első 3 kap pontot"/>
    <s v="Várpalota"/>
    <d v="2026-02-28T00:00:00"/>
    <s v="Szalontai Levente - KSE Tarján"/>
    <x v="0"/>
  </r>
  <r>
    <x v="17"/>
    <s v="HUN"/>
    <n v="2"/>
    <s v="6 fő esetén első 3 kap pontot"/>
    <s v="Várpalota"/>
    <d v="2026-02-28T00:00:00"/>
    <s v="Gyarmati Viktor - BHMSE"/>
    <x v="0"/>
  </r>
  <r>
    <x v="17"/>
    <s v="HUN"/>
    <n v="0"/>
    <s v="6 fő esetén első 3 kap pontot"/>
    <s v="Várpalota"/>
    <d v="2026-02-28T00:00:00"/>
    <s v="Baranyai Áron - BHMSE"/>
    <x v="0"/>
  </r>
  <r>
    <x v="17"/>
    <s v="HUN"/>
    <n v="0"/>
    <s v="6 fő esetén első 3 kap pontot"/>
    <s v="Várpalota"/>
    <d v="2026-02-28T00:00:00"/>
    <s v="Lukács Filip - BHMSE"/>
    <x v="0"/>
  </r>
  <r>
    <x v="32"/>
    <s v="HUN"/>
    <n v="0"/>
    <s v="6 fő esetén első 3 kap pontot"/>
    <s v="Várpalota"/>
    <d v="2026-02-28T00:00:00"/>
    <s v="Varga Bálint Norbert - ARSC"/>
    <x v="0"/>
  </r>
  <r>
    <x v="39"/>
    <s v="HUN"/>
    <n v="4"/>
    <m/>
    <s v="Várpalota"/>
    <d v="2026-02-28T00:00:00"/>
    <s v="Böcskey Emese  - Nagy Sándor Dojo"/>
    <x v="1"/>
  </r>
  <r>
    <x v="4"/>
    <s v="HUN"/>
    <n v="3"/>
    <m/>
    <s v="Várpalota"/>
    <d v="2026-02-28T00:00:00"/>
    <s v="Sülyi Luca - Főnix Dojo"/>
    <x v="0"/>
  </r>
  <r>
    <x v="15"/>
    <s v="HUN"/>
    <n v="0"/>
    <s v="nem volt nyertes mérkőzése"/>
    <s v="Várpalota"/>
    <d v="2026-02-28T00:00:00"/>
    <s v="Aranyosi Nikolett - KSE Tarján"/>
    <x v="0"/>
  </r>
  <r>
    <x v="6"/>
    <s v="HUN"/>
    <n v="4"/>
    <m/>
    <s v="Várpalota"/>
    <d v="2026-02-28T00:00:00"/>
    <s v="Serfőző Lia Zoé - Castrum"/>
    <x v="0"/>
  </r>
  <r>
    <x v="6"/>
    <s v="HUN"/>
    <n v="3"/>
    <m/>
    <s v="Várpalota"/>
    <d v="2026-02-28T00:00:00"/>
    <s v="Bognár Judit - Castrum"/>
    <x v="0"/>
  </r>
  <r>
    <x v="23"/>
    <s v="HUN"/>
    <n v="0"/>
    <s v="nem volt nyertes mérkőzése"/>
    <s v="Várpalota"/>
    <d v="2026-02-28T00:00:00"/>
    <s v="Ható Amanda - Rakurai"/>
    <x v="0"/>
  </r>
  <r>
    <x v="19"/>
    <s v="HUN"/>
    <n v="6"/>
    <m/>
    <s v="Várpalota"/>
    <d v="2026-02-28T00:00:00"/>
    <s v="Lukács Éva - VTSE"/>
    <x v="1"/>
  </r>
  <r>
    <x v="23"/>
    <s v="HUN"/>
    <n v="5"/>
    <m/>
    <s v="Várpalota"/>
    <d v="2026-02-28T00:00:00"/>
    <s v="Bognár Boglárka - Rakurai"/>
    <x v="0"/>
  </r>
  <r>
    <x v="29"/>
    <s v="HUN"/>
    <n v="3"/>
    <m/>
    <s v="Várpalota"/>
    <d v="2026-02-28T00:00:00"/>
    <s v="Demeter Zsófia - WARRIORS TEAM"/>
    <x v="0"/>
  </r>
  <r>
    <x v="13"/>
    <s v="HUN"/>
    <n v="8"/>
    <m/>
    <s v="Várpalota"/>
    <d v="2026-02-28T00:00:00"/>
    <s v="Csonka Kata - Kamikaze S"/>
    <x v="0"/>
  </r>
  <r>
    <x v="20"/>
    <s v="HUN"/>
    <n v="6"/>
    <m/>
    <s v="Várpalota"/>
    <d v="2026-02-28T00:00:00"/>
    <s v="Szalai Kitti - Griff SE"/>
    <x v="0"/>
  </r>
  <r>
    <x v="40"/>
    <s v="HUN"/>
    <n v="4"/>
    <m/>
    <s v="Várpalota"/>
    <d v="2026-02-28T00:00:00"/>
    <s v="Komondi Veronika Nilla - Keszth.KKK"/>
    <x v="0"/>
  </r>
  <r>
    <x v="17"/>
    <s v="HUN"/>
    <n v="3"/>
    <m/>
    <s v="Várpalota"/>
    <d v="2026-02-28T00:00:00"/>
    <s v="Bartha Zsuzsanna - BHMSE"/>
    <x v="0"/>
  </r>
  <r>
    <x v="15"/>
    <s v="HUN"/>
    <n v="6"/>
    <s v="9 fő estén 1-5 helyezett kap pontot"/>
    <s v="Várpalota"/>
    <d v="2026-02-28T00:00:00"/>
    <s v="Aranyosi Nikolett - KSE Tarján"/>
    <x v="0"/>
  </r>
  <r>
    <x v="16"/>
    <s v="HUN"/>
    <n v="5"/>
    <s v="9 fő estén 1-5 helyezett kap pontot"/>
    <s v="Várpalota"/>
    <d v="2026-02-28T00:00:00"/>
    <s v="Nagy Hanna Míra - Genbu dojo"/>
    <x v="1"/>
  </r>
  <r>
    <x v="24"/>
    <s v="HUN"/>
    <n v="3"/>
    <s v="9 fő estén 1-5 helyezett kap pontot"/>
    <s v="Várpalota"/>
    <d v="2026-02-28T00:00:00"/>
    <s v="Czakó Natália - Nagykátai Bushido SE"/>
    <x v="0"/>
  </r>
  <r>
    <x v="17"/>
    <s v="HUN"/>
    <n v="2"/>
    <s v="9 fő estén 1-5 helyezett kap pontot"/>
    <s v="Várpalota"/>
    <d v="2026-02-28T00:00:00"/>
    <s v="Timár Alíz - BHMSE"/>
    <x v="0"/>
  </r>
  <r>
    <x v="39"/>
    <s v="HUN"/>
    <n v="1"/>
    <s v="9 fő estén 1-5 helyezett kap pontot"/>
    <s v="Várpalota"/>
    <d v="2026-02-28T00:00:00"/>
    <s v="Böcskey Emese  - Nagy Sándor Dojo"/>
    <x v="1"/>
  </r>
  <r>
    <x v="32"/>
    <s v="HUN"/>
    <n v="0"/>
    <s v="9 fő estén 1-5 helyezett kap pontot"/>
    <s v="Várpalota"/>
    <d v="2026-02-28T00:00:00"/>
    <s v="Varga Réka Orsolya - ARSC"/>
    <x v="0"/>
  </r>
  <r>
    <x v="32"/>
    <s v="HUN"/>
    <n v="0"/>
    <s v="9 fő estén 1-5 helyezett kap pontot"/>
    <s v="Várpalota"/>
    <d v="2026-02-28T00:00:00"/>
    <s v="Princz Anna - ARSC"/>
    <x v="0"/>
  </r>
  <r>
    <x v="4"/>
    <s v="HUN"/>
    <n v="0"/>
    <s v="9 fő estén 1-5 helyezett kap pontot"/>
    <s v="Várpalota"/>
    <d v="2026-02-28T00:00:00"/>
    <s v="Sülyi Luca - Főnix Dojo"/>
    <x v="0"/>
  </r>
  <r>
    <x v="17"/>
    <s v="HUN"/>
    <n v="0"/>
    <s v="9 fő estén 1-5 helyezett kap pontot"/>
    <s v="Várpalota"/>
    <d v="2026-02-28T00:00:00"/>
    <s v="Horváth Hanna Barbara - BHMSE"/>
    <x v="0"/>
  </r>
  <r>
    <x v="24"/>
    <s v="HUN"/>
    <n v="8"/>
    <m/>
    <s v="Várpalota"/>
    <d v="2026-02-28T00:00:00"/>
    <s v="Danka Hunor - Nagykátai Bushido SE"/>
    <x v="0"/>
  </r>
  <r>
    <x v="1"/>
    <s v="HUN"/>
    <n v="6"/>
    <m/>
    <s v="Várpalota"/>
    <d v="2026-02-28T00:00:00"/>
    <s v="Balogh András Barnabás - Ippon KKSE"/>
    <x v="0"/>
  </r>
  <r>
    <x v="1"/>
    <s v="HUN"/>
    <n v="4"/>
    <m/>
    <s v="Várpalota"/>
    <d v="2026-02-28T00:00:00"/>
    <s v="Kovácsay Gergely - Ippon KKSE"/>
    <x v="0"/>
  </r>
  <r>
    <x v="41"/>
    <s v="HUN"/>
    <n v="3"/>
    <m/>
    <s v="Várpalota"/>
    <d v="2026-02-28T00:00:00"/>
    <s v="Varga Tamás - Goukai KSE"/>
    <x v="0"/>
  </r>
  <r>
    <x v="19"/>
    <s v="HUN"/>
    <n v="3"/>
    <m/>
    <s v="Várpalota"/>
    <d v="2026-02-28T00:00:00"/>
    <s v="Szente Szabolcs - VTSE"/>
    <x v="1"/>
  </r>
  <r>
    <x v="42"/>
    <s v="HUN"/>
    <n v="0"/>
    <m/>
    <s v="Várpalota"/>
    <d v="2026-02-28T00:00:00"/>
    <s v="Nagy Benedek - Tora HSE"/>
    <x v="1"/>
  </r>
  <r>
    <x v="43"/>
    <s v="HUN"/>
    <n v="6"/>
    <m/>
    <s v="Várpalota"/>
    <d v="2026-02-28T00:00:00"/>
    <s v="Tengelics Márk - IKIGAI DOJO BÖRCS"/>
    <x v="1"/>
  </r>
  <r>
    <x v="30"/>
    <s v="HUN"/>
    <n v="5"/>
    <m/>
    <s v="Várpalota"/>
    <d v="2026-02-28T00:00:00"/>
    <s v="Kozó Flórián - Shinkyo SE"/>
    <x v="0"/>
  </r>
  <r>
    <x v="17"/>
    <s v="HUN"/>
    <n v="3"/>
    <s v="3 fő estén 1-2 helyezett kap pontot"/>
    <s v="Várpalota"/>
    <d v="2026-02-28T00:00:00"/>
    <s v="Bűdy Sándor - BHMSE"/>
    <x v="0"/>
  </r>
  <r>
    <x v="43"/>
    <s v="HUN"/>
    <n v="2"/>
    <s v="3 fő estén 1-2 helyezett kap pontot"/>
    <s v="Várpalota"/>
    <d v="2026-02-28T00:00:00"/>
    <s v="Tengelics Márk - IKIGAI DOJO BÖRCS"/>
    <x v="1"/>
  </r>
  <r>
    <x v="39"/>
    <s v="HUN"/>
    <n v="0"/>
    <s v="3 fő estén 1-2 helyezett kap pontot"/>
    <s v="Várpalota"/>
    <d v="2026-02-28T00:00:00"/>
    <s v="Magyar Botond - Nagy Sándor Dojo"/>
    <x v="1"/>
  </r>
  <r>
    <x v="34"/>
    <s v="HUN"/>
    <n v="4"/>
    <m/>
    <s v="Várpalota"/>
    <d v="2026-02-28T00:00:00"/>
    <s v="Németh Panka - Cs.S.E."/>
    <x v="0"/>
  </r>
  <r>
    <x v="17"/>
    <s v="HUN"/>
    <n v="3"/>
    <m/>
    <s v="Várpalota"/>
    <d v="2026-02-28T00:00:00"/>
    <s v="Bőzsöny Dorka - BHMSE"/>
    <x v="0"/>
  </r>
  <r>
    <x v="4"/>
    <s v="HUN"/>
    <n v="0"/>
    <s v="nem volt nyertes mérkőzése"/>
    <s v="Várpalota"/>
    <d v="2026-02-28T00:00:00"/>
    <s v="Egerszegi Rebeka - Főnix Dojo"/>
    <x v="0"/>
  </r>
  <r>
    <x v="6"/>
    <s v="HUN"/>
    <n v="3"/>
    <m/>
    <s v="Várpalota"/>
    <d v="2026-02-28T00:00:00"/>
    <s v="Németh Virág - Castrum"/>
    <x v="0"/>
  </r>
  <r>
    <x v="23"/>
    <s v="HUN"/>
    <n v="0"/>
    <m/>
    <s v="Várpalota"/>
    <d v="2026-02-28T00:00:00"/>
    <s v="Finta Zelma - Rakurai"/>
    <x v="0"/>
  </r>
  <r>
    <x v="17"/>
    <s v="HUN"/>
    <n v="3"/>
    <m/>
    <s v="Várpalota"/>
    <d v="2026-02-28T00:00:00"/>
    <s v="Spanjevic Dániel - BHMSE"/>
    <x v="0"/>
  </r>
  <r>
    <x v="4"/>
    <s v="HUN"/>
    <n v="6"/>
    <m/>
    <s v="Várpalota"/>
    <d v="2026-02-28T00:00:00"/>
    <s v="Kis Mónika - Főnix Dojo"/>
    <x v="0"/>
  </r>
  <r>
    <x v="19"/>
    <s v="HUN"/>
    <n v="5"/>
    <m/>
    <s v="Várpalota"/>
    <d v="2026-02-28T00:00:00"/>
    <s v="Reichert Jázmin  - VTSE"/>
    <x v="1"/>
  </r>
  <r>
    <x v="23"/>
    <s v="HUN"/>
    <n v="3"/>
    <m/>
    <s v="Várpalota"/>
    <d v="2026-02-28T00:00:00"/>
    <s v="Bognár Luca - Rakurai"/>
    <x v="0"/>
  </r>
  <r>
    <x v="19"/>
    <s v="HUN"/>
    <n v="4"/>
    <m/>
    <s v="Várpalota"/>
    <d v="2026-02-28T00:00:00"/>
    <s v="Lukács Eszter - VTSE"/>
    <x v="1"/>
  </r>
  <r>
    <x v="17"/>
    <s v="HUN"/>
    <n v="3"/>
    <m/>
    <s v="Várpalota"/>
    <d v="2026-02-28T00:00:00"/>
    <s v="Spanjevic Emma - BHMSE"/>
    <x v="0"/>
  </r>
  <r>
    <x v="41"/>
    <s v="HUN"/>
    <n v="0"/>
    <s v="nem volt nyertes mérkőzése"/>
    <s v="Várpalota"/>
    <d v="2026-02-28T00:00:00"/>
    <s v="Fadgyas Eszter - Goukai KSE"/>
    <x v="0"/>
  </r>
  <r>
    <x v="15"/>
    <s v="HUN"/>
    <n v="6"/>
    <s v="10 fő estén 1-6 helyezett kap pontot"/>
    <s v="Várpalota"/>
    <d v="2026-02-28T00:00:00"/>
    <s v="Imre Zoé Julianna - KSE Tarján"/>
    <x v="0"/>
  </r>
  <r>
    <x v="23"/>
    <s v="HUN"/>
    <n v="5"/>
    <s v="10 fő estén 1-6 helyezett kap pontot"/>
    <s v="Várpalota"/>
    <d v="2026-02-28T00:00:00"/>
    <s v="Bognár Luca - Rakurai"/>
    <x v="0"/>
  </r>
  <r>
    <x v="4"/>
    <s v="HUN"/>
    <n v="3"/>
    <s v="10 fő estén 1-6 helyezett kap pontot"/>
    <s v="Várpalota"/>
    <d v="2026-02-28T00:00:00"/>
    <s v="Kis Mónika - Főnix Dojo"/>
    <x v="0"/>
  </r>
  <r>
    <x v="34"/>
    <s v="HUN"/>
    <n v="2"/>
    <s v="10 fő estén 1-6 helyezett kap pontot"/>
    <s v="Várpalota"/>
    <d v="2026-02-28T00:00:00"/>
    <s v="Németh Panka - Cs.S.E."/>
    <x v="0"/>
  </r>
  <r>
    <x v="32"/>
    <s v="HUN"/>
    <n v="1"/>
    <s v="10 fő estén 1-6 helyezett kap pontot"/>
    <s v="Várpalota"/>
    <d v="2026-02-28T00:00:00"/>
    <s v="Viza Dorottya Anna - ARSC"/>
    <x v="0"/>
  </r>
  <r>
    <x v="30"/>
    <s v="HUN"/>
    <n v="1"/>
    <s v="10 fő estén 1-6 helyezett kap pontot"/>
    <s v="Várpalota"/>
    <d v="2026-02-28T00:00:00"/>
    <s v="Farkas Regina - Shinkyo SE"/>
    <x v="0"/>
  </r>
  <r>
    <x v="22"/>
    <s v="HUN"/>
    <n v="0"/>
    <s v="10 fő estén 1-6 helyezett kap pontot"/>
    <s v="Várpalota"/>
    <d v="2026-02-28T00:00:00"/>
    <s v="Kisdeák Emma - Siófok KSE"/>
    <x v="0"/>
  </r>
  <r>
    <x v="32"/>
    <s v="HUN"/>
    <n v="0"/>
    <s v="10 fő estén 1-6 helyezett kap pontot"/>
    <s v="Várpalota"/>
    <d v="2026-02-28T00:00:00"/>
    <s v="Nádi Viktória - ARSC"/>
    <x v="0"/>
  </r>
  <r>
    <x v="42"/>
    <s v="HUN"/>
    <n v="0"/>
    <s v="10 fő estén 1-6 helyezett kap pontot"/>
    <s v="Várpalota"/>
    <d v="2026-02-28T00:00:00"/>
    <s v="Soós Panka - Tora HSE"/>
    <x v="1"/>
  </r>
  <r>
    <x v="44"/>
    <s v="HUN"/>
    <n v="0"/>
    <s v="10 fő estén 1-6 helyezett kap pontot"/>
    <s v="Várpalota"/>
    <d v="2026-02-28T00:00:00"/>
    <s v="Molnár Emese - Kihaku SE"/>
    <x v="0"/>
  </r>
  <r>
    <x v="3"/>
    <s v="HUN"/>
    <n v="6"/>
    <m/>
    <s v="Gyöngyös"/>
    <d v="2026-03-07T00:00:00"/>
    <s v="Szlivka Botond Csaba - Shogun"/>
    <x v="0"/>
  </r>
  <r>
    <x v="0"/>
    <s v="HUN"/>
    <n v="5"/>
    <m/>
    <s v="Gyöngyös"/>
    <d v="2026-03-07T00:00:00"/>
    <s v="Aldubai Mohamed Hamzah - Victory"/>
    <x v="0"/>
  </r>
  <r>
    <x v="3"/>
    <s v="HUN"/>
    <n v="3"/>
    <m/>
    <s v="Gyöngyös"/>
    <d v="2026-03-07T00:00:00"/>
    <s v="Huszti Dániel - Shogun"/>
    <x v="0"/>
  </r>
  <r>
    <x v="45"/>
    <s v="HUN"/>
    <n v="6"/>
    <m/>
    <s v="Gyöngyös"/>
    <d v="2026-03-07T00:00:00"/>
    <s v="Marjai Sándor - Kelemen-Team"/>
    <x v="0"/>
  </r>
  <r>
    <x v="0"/>
    <s v="HUN"/>
    <n v="5"/>
    <m/>
    <s v="Gyöngyös"/>
    <d v="2026-03-07T00:00:00"/>
    <s v="Mohácsi DOminik - Victory"/>
    <x v="0"/>
  </r>
  <r>
    <x v="46"/>
    <s v="HUN"/>
    <n v="3"/>
    <m/>
    <s v="Gyöngyös"/>
    <d v="2026-03-07T00:00:00"/>
    <s v="Rózsa Benett - Kemecse SE"/>
    <x v="0"/>
  </r>
  <r>
    <x v="0"/>
    <s v="HUN"/>
    <n v="3"/>
    <m/>
    <s v="Gyöngyös"/>
    <d v="2026-03-07T00:00:00"/>
    <s v="Blokhin Alexei - Victory"/>
    <x v="0"/>
  </r>
  <r>
    <x v="45"/>
    <s v="HUN"/>
    <n v="0"/>
    <m/>
    <s v="Gyöngyös"/>
    <d v="2026-03-07T00:00:00"/>
    <s v="Papp László - Kelemen-Team"/>
    <x v="0"/>
  </r>
  <r>
    <x v="47"/>
    <s v="HUN"/>
    <n v="0"/>
    <m/>
    <s v="Gyöngyös"/>
    <d v="2026-03-07T00:00:00"/>
    <s v="Oszlánczi Zente - KYO Fighter SE"/>
    <x v="0"/>
  </r>
  <r>
    <x v="3"/>
    <s v="HUN"/>
    <n v="0"/>
    <m/>
    <s v="Gyöngyös"/>
    <d v="2026-03-07T00:00:00"/>
    <s v="Dániel Bence - Shogun"/>
    <x v="0"/>
  </r>
  <r>
    <x v="3"/>
    <s v="HUN"/>
    <n v="8"/>
    <m/>
    <s v="Gyöngyös"/>
    <d v="2026-03-07T00:00:00"/>
    <s v="Petrohai Dávid - Shogun"/>
    <x v="0"/>
  </r>
  <r>
    <x v="12"/>
    <s v="HUN"/>
    <n v="6"/>
    <m/>
    <s v="Gyöngyös"/>
    <d v="2026-03-07T00:00:00"/>
    <s v="Dudás Benedek - Bendiák Dojo"/>
    <x v="0"/>
  </r>
  <r>
    <x v="14"/>
    <s v="HUN"/>
    <n v="4"/>
    <m/>
    <s v="Gyöngyös"/>
    <d v="2026-03-07T00:00:00"/>
    <s v="Dócs Nándor - Nozomu Dojo"/>
    <x v="0"/>
  </r>
  <r>
    <x v="45"/>
    <s v="HUN"/>
    <n v="3"/>
    <m/>
    <s v="Gyöngyös"/>
    <d v="2026-03-07T00:00:00"/>
    <s v="Máté Lénárd - Kelemen-Team"/>
    <x v="0"/>
  </r>
  <r>
    <x v="0"/>
    <s v="HUN"/>
    <n v="6"/>
    <m/>
    <s v="Gyöngyös"/>
    <d v="2026-03-07T00:00:00"/>
    <s v="Mohácsi DOminik - Victory"/>
    <x v="0"/>
  </r>
  <r>
    <x v="3"/>
    <s v="HUN"/>
    <n v="5"/>
    <m/>
    <s v="Gyöngyös"/>
    <d v="2026-03-07T00:00:00"/>
    <s v="Petrohai Dávid - Shogun"/>
    <x v="0"/>
  </r>
  <r>
    <x v="3"/>
    <s v="HUN"/>
    <n v="3"/>
    <m/>
    <s v="Gyöngyös"/>
    <d v="2026-03-07T00:00:00"/>
    <s v="Sárközi Bence - Shogun"/>
    <x v="0"/>
  </r>
  <r>
    <x v="3"/>
    <s v="HUN"/>
    <n v="3"/>
    <m/>
    <s v="Gyöngyös"/>
    <d v="2026-03-07T00:00:00"/>
    <s v="Dániel Bence - Shogun"/>
    <x v="0"/>
  </r>
  <r>
    <x v="3"/>
    <s v="HUN"/>
    <n v="0"/>
    <s v="nem volt nyertes mérkőzése"/>
    <s v="Gyöngyös"/>
    <d v="2026-03-07T00:00:00"/>
    <s v="Huszti Dániel - Shogun"/>
    <x v="0"/>
  </r>
  <r>
    <x v="12"/>
    <s v="HUN"/>
    <n v="0"/>
    <s v="nem volt nyertes mérkőzése"/>
    <s v="Gyöngyös"/>
    <d v="2026-03-07T00:00:00"/>
    <s v="Tóth Máté - Bendiák Dojo"/>
    <x v="0"/>
  </r>
  <r>
    <x v="3"/>
    <s v="HUN"/>
    <n v="0"/>
    <s v="nem volt nyertes mérkőzése"/>
    <s v="Gyöngyös"/>
    <d v="2026-03-07T00:00:00"/>
    <s v="Szlivka Botond Csaba - Shogun"/>
    <x v="0"/>
  </r>
  <r>
    <x v="0"/>
    <s v="HUN"/>
    <n v="1"/>
    <m/>
    <s v="Gyöngyös"/>
    <d v="2026-03-07T00:00:00"/>
    <s v="Blokhin Alexei - Victory"/>
    <x v="0"/>
  </r>
  <r>
    <x v="46"/>
    <s v="HUN"/>
    <n v="0"/>
    <m/>
    <s v="Gyöngyös"/>
    <d v="2026-03-07T00:00:00"/>
    <s v="Rózsa Benett - Kemecse SE"/>
    <x v="0"/>
  </r>
  <r>
    <x v="45"/>
    <s v="HUN"/>
    <n v="0"/>
    <m/>
    <s v="Gyöngyös"/>
    <d v="2026-03-07T00:00:00"/>
    <s v="Kiss Attila - Kelemen-Team"/>
    <x v="0"/>
  </r>
  <r>
    <x v="45"/>
    <s v="HUN"/>
    <n v="6"/>
    <m/>
    <s v="Gyöngyös"/>
    <d v="2026-03-07T00:00:00"/>
    <s v="Zeke Kata - Kelemen-Team"/>
    <x v="0"/>
  </r>
  <r>
    <x v="45"/>
    <s v="HUN"/>
    <n v="5"/>
    <m/>
    <s v="Gyöngyös"/>
    <d v="2026-03-07T00:00:00"/>
    <s v="Bácsmegi Luca - Kelemen-Team"/>
    <x v="0"/>
  </r>
  <r>
    <x v="3"/>
    <s v="HUN"/>
    <n v="3"/>
    <m/>
    <s v="Gyöngyös"/>
    <d v="2026-03-07T00:00:00"/>
    <s v="Fekete Alíz - Shogun"/>
    <x v="0"/>
  </r>
  <r>
    <x v="47"/>
    <s v="HUN"/>
    <n v="5"/>
    <m/>
    <s v="Gyöngyös"/>
    <d v="2026-03-07T00:00:00"/>
    <s v="Banyák Léna - KYO Fighter SE"/>
    <x v="0"/>
  </r>
  <r>
    <x v="46"/>
    <s v="HUN"/>
    <n v="4"/>
    <m/>
    <s v="Gyöngyös"/>
    <d v="2026-03-07T00:00:00"/>
    <s v="Nándori Leona - Kemecse SE"/>
    <x v="0"/>
  </r>
  <r>
    <x v="45"/>
    <s v="HUN"/>
    <n v="2"/>
    <m/>
    <s v="Gyöngyös"/>
    <d v="2026-03-07T00:00:00"/>
    <s v="Geiger Uzonyi Lilla - Kelemen-Team"/>
    <x v="0"/>
  </r>
  <r>
    <x v="3"/>
    <s v="HUN"/>
    <n v="0"/>
    <m/>
    <s v="Gyöngyös"/>
    <d v="2026-03-07T00:00:00"/>
    <s v="Fekete Alíz - Shogun"/>
    <x v="0"/>
  </r>
  <r>
    <x v="3"/>
    <s v="HUN"/>
    <n v="8"/>
    <m/>
    <s v="Gyöngyös"/>
    <d v="2026-03-07T00:00:00"/>
    <s v="Szabó Alex Dominik - Shogun"/>
    <x v="0"/>
  </r>
  <r>
    <x v="3"/>
    <s v="HUN"/>
    <n v="6"/>
    <m/>
    <s v="Gyöngyös"/>
    <d v="2026-03-07T00:00:00"/>
    <s v="Tarr Bence - Shogun"/>
    <x v="0"/>
  </r>
  <r>
    <x v="3"/>
    <s v="HUN"/>
    <n v="4"/>
    <m/>
    <s v="Gyöngyös"/>
    <d v="2026-03-07T00:00:00"/>
    <s v="Szűcs Norbert - Shogun"/>
    <x v="0"/>
  </r>
  <r>
    <x v="0"/>
    <s v="HUN"/>
    <n v="4"/>
    <m/>
    <s v="Gyöngyös"/>
    <d v="2026-03-07T00:00:00"/>
    <s v="Makai Mór - Victory"/>
    <x v="0"/>
  </r>
  <r>
    <x v="47"/>
    <s v="HUN"/>
    <n v="2"/>
    <m/>
    <s v="Gyöngyös"/>
    <d v="2026-03-07T00:00:00"/>
    <s v="Kis Olivér - KYO Fighter SE"/>
    <x v="0"/>
  </r>
  <r>
    <x v="3"/>
    <s v="HUN"/>
    <n v="0"/>
    <s v="nem volt nyertes mérkőzése"/>
    <s v="Gyöngyös"/>
    <d v="2026-03-07T00:00:00"/>
    <s v="Berényi Milán - Shogun"/>
    <x v="0"/>
  </r>
  <r>
    <x v="3"/>
    <s v="HUN"/>
    <n v="0"/>
    <s v="nem volt nyertes mérkőzése"/>
    <s v="Gyöngyös"/>
    <d v="2026-03-07T00:00:00"/>
    <s v="Pajkos Dominik - Shogun"/>
    <x v="0"/>
  </r>
  <r>
    <x v="48"/>
    <s v="HUN"/>
    <n v="2"/>
    <m/>
    <s v="Gyöngyös"/>
    <d v="2026-03-07T00:00:00"/>
    <s v="Ungai Csaba - Hajdúszoboszló"/>
    <x v="0"/>
  </r>
  <r>
    <x v="45"/>
    <s v="HUN"/>
    <n v="0"/>
    <m/>
    <s v="Gyöngyös"/>
    <d v="2026-03-07T00:00:00"/>
    <s v="Török Márton Ignác - Kelemen-Team"/>
    <x v="0"/>
  </r>
  <r>
    <x v="45"/>
    <s v="HUN"/>
    <n v="0"/>
    <m/>
    <s v="Gyöngyös"/>
    <d v="2026-03-07T00:00:00"/>
    <s v="Gulya Mátyás János - Kelemen-Team"/>
    <x v="0"/>
  </r>
  <r>
    <x v="0"/>
    <s v="HUN"/>
    <n v="0"/>
    <m/>
    <s v="Gyöngyös"/>
    <d v="2026-03-07T00:00:00"/>
    <s v="Jaksa György - Victory"/>
    <x v="0"/>
  </r>
  <r>
    <x v="49"/>
    <s v="HUN"/>
    <n v="8"/>
    <m/>
    <s v="Gyöngyös"/>
    <d v="2026-03-07T00:00:00"/>
    <s v="Sádt Zénó - Buke Reikon HRSE"/>
    <x v="0"/>
  </r>
  <r>
    <x v="3"/>
    <s v="HUN"/>
    <n v="6"/>
    <m/>
    <s v="Gyöngyös"/>
    <d v="2026-03-07T00:00:00"/>
    <s v="Eszenyi Barnabás - Shogun"/>
    <x v="0"/>
  </r>
  <r>
    <x v="18"/>
    <s v="HUN"/>
    <n v="4"/>
    <m/>
    <s v="Gyöngyös"/>
    <d v="2026-03-07T00:00:00"/>
    <s v="Héder Patrik - Bátor KSE"/>
    <x v="0"/>
  </r>
  <r>
    <x v="50"/>
    <s v="HUN"/>
    <n v="3"/>
    <m/>
    <s v="Gyöngyös"/>
    <d v="2026-03-07T00:00:00"/>
    <s v="Kiss Adrián - Keizoku SE"/>
    <x v="0"/>
  </r>
  <r>
    <x v="50"/>
    <s v="HUN"/>
    <n v="2"/>
    <m/>
    <s v="Gyöngyös"/>
    <d v="2026-03-07T00:00:00"/>
    <s v="Hegedűs Botond - Keizoku SE"/>
    <x v="0"/>
  </r>
  <r>
    <x v="45"/>
    <s v="HUN"/>
    <n v="8"/>
    <m/>
    <s v="Gyöngyös"/>
    <d v="2026-03-07T00:00:00"/>
    <s v="Zeke Dávid - Kelemen-Team"/>
    <x v="0"/>
  </r>
  <r>
    <x v="3"/>
    <s v="HUN"/>
    <n v="6"/>
    <m/>
    <s v="Gyöngyös"/>
    <d v="2026-03-07T00:00:00"/>
    <s v="Némethy Balázs - Shogun"/>
    <x v="0"/>
  </r>
  <r>
    <x v="49"/>
    <s v="HUN"/>
    <n v="4"/>
    <m/>
    <s v="Gyöngyös"/>
    <d v="2026-03-07T00:00:00"/>
    <s v="Farkas Kristóf - Buke Reikon HRSE"/>
    <x v="0"/>
  </r>
  <r>
    <x v="49"/>
    <s v="HUN"/>
    <n v="4"/>
    <m/>
    <s v="Gyöngyös"/>
    <d v="2026-03-07T00:00:00"/>
    <s v="Szabó Zsombor - Buke Reikon HRSE"/>
    <x v="0"/>
  </r>
  <r>
    <x v="49"/>
    <s v="HUN"/>
    <n v="0"/>
    <s v="nem volt nyertes mérkőzése"/>
    <s v="Gyöngyös"/>
    <d v="2026-03-07T00:00:00"/>
    <s v="Zádori Zénó  - Buke Reikon HRSE"/>
    <x v="0"/>
  </r>
  <r>
    <x v="49"/>
    <s v="HUN"/>
    <n v="0"/>
    <s v="nem volt nyertes mérkőzése"/>
    <s v="Gyöngyös"/>
    <d v="2026-03-07T00:00:00"/>
    <s v="Sztarek Benett - Buke Reikon HRSE"/>
    <x v="0"/>
  </r>
  <r>
    <x v="51"/>
    <s v="HUN"/>
    <n v="0"/>
    <s v="nem volt nyertes mérkőzése"/>
    <s v="Gyöngyös"/>
    <d v="2026-03-07T00:00:00"/>
    <s v="Kiss István - Derecske BUDO"/>
    <x v="0"/>
  </r>
  <r>
    <x v="51"/>
    <s v="HUN"/>
    <n v="2"/>
    <m/>
    <s v="Gyöngyös"/>
    <d v="2026-03-07T00:00:00"/>
    <s v="Kiss Levente - Derecske BUDO"/>
    <x v="0"/>
  </r>
  <r>
    <x v="18"/>
    <s v="HUN"/>
    <n v="0"/>
    <m/>
    <s v="Gyöngyös"/>
    <d v="2026-03-07T00:00:00"/>
    <s v="Gaál Botond Kolos - Bátor KSE"/>
    <x v="0"/>
  </r>
  <r>
    <x v="49"/>
    <s v="HUN"/>
    <n v="0"/>
    <m/>
    <s v="Gyöngyös"/>
    <d v="2026-03-07T00:00:00"/>
    <s v="Simon Titusz - Buke Reikon HRSE"/>
    <x v="0"/>
  </r>
  <r>
    <x v="18"/>
    <s v="HUN"/>
    <n v="0"/>
    <m/>
    <s v="Gyöngyös"/>
    <d v="2026-03-07T00:00:00"/>
    <s v="Eszenyi Tamás Zsolt - Bátor KSE"/>
    <x v="0"/>
  </r>
  <r>
    <x v="0"/>
    <s v="HUN"/>
    <n v="8"/>
    <m/>
    <s v="Gyöngyös"/>
    <d v="2026-03-07T00:00:00"/>
    <s v="Rajmon Tamás - Victory"/>
    <x v="0"/>
  </r>
  <r>
    <x v="18"/>
    <s v="HUN"/>
    <n v="6"/>
    <m/>
    <s v="Gyöngyös"/>
    <d v="2026-03-07T00:00:00"/>
    <s v="Petróczki Farkas - Bátor KSE"/>
    <x v="0"/>
  </r>
  <r>
    <x v="3"/>
    <s v="HUN"/>
    <n v="4"/>
    <m/>
    <s v="Gyöngyös"/>
    <d v="2026-03-07T00:00:00"/>
    <s v="Bervanger Bálint - Shogun"/>
    <x v="0"/>
  </r>
  <r>
    <x v="3"/>
    <s v="HUN"/>
    <n v="4"/>
    <m/>
    <s v="Gyöngyös"/>
    <d v="2026-03-07T00:00:00"/>
    <s v="Gyuricska Benedek - Shogun"/>
    <x v="0"/>
  </r>
  <r>
    <x v="0"/>
    <s v="HUN"/>
    <n v="0"/>
    <s v="nem volt nyertes mérkőzése"/>
    <s v="Gyöngyös"/>
    <d v="2026-03-07T00:00:00"/>
    <s v="Berki Tamás - Victory"/>
    <x v="0"/>
  </r>
  <r>
    <x v="14"/>
    <s v="HUN"/>
    <n v="2"/>
    <m/>
    <s v="Gyöngyös"/>
    <d v="2026-03-07T00:00:00"/>
    <s v="Tóth Marcell Kevin - Nozomu Dojo"/>
    <x v="0"/>
  </r>
  <r>
    <x v="3"/>
    <s v="HUN"/>
    <n v="0"/>
    <s v="nem volt nyertes mérkőzése"/>
    <s v="Gyöngyös"/>
    <d v="2026-03-07T00:00:00"/>
    <s v="Szabó Bence - Shogun"/>
    <x v="0"/>
  </r>
  <r>
    <x v="45"/>
    <s v="HUN"/>
    <n v="0"/>
    <s v="nem volt nyertes mérkőzése"/>
    <s v="Gyöngyös"/>
    <d v="2026-03-07T00:00:00"/>
    <s v="Jagyugy Zalán - Kelemen-Team"/>
    <x v="0"/>
  </r>
  <r>
    <x v="0"/>
    <s v="HUN"/>
    <n v="0"/>
    <m/>
    <s v="Gyöngyös"/>
    <d v="2026-03-07T00:00:00"/>
    <s v="Kurucz Árpád Soma - Victory"/>
    <x v="0"/>
  </r>
  <r>
    <x v="3"/>
    <s v="HUN"/>
    <n v="8"/>
    <m/>
    <s v="Gyöngyös"/>
    <d v="2026-03-07T00:00:00"/>
    <s v="Tarr Bence - Shogun"/>
    <x v="0"/>
  </r>
  <r>
    <x v="50"/>
    <s v="HUN"/>
    <n v="6"/>
    <m/>
    <s v="Gyöngyös"/>
    <d v="2026-03-07T00:00:00"/>
    <s v="Hegedűs Botond - Keizoku SE"/>
    <x v="0"/>
  </r>
  <r>
    <x v="3"/>
    <s v="HUN"/>
    <n v="4"/>
    <m/>
    <s v="Gyöngyös"/>
    <d v="2026-03-07T00:00:00"/>
    <s v="Eszenyi Barnabás - Shogun"/>
    <x v="0"/>
  </r>
  <r>
    <x v="3"/>
    <s v="HUN"/>
    <n v="4"/>
    <m/>
    <s v="Gyöngyös"/>
    <d v="2026-03-07T00:00:00"/>
    <s v="Bervanger Bálint - Shogun"/>
    <x v="0"/>
  </r>
  <r>
    <x v="3"/>
    <s v="HUN"/>
    <n v="2"/>
    <m/>
    <s v="Gyöngyös"/>
    <d v="2026-03-07T00:00:00"/>
    <s v="Szűcs Norbert - Shogun"/>
    <x v="0"/>
  </r>
  <r>
    <x v="3"/>
    <s v="HUN"/>
    <n v="2"/>
    <m/>
    <s v="Gyöngyös"/>
    <d v="2026-03-07T00:00:00"/>
    <s v="Berényi Milán - Shogun"/>
    <x v="0"/>
  </r>
  <r>
    <x v="3"/>
    <s v="HUN"/>
    <n v="2"/>
    <m/>
    <s v="Gyöngyös"/>
    <d v="2026-03-07T00:00:00"/>
    <s v="Pajkos Dominik - Shogun"/>
    <x v="0"/>
  </r>
  <r>
    <x v="3"/>
    <s v="HUN"/>
    <n v="2"/>
    <m/>
    <s v="Gyöngyös"/>
    <d v="2026-03-07T00:00:00"/>
    <s v="Némethy Balázs - Shogun"/>
    <x v="0"/>
  </r>
  <r>
    <x v="50"/>
    <s v="HUN"/>
    <n v="0"/>
    <m/>
    <s v="Gyöngyös"/>
    <d v="2026-03-07T00:00:00"/>
    <s v="Kiss Adrián - Keizoku SE"/>
    <x v="0"/>
  </r>
  <r>
    <x v="3"/>
    <s v="HUN"/>
    <n v="0"/>
    <m/>
    <s v="Gyöngyös"/>
    <d v="2026-03-07T00:00:00"/>
    <s v="Remenyik Péter - Shogun"/>
    <x v="0"/>
  </r>
  <r>
    <x v="12"/>
    <s v="HUN"/>
    <n v="0"/>
    <m/>
    <s v="Gyöngyös"/>
    <d v="2026-03-07T00:00:00"/>
    <s v="Ádám Mátyás Richárd - Bendiák Dojo"/>
    <x v="0"/>
  </r>
  <r>
    <x v="47"/>
    <s v="HUN"/>
    <n v="0"/>
    <m/>
    <s v="Gyöngyös"/>
    <d v="2026-03-07T00:00:00"/>
    <s v="Kis Olivér - KYO Fighter SE"/>
    <x v="0"/>
  </r>
  <r>
    <x v="0"/>
    <s v="HUN"/>
    <n v="0"/>
    <m/>
    <s v="Gyöngyös"/>
    <d v="2026-03-07T00:00:00"/>
    <s v="Makai Mór - Victory"/>
    <x v="0"/>
  </r>
  <r>
    <x v="0"/>
    <s v="HUN"/>
    <n v="0"/>
    <m/>
    <s v="Gyöngyös"/>
    <d v="2026-03-07T00:00:00"/>
    <s v="Jaksa György - Victory"/>
    <x v="0"/>
  </r>
  <r>
    <x v="52"/>
    <s v="HUN"/>
    <n v="0"/>
    <m/>
    <s v="Gyöngyös"/>
    <d v="2026-03-07T00:00:00"/>
    <s v="Tóth Gergő - SONGOKU SE"/>
    <x v="0"/>
  </r>
  <r>
    <x v="0"/>
    <s v="HUN"/>
    <n v="0"/>
    <m/>
    <s v="Gyöngyös"/>
    <d v="2026-03-07T00:00:00"/>
    <s v="Berki Tamás - Victory"/>
    <x v="0"/>
  </r>
  <r>
    <x v="48"/>
    <s v="HUN"/>
    <n v="6"/>
    <m/>
    <s v="Gyöngyös"/>
    <d v="2026-03-07T00:00:00"/>
    <s v="Ungai Eszter - Hajdúszoboszló"/>
    <x v="0"/>
  </r>
  <r>
    <x v="0"/>
    <s v="HUN"/>
    <n v="5"/>
    <m/>
    <s v="Gyöngyös"/>
    <d v="2026-03-07T00:00:00"/>
    <s v="Kigó Boróka - Victory"/>
    <x v="0"/>
  </r>
  <r>
    <x v="3"/>
    <s v="HUN"/>
    <n v="3"/>
    <m/>
    <s v="Gyöngyös"/>
    <d v="2026-03-07T00:00:00"/>
    <s v="Fürjesi Eszter - Shogun"/>
    <x v="0"/>
  </r>
  <r>
    <x v="0"/>
    <s v="HUN"/>
    <n v="3"/>
    <m/>
    <s v="Gyöngyös"/>
    <d v="2026-03-07T00:00:00"/>
    <s v="Fagbola Esther - Victory"/>
    <x v="0"/>
  </r>
  <r>
    <x v="2"/>
    <s v="HUN"/>
    <n v="0"/>
    <m/>
    <s v="Gyöngyös"/>
    <d v="2026-03-07T00:00:00"/>
    <s v="Téglási Kamilla - Kisvárda KKDOSC"/>
    <x v="0"/>
  </r>
  <r>
    <x v="45"/>
    <s v="HUN"/>
    <n v="6"/>
    <m/>
    <s v="Gyöngyös"/>
    <d v="2026-03-07T00:00:00"/>
    <s v="Marjai Boglárka - Kelemen-Team"/>
    <x v="0"/>
  </r>
  <r>
    <x v="53"/>
    <s v="HUN"/>
    <n v="5"/>
    <m/>
    <s v="Gyöngyös"/>
    <d v="2026-03-07T00:00:00"/>
    <s v="Szabó Lilla - ShinzóDojo"/>
    <x v="0"/>
  </r>
  <r>
    <x v="3"/>
    <s v="HUN"/>
    <n v="3"/>
    <m/>
    <s v="Gyöngyös"/>
    <d v="2026-03-07T00:00:00"/>
    <s v="Dászkál Dorottya - Shogun"/>
    <x v="0"/>
  </r>
  <r>
    <x v="21"/>
    <s v="HUN"/>
    <n v="6"/>
    <m/>
    <s v="Gyöngyös"/>
    <d v="2026-03-07T00:00:00"/>
    <s v="Damu Zsanett - Kagami"/>
    <x v="0"/>
  </r>
  <r>
    <x v="0"/>
    <s v="HUN"/>
    <n v="5"/>
    <m/>
    <s v="Gyöngyös"/>
    <d v="2026-03-07T00:00:00"/>
    <s v="MOLNÁR MINKA - Victory"/>
    <x v="0"/>
  </r>
  <r>
    <x v="46"/>
    <s v="HUN"/>
    <n v="3"/>
    <m/>
    <s v="Gyöngyös"/>
    <d v="2026-03-07T00:00:00"/>
    <s v="Huszár Hanna - Kemecse SE"/>
    <x v="0"/>
  </r>
  <r>
    <x v="0"/>
    <s v="HUN"/>
    <n v="3"/>
    <m/>
    <s v="Gyöngyös"/>
    <d v="2026-03-07T00:00:00"/>
    <s v="Fagbola Esther - Victory"/>
    <x v="0"/>
  </r>
  <r>
    <x v="3"/>
    <s v="HUN"/>
    <n v="1"/>
    <m/>
    <s v="Gyöngyös"/>
    <d v="2026-03-07T00:00:00"/>
    <s v="Kis Emma - Shogun"/>
    <x v="0"/>
  </r>
  <r>
    <x v="2"/>
    <s v="HUN"/>
    <n v="1"/>
    <m/>
    <s v="Gyöngyös"/>
    <d v="2026-03-07T00:00:00"/>
    <s v="Téglási Kamilla - Kisvárda KKDOSC"/>
    <x v="0"/>
  </r>
  <r>
    <x v="45"/>
    <s v="HUN"/>
    <n v="0"/>
    <s v="nem volt nyertes mérkőzése"/>
    <s v="Gyöngyös"/>
    <d v="2026-03-07T00:00:00"/>
    <s v="Cserép Nóra - Kelemen-Team"/>
    <x v="0"/>
  </r>
  <r>
    <x v="12"/>
    <s v="HUN"/>
    <n v="0"/>
    <s v="nem volt nyertes mérkőzése"/>
    <s v="Gyöngyös"/>
    <d v="2026-03-07T00:00:00"/>
    <s v="Pista Nóra - Bendiák Dojo"/>
    <x v="0"/>
  </r>
  <r>
    <x v="46"/>
    <s v="HUN"/>
    <n v="0"/>
    <m/>
    <s v="Gyöngyös"/>
    <d v="2026-03-07T00:00:00"/>
    <s v="Varga Zoé - Kemecse SE"/>
    <x v="0"/>
  </r>
  <r>
    <x v="3"/>
    <s v="HUN"/>
    <n v="0"/>
    <m/>
    <s v="Gyöngyös"/>
    <d v="2026-03-07T00:00:00"/>
    <s v="Fürjesi Eszter - Shogun"/>
    <x v="0"/>
  </r>
  <r>
    <x v="3"/>
    <s v="HUN"/>
    <n v="0"/>
    <m/>
    <s v="Gyöngyös"/>
    <d v="2026-03-07T00:00:00"/>
    <s v="Sárközi Nóra - Shogun"/>
    <x v="0"/>
  </r>
  <r>
    <x v="0"/>
    <s v="HUN"/>
    <n v="0"/>
    <m/>
    <s v="Gyöngyös"/>
    <d v="2026-03-07T00:00:00"/>
    <s v="Kigó Boróka - Victory"/>
    <x v="0"/>
  </r>
  <r>
    <x v="53"/>
    <s v="HUN"/>
    <n v="0"/>
    <m/>
    <s v="Gyöngyös"/>
    <d v="2026-03-07T00:00:00"/>
    <s v="Szabó Lilla - ShinzóDojo"/>
    <x v="0"/>
  </r>
  <r>
    <x v="3"/>
    <s v="HUN"/>
    <n v="0"/>
    <m/>
    <s v="Gyöngyös"/>
    <d v="2026-03-07T00:00:00"/>
    <s v="Dászkál Dorottya - Shogun"/>
    <x v="0"/>
  </r>
  <r>
    <x v="7"/>
    <s v="HUN"/>
    <n v="8"/>
    <m/>
    <s v="Gyöngyös"/>
    <d v="2026-03-07T00:00:00"/>
    <s v="Veress Dávid - KHSE"/>
    <x v="0"/>
  </r>
  <r>
    <x v="0"/>
    <s v="HUN"/>
    <n v="6"/>
    <m/>
    <s v="Gyöngyös"/>
    <d v="2026-03-07T00:00:00"/>
    <s v="Melczner Márk - Victory"/>
    <x v="0"/>
  </r>
  <r>
    <x v="47"/>
    <s v="HUN"/>
    <n v="4"/>
    <m/>
    <s v="Gyöngyös"/>
    <d v="2026-03-07T00:00:00"/>
    <s v="Kis Ádám Zsolt - KYO Fighter SE"/>
    <x v="0"/>
  </r>
  <r>
    <x v="7"/>
    <s v="HUN"/>
    <n v="3"/>
    <m/>
    <s v="Gyöngyös"/>
    <d v="2026-03-07T00:00:00"/>
    <s v="Andrési Balázs - KHSE"/>
    <x v="0"/>
  </r>
  <r>
    <x v="3"/>
    <s v="HUN"/>
    <n v="6"/>
    <m/>
    <s v="Gyöngyös"/>
    <d v="2026-03-07T00:00:00"/>
    <s v="Békési Nándor István - Shogun"/>
    <x v="0"/>
  </r>
  <r>
    <x v="7"/>
    <s v="HUN"/>
    <n v="5"/>
    <m/>
    <s v="Gyöngyös"/>
    <d v="2026-03-07T00:00:00"/>
    <s v="Takács Sárkány Balázs - KHSE"/>
    <x v="0"/>
  </r>
  <r>
    <x v="3"/>
    <s v="HUN"/>
    <n v="3"/>
    <m/>
    <s v="Gyöngyös"/>
    <d v="2026-03-07T00:00:00"/>
    <s v="Kurucz Tamás Timuzsin - Shogun"/>
    <x v="0"/>
  </r>
  <r>
    <x v="12"/>
    <s v="HUN"/>
    <n v="6"/>
    <m/>
    <s v="Gyöngyös"/>
    <d v="2026-03-07T00:00:00"/>
    <s v="Pista Áron - Bendiák Dojo"/>
    <x v="0"/>
  </r>
  <r>
    <x v="3"/>
    <s v="HUN"/>
    <n v="5"/>
    <m/>
    <s v="Gyöngyös"/>
    <d v="2026-03-07T00:00:00"/>
    <s v="Remenyik Dániel - Shogun"/>
    <x v="0"/>
  </r>
  <r>
    <x v="54"/>
    <s v="HUN"/>
    <n v="3"/>
    <m/>
    <s v="Gyöngyös"/>
    <d v="2026-03-07T00:00:00"/>
    <s v="Turcsán Barnabás - Borza Dojo"/>
    <x v="1"/>
  </r>
  <r>
    <x v="18"/>
    <s v="HUN"/>
    <n v="2"/>
    <s v="volt nyertes mérkőzése"/>
    <s v="Gyöngyös"/>
    <d v="2026-03-07T00:00:00"/>
    <s v="Szymon Fraczek - Bátor KSE"/>
    <x v="0"/>
  </r>
  <r>
    <x v="49"/>
    <s v="HUN"/>
    <n v="6"/>
    <m/>
    <s v="Gyöngyös"/>
    <d v="2026-03-07T00:00:00"/>
    <s v="Sádt Zétény - Buke Reikon HRSE"/>
    <x v="0"/>
  </r>
  <r>
    <x v="2"/>
    <s v="HUN"/>
    <n v="5"/>
    <m/>
    <s v="Gyöngyös"/>
    <d v="2026-03-07T00:00:00"/>
    <s v="Tángyes Ricardo - Kisvárda KKDOSC"/>
    <x v="0"/>
  </r>
  <r>
    <x v="3"/>
    <s v="HUN"/>
    <n v="3"/>
    <m/>
    <s v="Gyöngyös"/>
    <d v="2026-03-07T00:00:00"/>
    <s v="Szutor Levente - Shogun"/>
    <x v="0"/>
  </r>
  <r>
    <x v="7"/>
    <s v="HUN"/>
    <n v="6"/>
    <m/>
    <s v="Gyöngyös"/>
    <d v="2026-03-07T00:00:00"/>
    <s v="Elek János - KHSE"/>
    <x v="0"/>
  </r>
  <r>
    <x v="14"/>
    <s v="HUN"/>
    <n v="5"/>
    <m/>
    <s v="Gyöngyös"/>
    <d v="2026-03-07T00:00:00"/>
    <s v="Riczu Bendegúz - Nozomu Dojo"/>
    <x v="0"/>
  </r>
  <r>
    <x v="7"/>
    <s v="HUN"/>
    <n v="3"/>
    <m/>
    <s v="Gyöngyös"/>
    <d v="2026-03-07T00:00:00"/>
    <s v="Virág Marcell Máté - KHSE"/>
    <x v="0"/>
  </r>
  <r>
    <x v="51"/>
    <s v="HUN"/>
    <n v="6"/>
    <m/>
    <s v="Gyöngyös"/>
    <d v="2026-03-07T00:00:00"/>
    <s v="Száraz Zsombor - Derecske BUDO"/>
    <x v="0"/>
  </r>
  <r>
    <x v="18"/>
    <s v="HUN"/>
    <n v="5"/>
    <s v="körbeverés "/>
    <s v="Gyöngyös"/>
    <d v="2026-03-07T00:00:00"/>
    <s v="Kovács Máté Noel - Bátor KSE"/>
    <x v="0"/>
  </r>
  <r>
    <x v="7"/>
    <s v="HUN"/>
    <n v="5"/>
    <s v="körbeverés "/>
    <s v="Gyöngyös"/>
    <d v="2026-03-07T00:00:00"/>
    <s v="Tokaji Bocsárd Norbert - KHSE"/>
    <x v="0"/>
  </r>
  <r>
    <x v="47"/>
    <s v="HUN"/>
    <n v="3"/>
    <s v="körbeverés "/>
    <s v="Gyöngyös"/>
    <d v="2026-03-07T00:00:00"/>
    <s v="Farkas Álmos - KYO Fighter SE"/>
    <x v="0"/>
  </r>
  <r>
    <x v="3"/>
    <s v="HUN"/>
    <n v="6"/>
    <m/>
    <s v="Gyöngyös"/>
    <d v="2026-03-07T00:00:00"/>
    <s v="Remenyik Dániel - Shogun"/>
    <x v="0"/>
  </r>
  <r>
    <x v="47"/>
    <s v="HUN"/>
    <n v="5"/>
    <m/>
    <s v="Gyöngyös"/>
    <d v="2026-03-07T00:00:00"/>
    <s v="Kis Ádám Zsolt - KYO Fighter SE"/>
    <x v="0"/>
  </r>
  <r>
    <x v="54"/>
    <s v="HUN"/>
    <n v="3"/>
    <m/>
    <s v="Gyöngyös"/>
    <d v="2026-03-07T00:00:00"/>
    <s v="Turcsán Barnabás - Borza Dojo"/>
    <x v="1"/>
  </r>
  <r>
    <x v="5"/>
    <s v="HUN"/>
    <n v="3"/>
    <m/>
    <s v="Gyöngyös"/>
    <d v="2026-03-07T00:00:00"/>
    <s v="Avramov Dávid - TADASHII "/>
    <x v="1"/>
  </r>
  <r>
    <x v="47"/>
    <s v="HUN"/>
    <n v="1"/>
    <m/>
    <s v="Gyöngyös"/>
    <d v="2026-03-07T00:00:00"/>
    <s v="Székely Lázár - KYO Fighter SE"/>
    <x v="0"/>
  </r>
  <r>
    <x v="3"/>
    <s v="HUN"/>
    <n v="0"/>
    <s v="nem volt nyertes mérkőzése"/>
    <s v="Gyöngyös"/>
    <d v="2026-03-07T00:00:00"/>
    <s v="Berényi Bence - Shogun"/>
    <x v="0"/>
  </r>
  <r>
    <x v="3"/>
    <s v="HUN"/>
    <n v="0"/>
    <s v="nem volt nyertes mérkőzése"/>
    <s v="Gyöngyös"/>
    <d v="2026-03-07T00:00:00"/>
    <s v="Kurucz Tamás Timuzsin - Shogun"/>
    <x v="0"/>
  </r>
  <r>
    <x v="21"/>
    <s v="HUN"/>
    <n v="0"/>
    <s v="nem volt nyertes mérkőzése"/>
    <s v="Gyöngyös"/>
    <d v="2026-03-07T00:00:00"/>
    <s v="Maklaga Norbert - Kagami"/>
    <x v="0"/>
  </r>
  <r>
    <x v="53"/>
    <s v="HUN"/>
    <n v="0"/>
    <m/>
    <s v="Gyöngyös"/>
    <d v="2026-03-07T00:00:00"/>
    <s v="Patai Dávid - ShinzóDojo"/>
    <x v="0"/>
  </r>
  <r>
    <x v="10"/>
    <s v="HUN"/>
    <n v="0"/>
    <m/>
    <s v="Gyöngyös"/>
    <d v="2026-03-07T00:00:00"/>
    <s v="Botlik Tibor - Nintai KKSE"/>
    <x v="1"/>
  </r>
  <r>
    <x v="54"/>
    <s v="HUN"/>
    <n v="0"/>
    <m/>
    <s v="Gyöngyös"/>
    <d v="2026-03-07T00:00:00"/>
    <s v="Kovács Mihály Ágoston - Borza Dojo"/>
    <x v="1"/>
  </r>
  <r>
    <x v="50"/>
    <s v="HUN"/>
    <n v="6"/>
    <m/>
    <s v="Gyöngyös"/>
    <d v="2026-03-07T00:00:00"/>
    <s v="Sóskuti Lili - Keizoku SE"/>
    <x v="0"/>
  </r>
  <r>
    <x v="55"/>
    <s v="HUN"/>
    <n v="5"/>
    <m/>
    <s v="Gyöngyös"/>
    <d v="2026-03-07T00:00:00"/>
    <s v="Galyas Edit - Nyíradonyi KKE"/>
    <x v="0"/>
  </r>
  <r>
    <x v="45"/>
    <s v="HUN"/>
    <n v="3"/>
    <m/>
    <s v="Gyöngyös"/>
    <d v="2026-03-07T00:00:00"/>
    <s v="Gonda Lea - Kelemen-Team"/>
    <x v="0"/>
  </r>
  <r>
    <x v="46"/>
    <s v="HUN"/>
    <n v="3"/>
    <m/>
    <s v="Gyöngyös"/>
    <d v="2026-03-07T00:00:00"/>
    <s v="Nándori Emma - Kemecse SE"/>
    <x v="0"/>
  </r>
  <r>
    <x v="53"/>
    <s v="HUN"/>
    <n v="0"/>
    <m/>
    <s v="Gyöngyös"/>
    <d v="2026-03-07T00:00:00"/>
    <s v="Szabó Zsófi - ShinzóDojo"/>
    <x v="0"/>
  </r>
  <r>
    <x v="50"/>
    <s v="HUN"/>
    <n v="6"/>
    <m/>
    <s v="Gyöngyös"/>
    <d v="2026-03-07T00:00:00"/>
    <s v="Csató Réka - Keizoku SE"/>
    <x v="0"/>
  </r>
  <r>
    <x v="52"/>
    <s v="HUN"/>
    <n v="5"/>
    <m/>
    <s v="Gyöngyös"/>
    <d v="2026-03-07T00:00:00"/>
    <s v="Koszorus Brigitta - SONGOKU SE"/>
    <x v="0"/>
  </r>
  <r>
    <x v="7"/>
    <s v="HUN"/>
    <n v="3"/>
    <m/>
    <s v="Gyöngyös"/>
    <d v="2026-03-07T00:00:00"/>
    <s v="Almási Petra - KHSE"/>
    <x v="0"/>
  </r>
  <r>
    <x v="53"/>
    <s v="HUN"/>
    <n v="5"/>
    <m/>
    <s v="Gyöngyös"/>
    <d v="2026-03-07T00:00:00"/>
    <s v="Szabó Zsófi - ShinzóDojo"/>
    <x v="0"/>
  </r>
  <r>
    <x v="46"/>
    <s v="HUN"/>
    <n v="4"/>
    <m/>
    <s v="Gyöngyös"/>
    <d v="2026-03-07T00:00:00"/>
    <s v="Nándori Emma - Kemecse SE"/>
    <x v="0"/>
  </r>
  <r>
    <x v="5"/>
    <s v="HUN"/>
    <n v="2"/>
    <m/>
    <s v="Gyöngyös"/>
    <d v="2026-03-07T00:00:00"/>
    <s v="Kiss Jázmin - TADASHII "/>
    <x v="1"/>
  </r>
  <r>
    <x v="12"/>
    <s v="HUN"/>
    <n v="2"/>
    <m/>
    <s v="Gyöngyös"/>
    <d v="2026-03-07T00:00:00"/>
    <s v="Novák Noémi - Bendiák Dojo"/>
    <x v="0"/>
  </r>
  <r>
    <x v="50"/>
    <s v="HUN"/>
    <n v="0"/>
    <m/>
    <s v="Gyöngyös"/>
    <d v="2026-03-07T00:00:00"/>
    <s v="Csató Réka - Keizoku SE"/>
    <x v="0"/>
  </r>
  <r>
    <x v="46"/>
    <s v="HUN"/>
    <n v="0"/>
    <m/>
    <s v="Gyöngyös"/>
    <d v="2026-03-07T00:00:00"/>
    <s v="Bakó Panna - Kemecse SE"/>
    <x v="0"/>
  </r>
  <r>
    <x v="3"/>
    <s v="HUN"/>
    <n v="0"/>
    <m/>
    <s v="Gyöngyös"/>
    <d v="2026-03-07T00:00:00"/>
    <s v="Nagy Blanka - Shogun"/>
    <x v="0"/>
  </r>
  <r>
    <x v="7"/>
    <s v="HUN"/>
    <n v="6"/>
    <m/>
    <s v="Gyöngyös"/>
    <d v="2026-03-07T00:00:00"/>
    <s v="Dorka Zalán - KHSE"/>
    <x v="0"/>
  </r>
  <r>
    <x v="0"/>
    <s v="HUN"/>
    <n v="5"/>
    <m/>
    <s v="Gyöngyös"/>
    <d v="2026-03-07T00:00:00"/>
    <s v="Stoffán Ádám Vilmos - Victory"/>
    <x v="0"/>
  </r>
  <r>
    <x v="7"/>
    <s v="HUN"/>
    <n v="3"/>
    <m/>
    <s v="Gyöngyös"/>
    <d v="2026-03-07T00:00:00"/>
    <s v="Zhang Dávid - KHSE"/>
    <x v="0"/>
  </r>
  <r>
    <x v="3"/>
    <s v="HUN"/>
    <n v="8"/>
    <m/>
    <s v="Gyöngyös"/>
    <d v="2026-03-07T00:00:00"/>
    <s v="Berényi Imre Márk - Shogun"/>
    <x v="0"/>
  </r>
  <r>
    <x v="7"/>
    <s v="HUN"/>
    <n v="6"/>
    <m/>
    <s v="Gyöngyös"/>
    <d v="2026-03-07T00:00:00"/>
    <s v="Balázs Máté - KHSE"/>
    <x v="0"/>
  </r>
  <r>
    <x v="45"/>
    <s v="HUN"/>
    <n v="4"/>
    <m/>
    <s v="Gyöngyös"/>
    <d v="2026-03-07T00:00:00"/>
    <s v="Dániel László - Kelemen-Team"/>
    <x v="0"/>
  </r>
  <r>
    <x v="0"/>
    <s v="HUN"/>
    <n v="3"/>
    <m/>
    <s v="Gyöngyös"/>
    <d v="2026-03-07T00:00:00"/>
    <s v="Dürgő Máté - Victory"/>
    <x v="0"/>
  </r>
  <r>
    <x v="7"/>
    <s v="HUN"/>
    <n v="6"/>
    <m/>
    <s v="Gyöngyös"/>
    <d v="2026-03-07T00:00:00"/>
    <s v="Ménes Milán - KHSE"/>
    <x v="0"/>
  </r>
  <r>
    <x v="47"/>
    <s v="HUN"/>
    <n v="5"/>
    <m/>
    <s v="Gyöngyös"/>
    <d v="2026-03-07T00:00:00"/>
    <s v="Banka Boldizsár - KYO Fighter SE"/>
    <x v="0"/>
  </r>
  <r>
    <x v="47"/>
    <s v="HUN"/>
    <n v="3"/>
    <m/>
    <s v="Gyöngyös"/>
    <d v="2026-03-07T00:00:00"/>
    <s v="Bartus Marcell - KYO Fighter SE"/>
    <x v="0"/>
  </r>
  <r>
    <x v="56"/>
    <s v="HUN"/>
    <n v="6"/>
    <m/>
    <s v="Gyöngyös"/>
    <d v="2026-03-07T00:00:00"/>
    <s v="Balogh Levente - Wheelmaker dojo SE"/>
    <x v="1"/>
  </r>
  <r>
    <x v="10"/>
    <s v="HUN"/>
    <n v="5"/>
    <m/>
    <s v="Gyöngyös"/>
    <d v="2026-03-07T00:00:00"/>
    <s v="Tarsoly Norbert - Nintai KKSE"/>
    <x v="1"/>
  </r>
  <r>
    <x v="51"/>
    <s v="HUN"/>
    <n v="3"/>
    <m/>
    <s v="Gyöngyös"/>
    <d v="2026-03-07T00:00:00"/>
    <s v="Tutor Barnabás  - Derecske BUDO"/>
    <x v="0"/>
  </r>
  <r>
    <x v="0"/>
    <s v="HUN"/>
    <n v="4"/>
    <m/>
    <s v="Gyöngyös"/>
    <d v="2026-03-07T00:00:00"/>
    <s v="Kurucz Gergő - Victory"/>
    <x v="0"/>
  </r>
  <r>
    <x v="57"/>
    <s v="HUN"/>
    <n v="3"/>
    <m/>
    <s v="Gyöngyös"/>
    <d v="2026-03-07T00:00:00"/>
    <s v="Dezső Norbert - Magna Dojo"/>
    <x v="0"/>
  </r>
  <r>
    <x v="12"/>
    <s v="HUN"/>
    <n v="0"/>
    <s v="nem volt nyertes mérkőzése"/>
    <s v="Gyöngyös"/>
    <d v="2026-03-07T00:00:00"/>
    <s v="Novák Balázs - Bendiák Dojo"/>
    <x v="0"/>
  </r>
  <r>
    <x v="7"/>
    <s v="HUN"/>
    <n v="6"/>
    <m/>
    <s v="Gyöngyös"/>
    <d v="2026-03-07T00:00:00"/>
    <s v="Ágoston Bence - KHSE"/>
    <x v="0"/>
  </r>
  <r>
    <x v="12"/>
    <s v="HUN"/>
    <n v="5"/>
    <m/>
    <s v="Gyöngyös"/>
    <d v="2026-03-07T00:00:00"/>
    <s v="Vancsó Kornél - Bendiák Dojo"/>
    <x v="0"/>
  </r>
  <r>
    <x v="7"/>
    <s v="HUN"/>
    <n v="3"/>
    <m/>
    <s v="Gyöngyös"/>
    <d v="2026-03-07T00:00:00"/>
    <s v="Vass Noel - KHSE"/>
    <x v="0"/>
  </r>
  <r>
    <x v="10"/>
    <s v="HUN"/>
    <n v="4"/>
    <m/>
    <s v="Gyöngyös"/>
    <d v="2026-03-07T00:00:00"/>
    <s v="Szalai Brendon - Nintai KKSE"/>
    <x v="1"/>
  </r>
  <r>
    <x v="12"/>
    <s v="HUN"/>
    <n v="3"/>
    <m/>
    <s v="Gyöngyös"/>
    <d v="2026-03-07T00:00:00"/>
    <s v="Novák Máté - Bendiák Dojo"/>
    <x v="0"/>
  </r>
  <r>
    <x v="49"/>
    <s v="HUN"/>
    <n v="0"/>
    <s v="nem volt nyertes mérkőzése"/>
    <s v="Gyöngyös"/>
    <d v="2026-03-07T00:00:00"/>
    <s v="Vida Péter - Buke Reikon HRSE"/>
    <x v="0"/>
  </r>
  <r>
    <x v="3"/>
    <s v="HUN"/>
    <n v="5"/>
    <s v="7 fő esetén az 1-4 kap pontot"/>
    <s v="Gyöngyös"/>
    <d v="2026-03-07T00:00:00"/>
    <s v="Ungvári Levente - Shogun"/>
    <x v="0"/>
  </r>
  <r>
    <x v="3"/>
    <s v="HUN"/>
    <n v="4"/>
    <s v="7 fő esetén az 1-4 kap pontot"/>
    <s v="Gyöngyös"/>
    <d v="2026-03-07T00:00:00"/>
    <s v="Lóránt Varga Milán - Shogun"/>
    <x v="0"/>
  </r>
  <r>
    <x v="3"/>
    <s v="HUN"/>
    <n v="2"/>
    <s v="7 fő esetén az 1-4 kap pontot"/>
    <s v="Gyöngyös"/>
    <d v="2026-03-07T00:00:00"/>
    <s v="Berényi Imre Márk - Shogun"/>
    <x v="0"/>
  </r>
  <r>
    <x v="0"/>
    <s v="HUN"/>
    <n v="1"/>
    <s v="7 fő esetén az 1-4 kap pontot"/>
    <s v="Gyöngyös"/>
    <d v="2026-03-07T00:00:00"/>
    <s v="MOLNÁR MARCELL - Victory"/>
    <x v="0"/>
  </r>
  <r>
    <x v="47"/>
    <s v="HUN"/>
    <n v="0"/>
    <s v="7 fő esetén az 1-4 kap pontot"/>
    <s v="Gyöngyös"/>
    <d v="2026-03-07T00:00:00"/>
    <s v="Banka Boldizsár - KYO Fighter SE"/>
    <x v="0"/>
  </r>
  <r>
    <x v="12"/>
    <s v="HUN"/>
    <n v="0"/>
    <s v="7 fő esetén az 1-4 kap pontot"/>
    <s v="Gyöngyös"/>
    <d v="2026-03-07T00:00:00"/>
    <s v="Novák Balázs - Bendiák Dojo"/>
    <x v="0"/>
  </r>
  <r>
    <x v="12"/>
    <s v="HUN"/>
    <n v="0"/>
    <s v="7 fő esetén az 1-4 kap pontot"/>
    <s v="Gyöngyös"/>
    <d v="2026-03-07T00:00:00"/>
    <s v="Novák Máté - Bendiák Dojo"/>
    <x v="0"/>
  </r>
  <r>
    <x v="48"/>
    <s v="HUN"/>
    <n v="3"/>
    <m/>
    <s v="Gyöngyös"/>
    <d v="2026-03-07T00:00:00"/>
    <s v="Szabó Hanna - Hajdúszoboszló"/>
    <x v="0"/>
  </r>
  <r>
    <x v="54"/>
    <s v="HUN"/>
    <n v="0"/>
    <m/>
    <s v="Gyöngyös"/>
    <d v="2026-03-07T00:00:00"/>
    <s v="Forgács Lili - Borza Dojo"/>
    <x v="1"/>
  </r>
  <r>
    <x v="7"/>
    <s v="HUN"/>
    <n v="4"/>
    <m/>
    <s v="Gyöngyös"/>
    <d v="2026-03-07T00:00:00"/>
    <s v="Furó Liliána - KHSE"/>
    <x v="0"/>
  </r>
  <r>
    <x v="51"/>
    <s v="HUN"/>
    <n v="3"/>
    <m/>
    <s v="Gyöngyös"/>
    <d v="2026-03-07T00:00:00"/>
    <s v="Kiss Boglárka - Derecske BUDO"/>
    <x v="0"/>
  </r>
  <r>
    <x v="3"/>
    <s v="HUN"/>
    <n v="0"/>
    <s v="nem volt nyertes mérkőzése"/>
    <s v="Gyöngyös"/>
    <d v="2026-03-07T00:00:00"/>
    <s v="Karap Anna - Shogun"/>
    <x v="0"/>
  </r>
  <r>
    <x v="7"/>
    <s v="HUN"/>
    <n v="8"/>
    <m/>
    <s v="Gyöngyös"/>
    <d v="2026-03-07T00:00:00"/>
    <s v="Pénzes Zsófia - KHSE"/>
    <x v="0"/>
  </r>
  <r>
    <x v="51"/>
    <s v="HUN"/>
    <n v="6"/>
    <m/>
    <s v="Gyöngyös"/>
    <d v="2026-03-07T00:00:00"/>
    <s v="Albert Szilvia Cintia - Derecske BUDO"/>
    <x v="0"/>
  </r>
  <r>
    <x v="12"/>
    <s v="HUN"/>
    <n v="4"/>
    <m/>
    <s v="Gyöngyös"/>
    <d v="2026-03-07T00:00:00"/>
    <s v="Barna Emese Nikolett - Bendiák Dojo"/>
    <x v="0"/>
  </r>
  <r>
    <x v="45"/>
    <s v="HUN"/>
    <n v="3"/>
    <m/>
    <s v="Gyöngyös"/>
    <d v="2026-03-07T00:00:00"/>
    <s v="Harsányi Tímea - Kelemen-Team"/>
    <x v="0"/>
  </r>
  <r>
    <x v="2"/>
    <s v="HUN"/>
    <n v="5"/>
    <s v="4 fő esetén az 1-3 kap pontot"/>
    <s v="Gyöngyös"/>
    <d v="2026-03-07T00:00:00"/>
    <s v="Kovács Anna - Kisvárda KKDOSC"/>
    <x v="0"/>
  </r>
  <r>
    <x v="3"/>
    <s v="HUN"/>
    <n v="4"/>
    <s v="4 fő esetén az 1-3 kap pontot"/>
    <s v="Gyöngyös"/>
    <d v="2026-03-07T00:00:00"/>
    <s v="Uszkai Flóra - Shogun"/>
    <x v="0"/>
  </r>
  <r>
    <x v="21"/>
    <s v="HUN"/>
    <n v="2"/>
    <s v="4 fő esetén az 1-3 kap pontot"/>
    <s v="Gyöngyös"/>
    <d v="2026-03-07T00:00:00"/>
    <s v="Berényi Lina Boróka - Kagami"/>
    <x v="0"/>
  </r>
  <r>
    <x v="3"/>
    <s v="HUN"/>
    <n v="0"/>
    <s v="4 fő esetén az 1-3 kap pontot"/>
    <s v="Gyöngyös"/>
    <d v="2026-03-07T00:00:00"/>
    <s v="Karap Anna - Shogun"/>
    <x v="0"/>
  </r>
  <r>
    <x v="7"/>
    <s v="HUN"/>
    <n v="3"/>
    <m/>
    <s v="Gyöngyös"/>
    <d v="2026-03-07T00:00:00"/>
    <s v="Nagy Péter - KHSE"/>
    <x v="0"/>
  </r>
  <r>
    <x v="14"/>
    <s v="HUN"/>
    <n v="0"/>
    <m/>
    <s v="Gyöngyös"/>
    <d v="2026-03-07T00:00:00"/>
    <s v="Rimóczi Alex Benedek - Nozomu Dojo"/>
    <x v="0"/>
  </r>
  <r>
    <x v="7"/>
    <s v="HUN"/>
    <n v="6"/>
    <m/>
    <s v="Gyöngyös"/>
    <d v="2026-03-07T00:00:00"/>
    <s v="Bacskai Bence - KHSE"/>
    <x v="0"/>
  </r>
  <r>
    <x v="7"/>
    <s v="HUN"/>
    <n v="5"/>
    <m/>
    <s v="Gyöngyös"/>
    <d v="2026-03-07T00:00:00"/>
    <s v="Szabó Ákos Roland - KHSE"/>
    <x v="0"/>
  </r>
  <r>
    <x v="5"/>
    <s v="HUN"/>
    <n v="3"/>
    <m/>
    <s v="Gyöngyös"/>
    <d v="2026-03-07T00:00:00"/>
    <s v="Vincze Balázs - TADASHII "/>
    <x v="1"/>
  </r>
  <r>
    <x v="0"/>
    <s v="HUN"/>
    <n v="6"/>
    <m/>
    <s v="Gyöngyös"/>
    <d v="2026-03-07T00:00:00"/>
    <s v="Böszörményi Gergő - Victory"/>
    <x v="0"/>
  </r>
  <r>
    <x v="0"/>
    <s v="HUN"/>
    <n v="5"/>
    <m/>
    <s v="Gyöngyös"/>
    <d v="2026-03-07T00:00:00"/>
    <s v="Földi Bence  - Victory"/>
    <x v="0"/>
  </r>
  <r>
    <x v="7"/>
    <s v="HUN"/>
    <n v="3"/>
    <m/>
    <s v="Gyöngyös"/>
    <d v="2026-03-07T00:00:00"/>
    <s v="Takács-Sárkány Csanád - KHSE"/>
    <x v="0"/>
  </r>
  <r>
    <x v="0"/>
    <s v="HUN"/>
    <n v="6"/>
    <m/>
    <s v="Gyöngyös"/>
    <d v="2026-03-07T00:00:00"/>
    <s v="Földi Balázs - Victory"/>
    <x v="0"/>
  </r>
  <r>
    <x v="0"/>
    <s v="HUN"/>
    <n v="5"/>
    <m/>
    <s v="Gyöngyös"/>
    <d v="2026-03-07T00:00:00"/>
    <s v="Kiss Gábor - Victory"/>
    <x v="0"/>
  </r>
  <r>
    <x v="12"/>
    <s v="HUN"/>
    <n v="3"/>
    <m/>
    <s v="Gyöngyös"/>
    <d v="2026-03-07T00:00:00"/>
    <s v="Vancsó Ákos - Bendiák Dojo"/>
    <x v="0"/>
  </r>
  <r>
    <x v="3"/>
    <s v="HUN"/>
    <n v="4"/>
    <m/>
    <s v="Gyöngyös"/>
    <d v="2026-03-07T00:00:00"/>
    <s v="Bessenyei Csongor - Shogun"/>
    <x v="0"/>
  </r>
  <r>
    <x v="14"/>
    <s v="HUN"/>
    <n v="3"/>
    <m/>
    <s v="Gyöngyös"/>
    <d v="2026-03-07T00:00:00"/>
    <s v="Breznyiczki Barnabás - Nozomu Dojo"/>
    <x v="0"/>
  </r>
  <r>
    <x v="5"/>
    <s v="HUN"/>
    <n v="0"/>
    <s v="nem volt nyertes mérkőzése"/>
    <s v="Gyöngyös"/>
    <d v="2026-03-07T00:00:00"/>
    <s v="Flaisz Róbert - TADASHII "/>
    <x v="1"/>
  </r>
  <r>
    <x v="3"/>
    <s v="HUN"/>
    <n v="6"/>
    <m/>
    <s v="Gyöngyös"/>
    <d v="2026-03-07T00:00:00"/>
    <s v="Csorba Kristóf - Shogun"/>
    <x v="0"/>
  </r>
  <r>
    <x v="7"/>
    <s v="HUN"/>
    <n v="5"/>
    <m/>
    <s v="Gyöngyös"/>
    <d v="2026-03-07T00:00:00"/>
    <s v="Sipos Árpád - KHSE"/>
    <x v="0"/>
  </r>
  <r>
    <x v="2"/>
    <s v="HUN"/>
    <n v="3"/>
    <m/>
    <s v="Gyöngyös"/>
    <d v="2026-03-07T00:00:00"/>
    <s v="Maklári Balázs - Kisvárda KKDOSC"/>
    <x v="0"/>
  </r>
  <r>
    <x v="3"/>
    <s v="HUN"/>
    <n v="5"/>
    <s v="6 fő esetén az 1-3 kap pontot"/>
    <s v="Gyöngyös"/>
    <d v="2026-03-07T00:00:00"/>
    <s v="Bessenyei Csongor - Shogun"/>
    <x v="0"/>
  </r>
  <r>
    <x v="3"/>
    <s v="HUN"/>
    <n v="4"/>
    <s v="6 fő esetén az 1-3 kap pontot"/>
    <s v="Gyöngyös"/>
    <d v="2026-03-07T00:00:00"/>
    <s v="Terbócs Roland - Shogun"/>
    <x v="0"/>
  </r>
  <r>
    <x v="3"/>
    <s v="HUN"/>
    <n v="2"/>
    <s v="6 fő esetén az 1-3 kap pontot"/>
    <s v="Gyöngyös"/>
    <d v="2026-03-07T00:00:00"/>
    <s v="Vágó Márton - Shogun"/>
    <x v="0"/>
  </r>
  <r>
    <x v="5"/>
    <s v="HUN"/>
    <n v="0"/>
    <s v="6 fő esetén az 1-3 kap pontot"/>
    <s v="Gyöngyös"/>
    <d v="2026-03-07T00:00:00"/>
    <s v="Kolonics Márk - TADASHII "/>
    <x v="1"/>
  </r>
  <r>
    <x v="54"/>
    <s v="HUN"/>
    <n v="0"/>
    <s v="6 fő esetén az 1-3 kap pontot"/>
    <s v="Gyöngyös"/>
    <d v="2026-03-07T00:00:00"/>
    <s v="Kis Kevin Gyula - Borza Dojo"/>
    <x v="1"/>
  </r>
  <r>
    <x v="14"/>
    <s v="HUN"/>
    <n v="3"/>
    <m/>
    <s v="Gyöngyös"/>
    <d v="2026-03-07T00:00:00"/>
    <s v="Fekete Csenge - Nozomu Dojo"/>
    <x v="0"/>
  </r>
  <r>
    <x v="3"/>
    <s v="HUN"/>
    <n v="0"/>
    <m/>
    <s v="Gyöngyös"/>
    <d v="2026-03-07T00:00:00"/>
    <s v="Szanics Boglárka - Shogun"/>
    <x v="0"/>
  </r>
  <r>
    <x v="0"/>
    <s v="HUN"/>
    <n v="3"/>
    <m/>
    <s v="Gyöngyös"/>
    <d v="2026-03-07T00:00:00"/>
    <s v="Lukács Kamilla - Victory"/>
    <x v="0"/>
  </r>
  <r>
    <x v="7"/>
    <s v="HUN"/>
    <n v="0"/>
    <m/>
    <s v="Gyöngyös"/>
    <d v="2026-03-07T00:00:00"/>
    <s v="Ágoston Sára - KHSE"/>
    <x v="0"/>
  </r>
  <r>
    <x v="46"/>
    <s v="HUN"/>
    <n v="3"/>
    <m/>
    <s v="Gyöngyös"/>
    <d v="2026-03-07T00:00:00"/>
    <s v="Orosz Dorina - Kemecse SE"/>
    <x v="0"/>
  </r>
  <r>
    <x v="51"/>
    <s v="HUN"/>
    <n v="0"/>
    <m/>
    <s v="Gyöngyös"/>
    <d v="2026-03-07T00:00:00"/>
    <s v="Gál Regina - Derecske BUDO"/>
    <x v="0"/>
  </r>
  <r>
    <x v="0"/>
    <s v="HUN"/>
    <n v="8"/>
    <m/>
    <s v="Gyöngyös"/>
    <d v="2026-03-07T00:00:00"/>
    <s v="Éles Léna Hanna - Victory"/>
    <x v="0"/>
  </r>
  <r>
    <x v="3"/>
    <s v="HUN"/>
    <n v="6"/>
    <m/>
    <s v="Gyöngyös"/>
    <d v="2026-03-07T00:00:00"/>
    <s v="Rácz Viktória - Shogun"/>
    <x v="0"/>
  </r>
  <r>
    <x v="3"/>
    <s v="HUN"/>
    <n v="4"/>
    <m/>
    <s v="Gyöngyös"/>
    <d v="2026-03-07T00:00:00"/>
    <s v="Szutor Anna - Shogun"/>
    <x v="0"/>
  </r>
  <r>
    <x v="7"/>
    <s v="HUN"/>
    <n v="3"/>
    <m/>
    <s v="Gyöngyös"/>
    <d v="2026-03-07T00:00:00"/>
    <s v="Józsa Erika - KHSE"/>
    <x v="0"/>
  </r>
  <r>
    <x v="7"/>
    <s v="HUN"/>
    <n v="6"/>
    <m/>
    <s v="Gyöngyös"/>
    <d v="2026-03-07T00:00:00"/>
    <s v="Vórincsák Vivien - KHSE"/>
    <x v="0"/>
  </r>
  <r>
    <x v="7"/>
    <s v="HUN"/>
    <n v="5"/>
    <m/>
    <s v="Gyöngyös"/>
    <d v="2026-03-07T00:00:00"/>
    <s v="Ecsedi Réka - KHSE"/>
    <x v="0"/>
  </r>
  <r>
    <x v="3"/>
    <s v="HUN"/>
    <n v="3"/>
    <m/>
    <s v="Gyöngyös"/>
    <d v="2026-03-07T00:00:00"/>
    <s v="Szabó Petra - Shogun"/>
    <x v="0"/>
  </r>
  <r>
    <x v="3"/>
    <s v="HUN"/>
    <n v="5"/>
    <s v="6 fő esetén az 1-3 kap pontot"/>
    <s v="Gyöngyös"/>
    <d v="2026-03-07T00:00:00"/>
    <s v="Rácz Viktória - Shogun"/>
    <x v="0"/>
  </r>
  <r>
    <x v="21"/>
    <s v="HUN"/>
    <n v="4"/>
    <s v="6 fő esetén az 1-3 kap pontot"/>
    <s v="Gyöngyös"/>
    <d v="2026-03-07T00:00:00"/>
    <s v="Gerő Hanna Gréta - Kagami"/>
    <x v="0"/>
  </r>
  <r>
    <x v="3"/>
    <s v="HUN"/>
    <n v="2"/>
    <s v="6 fő esetén az 1-3 kap pontot"/>
    <s v="Gyöngyös"/>
    <d v="2026-03-07T00:00:00"/>
    <s v="Sólyom Gréta - Shogun"/>
    <x v="0"/>
  </r>
  <r>
    <x v="21"/>
    <s v="HUN"/>
    <n v="0"/>
    <s v="6 fő esetén az 1-3 kap pontot"/>
    <s v="Gyöngyös"/>
    <d v="2026-03-07T00:00:00"/>
    <s v="Arnódi Gréta Bernadette - Kagami"/>
    <x v="0"/>
  </r>
  <r>
    <x v="3"/>
    <s v="HUN"/>
    <n v="0"/>
    <s v="6 fő esetén az 1-3 kap pontot"/>
    <s v="Gyöngyös"/>
    <d v="2026-03-07T00:00:00"/>
    <s v="Szutor Anna - Shogun"/>
    <x v="0"/>
  </r>
  <r>
    <x v="46"/>
    <s v="HUN"/>
    <n v="0"/>
    <s v="6 fő esetén az 1-3 kap pontot"/>
    <s v="Gyöngyös"/>
    <d v="2026-03-07T00:00:00"/>
    <s v="Orosz Dorina - Kemecse SE"/>
    <x v="0"/>
  </r>
  <r>
    <x v="7"/>
    <s v="HUN"/>
    <n v="0"/>
    <s v="6 fő esetén az 1-3 kap pontot"/>
    <s v="Gyöngyös"/>
    <d v="2026-03-07T00:00:00"/>
    <s v="Takács-Sárkány Zalán - KHSE"/>
    <x v="0"/>
  </r>
  <r>
    <x v="3"/>
    <s v="HUN"/>
    <n v="10"/>
    <m/>
    <s v="Szigetszentmiklós"/>
    <d v="2026-03-22T00:00:00"/>
    <s v="Szlivka Botond Csaba - Shogun"/>
    <x v="0"/>
  </r>
  <r>
    <x v="24"/>
    <s v="HUN"/>
    <n v="8"/>
    <m/>
    <s v="Szigetszentmiklós"/>
    <d v="2026-03-22T00:00:00"/>
    <s v="Vámosi Juhász Ádám - Nagykátai Bushido SE"/>
    <x v="0"/>
  </r>
  <r>
    <x v="13"/>
    <s v="HUN"/>
    <n v="6"/>
    <m/>
    <s v="Szigetszentmiklós"/>
    <d v="2026-03-22T00:00:00"/>
    <s v="Zajácz Imre - Kamikaze S"/>
    <x v="0"/>
  </r>
  <r>
    <x v="0"/>
    <s v="HUN"/>
    <n v="6"/>
    <m/>
    <s v="Szigetszentmiklós"/>
    <d v="2026-03-22T00:00:00"/>
    <s v="Aldubai Mohamed Hamzah - Victory"/>
    <x v="0"/>
  </r>
  <r>
    <x v="26"/>
    <s v="HUN"/>
    <n v="0"/>
    <s v="nem volt nyertes mérkőzése"/>
    <s v="Szigetszentmiklós"/>
    <d v="2026-03-22T00:00:00"/>
    <s v="Hadnagy Botond - Rokku KKSE"/>
    <x v="0"/>
  </r>
  <r>
    <x v="19"/>
    <s v="HUN"/>
    <n v="3"/>
    <m/>
    <s v="Szigetszentmiklós"/>
    <d v="2026-03-22T00:00:00"/>
    <s v="Aupek Márk - VTSE"/>
    <x v="1"/>
  </r>
  <r>
    <x v="47"/>
    <s v="HUN"/>
    <n v="3"/>
    <m/>
    <s v="Szigetszentmiklós"/>
    <d v="2026-03-22T00:00:00"/>
    <s v="Kovács Kornél - KYO Fighter SE"/>
    <x v="0"/>
  </r>
  <r>
    <x v="49"/>
    <s v="HUN"/>
    <n v="3"/>
    <m/>
    <s v="Szigetszentmiklós"/>
    <d v="2026-03-22T00:00:00"/>
    <s v="Lajkó Vince - Buke Reikon HRSE"/>
    <x v="0"/>
  </r>
  <r>
    <x v="3"/>
    <s v="HUN"/>
    <n v="0"/>
    <m/>
    <s v="Szigetszentmiklós"/>
    <d v="2026-03-22T00:00:00"/>
    <s v="Huszti Dániel - Shogun"/>
    <x v="0"/>
  </r>
  <r>
    <x v="15"/>
    <s v="HUN"/>
    <n v="0"/>
    <m/>
    <s v="Szigetszentmiklós"/>
    <d v="2026-03-22T00:00:00"/>
    <s v="Csordás Olivér - KSE Tarján"/>
    <x v="0"/>
  </r>
  <r>
    <x v="3"/>
    <s v="HUN"/>
    <n v="0"/>
    <m/>
    <s v="Szigetszentmiklós"/>
    <d v="2026-03-22T00:00:00"/>
    <s v="Sárközi Bence - Shogun"/>
    <x v="0"/>
  </r>
  <r>
    <x v="17"/>
    <s v="HUN"/>
    <n v="10"/>
    <m/>
    <s v="Szigetszentmiklós"/>
    <d v="2026-03-22T00:00:00"/>
    <s v="Gombos-Weidinger Bence - BHMSE"/>
    <x v="0"/>
  </r>
  <r>
    <x v="0"/>
    <s v="HUN"/>
    <n v="8"/>
    <m/>
    <s v="Szigetszentmiklós"/>
    <d v="2026-03-22T00:00:00"/>
    <s v="Blokhin Alexei - Victory"/>
    <x v="0"/>
  </r>
  <r>
    <x v="47"/>
    <s v="HUN"/>
    <n v="6"/>
    <m/>
    <s v="Szigetszentmiklós"/>
    <d v="2026-03-22T00:00:00"/>
    <s v="Oszlánczi Zente - KYO Fighter SE"/>
    <x v="0"/>
  </r>
  <r>
    <x v="45"/>
    <s v="HUN"/>
    <n v="6"/>
    <m/>
    <s v="Szigetszentmiklós"/>
    <d v="2026-03-22T00:00:00"/>
    <s v="Marjai Sándor - Kelemen-Team"/>
    <x v="0"/>
  </r>
  <r>
    <x v="3"/>
    <s v="HUN"/>
    <n v="3"/>
    <m/>
    <s v="Szigetszentmiklós"/>
    <d v="2026-03-22T00:00:00"/>
    <s v="Dániel Bence - Shogun"/>
    <x v="0"/>
  </r>
  <r>
    <x v="1"/>
    <s v="HUN"/>
    <n v="0"/>
    <s v="nem volt nyertes mérkőzése"/>
    <s v="Szigetszentmiklós"/>
    <d v="2026-03-22T00:00:00"/>
    <s v="Seres Zoltán - Ippon KKSE"/>
    <x v="0"/>
  </r>
  <r>
    <x v="17"/>
    <s v="HUN"/>
    <n v="0"/>
    <s v="nem volt nyertes mérkőzése"/>
    <s v="Szigetszentmiklós"/>
    <d v="2026-03-22T00:00:00"/>
    <s v="Lévai Benedek - BHMSE"/>
    <x v="0"/>
  </r>
  <r>
    <x v="0"/>
    <s v="HUN"/>
    <n v="0"/>
    <s v="nem volt nyertes mérkőzése"/>
    <s v="Szigetszentmiklós"/>
    <d v="2026-03-22T00:00:00"/>
    <s v="Mohácsi DOminik - Victory"/>
    <x v="0"/>
  </r>
  <r>
    <x v="19"/>
    <s v="HUN"/>
    <n v="0"/>
    <m/>
    <s v="Szigetszentmiklós"/>
    <d v="2026-03-22T00:00:00"/>
    <s v="Bányai Kende - VTSE"/>
    <x v="1"/>
  </r>
  <r>
    <x v="23"/>
    <s v="HUN"/>
    <n v="0"/>
    <m/>
    <s v="Szigetszentmiklós"/>
    <d v="2026-03-22T00:00:00"/>
    <s v="Kádár Boldizsár - Rakurai"/>
    <x v="0"/>
  </r>
  <r>
    <x v="45"/>
    <s v="HUN"/>
    <n v="0"/>
    <m/>
    <s v="Szigetszentmiklós"/>
    <d v="2026-03-22T00:00:00"/>
    <s v="Papp László - Kelemen-Team"/>
    <x v="0"/>
  </r>
  <r>
    <x v="3"/>
    <s v="HUN"/>
    <n v="10"/>
    <m/>
    <s v="Szigetszentmiklós"/>
    <d v="2026-03-22T00:00:00"/>
    <s v="Petrohai Dávid - Shogun"/>
    <x v="0"/>
  </r>
  <r>
    <x v="12"/>
    <s v="HUN"/>
    <n v="8"/>
    <m/>
    <s v="Szigetszentmiklós"/>
    <d v="2026-03-22T00:00:00"/>
    <s v="Dudás Benedek - Bendiák Dojo"/>
    <x v="0"/>
  </r>
  <r>
    <x v="24"/>
    <s v="HUN"/>
    <n v="6"/>
    <m/>
    <s v="Szigetszentmiklós"/>
    <d v="2026-03-22T00:00:00"/>
    <s v="Kasza Benett - Nagykátai Bushido SE"/>
    <x v="0"/>
  </r>
  <r>
    <x v="25"/>
    <s v="HUN"/>
    <n v="6"/>
    <m/>
    <s v="Szigetszentmiklós"/>
    <d v="2026-03-22T00:00:00"/>
    <s v="Szabó Marcell Károly - Katana SE"/>
    <x v="0"/>
  </r>
  <r>
    <x v="6"/>
    <s v="HUN"/>
    <n v="0"/>
    <s v="nem volt nyertes mérkőzése"/>
    <s v="Szigetszentmiklós"/>
    <d v="2026-03-22T00:00:00"/>
    <s v="Tamási Péter Tamás - Castrum"/>
    <x v="0"/>
  </r>
  <r>
    <x v="14"/>
    <s v="HUN"/>
    <n v="3"/>
    <m/>
    <s v="Szigetszentmiklós"/>
    <d v="2026-03-22T00:00:00"/>
    <s v="Dócs Nándor - Nozomu Dojo"/>
    <x v="0"/>
  </r>
  <r>
    <x v="45"/>
    <s v="HUN"/>
    <n v="0"/>
    <s v="nem volt nyertes mérkőzése"/>
    <s v="Szigetszentmiklós"/>
    <d v="2026-03-22T00:00:00"/>
    <s v="Máté Lénárd - Kelemen-Team"/>
    <x v="0"/>
  </r>
  <r>
    <x v="18"/>
    <s v="HUN"/>
    <n v="0"/>
    <m/>
    <s v="Szigetszentmiklós"/>
    <d v="2026-03-22T00:00:00"/>
    <s v="Petróczki Bendegúz - Bátor KSE"/>
    <x v="0"/>
  </r>
  <r>
    <x v="17"/>
    <s v="HUN"/>
    <n v="0"/>
    <m/>
    <s v="Szigetszentmiklós"/>
    <d v="2026-03-22T00:00:00"/>
    <s v="Bakonyi Erik - BHMSE"/>
    <x v="0"/>
  </r>
  <r>
    <x v="3"/>
    <s v="HUN"/>
    <n v="10"/>
    <m/>
    <s v="Szigetszentmiklós"/>
    <d v="2026-03-22T00:00:00"/>
    <s v="Petrohai Dávid - Shogun"/>
    <x v="0"/>
  </r>
  <r>
    <x v="3"/>
    <s v="HUN"/>
    <n v="7"/>
    <m/>
    <s v="Szigetszentmiklós"/>
    <d v="2026-03-22T00:00:00"/>
    <s v="Szlivka Botond Csaba - Shogun"/>
    <x v="0"/>
  </r>
  <r>
    <x v="3"/>
    <s v="HUN"/>
    <n v="5"/>
    <m/>
    <s v="Szigetszentmiklós"/>
    <d v="2026-03-22T00:00:00"/>
    <s v="Huszti Dániel - Shogun"/>
    <x v="0"/>
  </r>
  <r>
    <x v="17"/>
    <s v="HUN"/>
    <n v="5"/>
    <m/>
    <s v="Szigetszentmiklós"/>
    <d v="2026-03-22T00:00:00"/>
    <s v="Németh Dávid - BHMSE"/>
    <x v="0"/>
  </r>
  <r>
    <x v="3"/>
    <s v="HUN"/>
    <n v="3"/>
    <m/>
    <s v="Szigetszentmiklós"/>
    <d v="2026-03-22T00:00:00"/>
    <s v="Dániel Bence - Shogun"/>
    <x v="0"/>
  </r>
  <r>
    <x v="17"/>
    <s v="HUN"/>
    <n v="3"/>
    <m/>
    <s v="Szigetszentmiklós"/>
    <d v="2026-03-22T00:00:00"/>
    <s v="Karácsony Vadim - BHMSE"/>
    <x v="0"/>
  </r>
  <r>
    <x v="3"/>
    <s v="HUN"/>
    <n v="3"/>
    <m/>
    <s v="Szigetszentmiklós"/>
    <d v="2026-03-22T00:00:00"/>
    <s v="Sárközi Bence - Shogun"/>
    <x v="0"/>
  </r>
  <r>
    <x v="17"/>
    <s v="HUN"/>
    <n v="3"/>
    <m/>
    <s v="Szigetszentmiklós"/>
    <d v="2026-03-22T00:00:00"/>
    <s v="Bakonyi Erik - BHMSE"/>
    <x v="0"/>
  </r>
  <r>
    <x v="17"/>
    <s v="HUN"/>
    <n v="0"/>
    <m/>
    <s v="Szigetszentmiklós"/>
    <d v="2026-03-22T00:00:00"/>
    <s v="Gattoni Marcello - BHMSE"/>
    <x v="0"/>
  </r>
  <r>
    <x v="22"/>
    <s v="HUN"/>
    <n v="0"/>
    <m/>
    <s v="Szigetszentmiklós"/>
    <d v="2026-03-22T00:00:00"/>
    <s v="Gruber Marcell - Siófok KSE"/>
    <x v="0"/>
  </r>
  <r>
    <x v="15"/>
    <s v="HUN"/>
    <n v="0"/>
    <m/>
    <s v="Szigetszentmiklós"/>
    <d v="2026-03-22T00:00:00"/>
    <s v="Csordás Olivér - KSE Tarján"/>
    <x v="0"/>
  </r>
  <r>
    <x v="19"/>
    <s v="HUN"/>
    <n v="0"/>
    <m/>
    <s v="Szigetszentmiklós"/>
    <d v="2026-03-22T00:00:00"/>
    <s v="Aupek Márk - VTSE"/>
    <x v="1"/>
  </r>
  <r>
    <x v="15"/>
    <s v="HUN"/>
    <n v="0"/>
    <m/>
    <s v="Szigetszentmiklós"/>
    <d v="2026-03-22T00:00:00"/>
    <s v="Kolipka Máté Gergő - KSE Tarján"/>
    <x v="0"/>
  </r>
  <r>
    <x v="0"/>
    <s v="HUN"/>
    <n v="0"/>
    <m/>
    <s v="Szigetszentmiklós"/>
    <d v="2026-03-22T00:00:00"/>
    <s v="Mohácsi DOminik - Victory"/>
    <x v="0"/>
  </r>
  <r>
    <x v="12"/>
    <s v="HUN"/>
    <n v="0"/>
    <m/>
    <s v="Szigetszentmiklós"/>
    <d v="2026-03-22T00:00:00"/>
    <s v="Tóth Máté - Bendiák Dojo"/>
    <x v="0"/>
  </r>
  <r>
    <x v="0"/>
    <s v="HUN"/>
    <n v="0"/>
    <m/>
    <s v="Szigetszentmiklós"/>
    <d v="2026-03-22T00:00:00"/>
    <s v="Blokhin Alexei - Victory"/>
    <x v="0"/>
  </r>
  <r>
    <x v="17"/>
    <s v="HUN"/>
    <n v="4"/>
    <m/>
    <s v="Szigetszentmiklós"/>
    <d v="2026-03-22T00:00:00"/>
    <s v="Lukács Ajsa - BHMSE"/>
    <x v="0"/>
  </r>
  <r>
    <x v="26"/>
    <s v="HUN"/>
    <n v="0"/>
    <m/>
    <s v="Szigetszentmiklós"/>
    <d v="2026-03-22T00:00:00"/>
    <s v="Erdei Emília - Rokku KKSE"/>
    <x v="0"/>
  </r>
  <r>
    <x v="23"/>
    <s v="HUN"/>
    <n v="10"/>
    <m/>
    <s v="Szigetszentmiklós"/>
    <d v="2026-03-22T00:00:00"/>
    <s v="Kámán Luca - Rakurai"/>
    <x v="0"/>
  </r>
  <r>
    <x v="45"/>
    <s v="HUN"/>
    <n v="8"/>
    <m/>
    <s v="Szigetszentmiklós"/>
    <d v="2026-03-22T00:00:00"/>
    <s v="Zeke Kata - Kelemen-Team"/>
    <x v="0"/>
  </r>
  <r>
    <x v="26"/>
    <s v="HUN"/>
    <n v="6"/>
    <m/>
    <s v="Szigetszentmiklós"/>
    <d v="2026-03-22T00:00:00"/>
    <s v="Falus Dorottya - Rokku KKSE"/>
    <x v="0"/>
  </r>
  <r>
    <x v="45"/>
    <s v="HUN"/>
    <n v="4"/>
    <m/>
    <s v="Szigetszentmiklós"/>
    <d v="2026-03-22T00:00:00"/>
    <s v="Bácsmegi Luca - Kelemen-Team"/>
    <x v="0"/>
  </r>
  <r>
    <x v="3"/>
    <s v="HUN"/>
    <n v="0"/>
    <m/>
    <s v="Szigetszentmiklós"/>
    <d v="2026-03-22T00:00:00"/>
    <s v="Fekete Alíz - Shogun"/>
    <x v="0"/>
  </r>
  <r>
    <x v="27"/>
    <s v="HUN"/>
    <n v="10"/>
    <m/>
    <s v="Szigetszentmiklós"/>
    <d v="2026-03-22T00:00:00"/>
    <s v="Németh Kitti - Meiyo dojo"/>
    <x v="0"/>
  </r>
  <r>
    <x v="27"/>
    <s v="HUN"/>
    <n v="8"/>
    <m/>
    <s v="Szigetszentmiklós"/>
    <d v="2026-03-22T00:00:00"/>
    <s v="Balogh Zora - Meiyo dojo"/>
    <x v="0"/>
  </r>
  <r>
    <x v="46"/>
    <s v="HUN"/>
    <n v="6"/>
    <m/>
    <s v="Szigetszentmiklós"/>
    <d v="2026-03-22T00:00:00"/>
    <s v="Nándori Leona - Kemecse SE"/>
    <x v="0"/>
  </r>
  <r>
    <x v="27"/>
    <s v="HUN"/>
    <n v="4"/>
    <m/>
    <s v="Szigetszentmiklós"/>
    <d v="2026-03-22T00:00:00"/>
    <s v="Buzás Anna - Meiyo dojo"/>
    <x v="0"/>
  </r>
  <r>
    <x v="27"/>
    <s v="HUN"/>
    <n v="0"/>
    <m/>
    <s v="Szigetszentmiklós"/>
    <d v="2026-03-22T00:00:00"/>
    <s v="Vágenhoffer Maja - Meiyo dojo"/>
    <x v="0"/>
  </r>
  <r>
    <x v="17"/>
    <s v="HUN"/>
    <n v="8"/>
    <m/>
    <s v="Szigetszentmiklós"/>
    <d v="2026-03-22T00:00:00"/>
    <s v="Lukács Ajsa - BHMSE"/>
    <x v="0"/>
  </r>
  <r>
    <x v="27"/>
    <s v="HUN"/>
    <n v="6"/>
    <m/>
    <s v="Szigetszentmiklós"/>
    <d v="2026-03-22T00:00:00"/>
    <s v="Buzás Anna - Meiyo dojo"/>
    <x v="0"/>
  </r>
  <r>
    <x v="17"/>
    <s v="HUN"/>
    <n v="4"/>
    <m/>
    <s v="Szigetszentmiklós"/>
    <d v="2026-03-22T00:00:00"/>
    <s v="Simor Szofi Anna - BHMSE"/>
    <x v="0"/>
  </r>
  <r>
    <x v="27"/>
    <s v="HUN"/>
    <n v="4"/>
    <m/>
    <s v="Szigetszentmiklós"/>
    <d v="2026-03-22T00:00:00"/>
    <s v="Németh Kitti - Meiyo dojo"/>
    <x v="0"/>
  </r>
  <r>
    <x v="46"/>
    <s v="HUN"/>
    <n v="0"/>
    <s v="nem volt nyertes mérkőzése"/>
    <s v="Szigetszentmiklós"/>
    <d v="2026-03-22T00:00:00"/>
    <s v="Nándori Leona - Kemecse SE"/>
    <x v="0"/>
  </r>
  <r>
    <x v="47"/>
    <s v="HUN"/>
    <n v="0"/>
    <s v="nem volt nyertes mérkőzése"/>
    <s v="Szigetszentmiklós"/>
    <d v="2026-03-22T00:00:00"/>
    <s v="Banyák Léna - KYO Fighter SE"/>
    <x v="0"/>
  </r>
  <r>
    <x v="15"/>
    <s v="HUN"/>
    <n v="0"/>
    <s v="nem volt nyertes mérkőzése"/>
    <s v="Szigetszentmiklós"/>
    <d v="2026-03-22T00:00:00"/>
    <s v="Varga Olivia - KSE Tarján"/>
    <x v="0"/>
  </r>
  <r>
    <x v="24"/>
    <s v="HUN"/>
    <n v="2"/>
    <m/>
    <s v="Szigetszentmiklós"/>
    <d v="2026-03-22T00:00:00"/>
    <s v="Tóth Csenge - Nagykátai Bushido SE"/>
    <x v="0"/>
  </r>
  <r>
    <x v="3"/>
    <s v="HUN"/>
    <n v="0"/>
    <m/>
    <s v="Szigetszentmiklós"/>
    <d v="2026-03-22T00:00:00"/>
    <s v="Fekete Alíz - Shogun"/>
    <x v="0"/>
  </r>
  <r>
    <x v="26"/>
    <s v="HUN"/>
    <n v="0"/>
    <m/>
    <s v="Szigetszentmiklós"/>
    <d v="2026-03-22T00:00:00"/>
    <s v="Falus Dorottya - Rokku KKSE"/>
    <x v="0"/>
  </r>
  <r>
    <x v="26"/>
    <s v="HUN"/>
    <n v="0"/>
    <m/>
    <s v="Szigetszentmiklós"/>
    <d v="2026-03-22T00:00:00"/>
    <s v="Erdei Emília - Rokku KKSE"/>
    <x v="0"/>
  </r>
  <r>
    <x v="45"/>
    <s v="HUN"/>
    <n v="0"/>
    <m/>
    <s v="Szigetszentmiklós"/>
    <d v="2026-03-22T00:00:00"/>
    <s v="Geiger Uzonyi Lilla - Kelemen-Team"/>
    <x v="0"/>
  </r>
  <r>
    <x v="12"/>
    <s v="HUN"/>
    <n v="0"/>
    <m/>
    <s v="Szigetszentmiklós"/>
    <d v="2026-03-22T00:00:00"/>
    <s v="Pista Nóra - Bendiák Dojo"/>
    <x v="0"/>
  </r>
  <r>
    <x v="3"/>
    <s v="HUN"/>
    <n v="13"/>
    <m/>
    <s v="Szigetszentmiklós"/>
    <d v="2026-03-22T00:00:00"/>
    <s v="Szabó Alex Dominik - Shogun"/>
    <x v="0"/>
  </r>
  <r>
    <x v="3"/>
    <s v="HUN"/>
    <n v="10"/>
    <m/>
    <s v="Szigetszentmiklós"/>
    <d v="2026-03-22T00:00:00"/>
    <s v="Tarr Bence - Shogun"/>
    <x v="0"/>
  </r>
  <r>
    <x v="24"/>
    <s v="HUN"/>
    <n v="7"/>
    <m/>
    <s v="Szigetszentmiklós"/>
    <d v="2026-03-22T00:00:00"/>
    <s v="Hegedűs Vencel - Nagykátai Bushido SE"/>
    <x v="0"/>
  </r>
  <r>
    <x v="25"/>
    <s v="HUN"/>
    <n v="7"/>
    <m/>
    <s v="Szigetszentmiklós"/>
    <d v="2026-03-22T00:00:00"/>
    <s v="Boka Norman Eliot - Katana SE"/>
    <x v="0"/>
  </r>
  <r>
    <x v="3"/>
    <s v="HUN"/>
    <n v="4"/>
    <m/>
    <s v="Szigetszentmiklós"/>
    <d v="2026-03-22T00:00:00"/>
    <s v="Szűcs Norbert - Shogun"/>
    <x v="0"/>
  </r>
  <r>
    <x v="0"/>
    <s v="HUN"/>
    <n v="4"/>
    <m/>
    <s v="Szigetszentmiklós"/>
    <d v="2026-03-22T00:00:00"/>
    <s v="Makai Mór - Victory"/>
    <x v="0"/>
  </r>
  <r>
    <x v="3"/>
    <s v="HUN"/>
    <n v="4"/>
    <m/>
    <s v="Szigetszentmiklós"/>
    <d v="2026-03-22T00:00:00"/>
    <s v="Pajkos Dominik - Shogun"/>
    <x v="0"/>
  </r>
  <r>
    <x v="3"/>
    <s v="HUN"/>
    <n v="4"/>
    <m/>
    <s v="Szigetszentmiklós"/>
    <d v="2026-03-22T00:00:00"/>
    <s v="Berényi Milán - Shogun"/>
    <x v="0"/>
  </r>
  <r>
    <x v="25"/>
    <s v="HUN"/>
    <n v="0"/>
    <m/>
    <s v="Szigetszentmiklós"/>
    <d v="2026-03-22T00:00:00"/>
    <s v="Süller Zsombor - Katana SE"/>
    <x v="0"/>
  </r>
  <r>
    <x v="6"/>
    <s v="HUN"/>
    <n v="0"/>
    <m/>
    <s v="Szigetszentmiklós"/>
    <d v="2026-03-22T00:00:00"/>
    <s v="Kalmár Ádám István - Castrum"/>
    <x v="0"/>
  </r>
  <r>
    <x v="25"/>
    <s v="HUN"/>
    <n v="0"/>
    <m/>
    <s v="Szigetszentmiklós"/>
    <d v="2026-03-22T00:00:00"/>
    <s v="Kovács Milán - Katana SE"/>
    <x v="0"/>
  </r>
  <r>
    <x v="45"/>
    <s v="HUN"/>
    <n v="0"/>
    <m/>
    <s v="Szigetszentmiklós"/>
    <d v="2026-03-22T00:00:00"/>
    <s v="Török Márton Ignác - Kelemen-Team"/>
    <x v="0"/>
  </r>
  <r>
    <x v="19"/>
    <s v="HUN"/>
    <n v="0"/>
    <m/>
    <s v="Szigetszentmiklós"/>
    <d v="2026-03-22T00:00:00"/>
    <s v="Gordos Zalán - VTSE"/>
    <x v="1"/>
  </r>
  <r>
    <x v="47"/>
    <s v="HUN"/>
    <n v="0"/>
    <m/>
    <s v="Szigetszentmiklós"/>
    <d v="2026-03-22T00:00:00"/>
    <s v="Kis Olivér - KYO Fighter SE"/>
    <x v="0"/>
  </r>
  <r>
    <x v="17"/>
    <s v="HUN"/>
    <n v="0"/>
    <m/>
    <s v="Szigetszentmiklós"/>
    <d v="2026-03-22T00:00:00"/>
    <s v="Nagy Zétény - BHMSE"/>
    <x v="0"/>
  </r>
  <r>
    <x v="48"/>
    <s v="HUN"/>
    <n v="0"/>
    <m/>
    <s v="Szigetszentmiklós"/>
    <d v="2026-03-22T00:00:00"/>
    <s v="Ungai Csaba - Hajdúszoboszló"/>
    <x v="0"/>
  </r>
  <r>
    <x v="50"/>
    <s v="HUN"/>
    <n v="10"/>
    <m/>
    <s v="Szigetszentmiklós"/>
    <d v="2026-03-22T00:00:00"/>
    <s v="Kiss Adrián - Keizoku SE"/>
    <x v="0"/>
  </r>
  <r>
    <x v="49"/>
    <s v="HUN"/>
    <n v="8"/>
    <m/>
    <s v="Szigetszentmiklós"/>
    <d v="2026-03-22T00:00:00"/>
    <s v="Sádt Zénó - Buke Reikon HRSE"/>
    <x v="0"/>
  </r>
  <r>
    <x v="25"/>
    <s v="HUN"/>
    <n v="6"/>
    <m/>
    <s v="Szigetszentmiklós"/>
    <d v="2026-03-22T00:00:00"/>
    <s v="Szabó Áron Levente - Katana SE"/>
    <x v="0"/>
  </r>
  <r>
    <x v="20"/>
    <s v="HUN"/>
    <n v="6"/>
    <m/>
    <s v="Szigetszentmiklós"/>
    <d v="2026-03-22T00:00:00"/>
    <s v="Balázs Dénes - Griff SE"/>
    <x v="0"/>
  </r>
  <r>
    <x v="25"/>
    <s v="HUN"/>
    <n v="0"/>
    <s v="nem volt nyertes mérkőzése"/>
    <s v="Szigetszentmiklós"/>
    <d v="2026-03-22T00:00:00"/>
    <s v="Szenner Valentin - Katana SE"/>
    <x v="0"/>
  </r>
  <r>
    <x v="3"/>
    <s v="HUN"/>
    <n v="3"/>
    <m/>
    <s v="Szigetszentmiklós"/>
    <d v="2026-03-22T00:00:00"/>
    <s v="Eszenyi Barnabás - Shogun"/>
    <x v="0"/>
  </r>
  <r>
    <x v="24"/>
    <s v="HUN"/>
    <n v="3"/>
    <m/>
    <s v="Szigetszentmiklós"/>
    <d v="2026-03-22T00:00:00"/>
    <s v="Benedek Barnabás - Nagykátai Bushido SE"/>
    <x v="0"/>
  </r>
  <r>
    <x v="18"/>
    <s v="HUN"/>
    <n v="0"/>
    <s v="nem volt nyertes mérkőzése"/>
    <s v="Szigetszentmiklós"/>
    <d v="2026-03-22T00:00:00"/>
    <s v="Héder Patrik - Bátor KSE"/>
    <x v="0"/>
  </r>
  <r>
    <x v="17"/>
    <s v="HUN"/>
    <n v="0"/>
    <m/>
    <s v="Szigetszentmiklós"/>
    <d v="2026-03-22T00:00:00"/>
    <s v="Kárász Dániel - BHMSE"/>
    <x v="0"/>
  </r>
  <r>
    <x v="28"/>
    <s v="HUN"/>
    <n v="0"/>
    <m/>
    <s v="Szigetszentmiklós"/>
    <d v="2026-03-22T00:00:00"/>
    <s v="Molnár I. Zétény - KKE - Spartacus"/>
    <x v="0"/>
  </r>
  <r>
    <x v="23"/>
    <s v="HUN"/>
    <n v="0"/>
    <m/>
    <s v="Szigetszentmiklós"/>
    <d v="2026-03-22T00:00:00"/>
    <s v="Hidegh Krisztián - Rakurai"/>
    <x v="0"/>
  </r>
  <r>
    <x v="50"/>
    <s v="HUN"/>
    <n v="0"/>
    <m/>
    <s v="Szigetszentmiklós"/>
    <d v="2026-03-22T00:00:00"/>
    <s v="Hegedűs Botond - Keizoku SE"/>
    <x v="0"/>
  </r>
  <r>
    <x v="15"/>
    <s v="HUN"/>
    <n v="8"/>
    <m/>
    <s v="Szigetszentmiklós"/>
    <d v="2026-03-22T00:00:00"/>
    <s v="Árendás Botond - KSE Tarján"/>
    <x v="0"/>
  </r>
  <r>
    <x v="20"/>
    <s v="HUN"/>
    <n v="6"/>
    <m/>
    <s v="Szigetszentmiklós"/>
    <d v="2026-03-22T00:00:00"/>
    <s v="Horváth Kristóf - Griff SE"/>
    <x v="0"/>
  </r>
  <r>
    <x v="26"/>
    <s v="HUN"/>
    <n v="4"/>
    <m/>
    <s v="Szigetszentmiklós"/>
    <d v="2026-03-22T00:00:00"/>
    <s v="Fekete Kristóf - Rokku KKSE"/>
    <x v="0"/>
  </r>
  <r>
    <x v="13"/>
    <s v="HUN"/>
    <n v="0"/>
    <m/>
    <s v="Szigetszentmiklós"/>
    <d v="2026-03-22T00:00:00"/>
    <s v="Dani Andor - Kamikaze S"/>
    <x v="0"/>
  </r>
  <r>
    <x v="17"/>
    <s v="HUN"/>
    <n v="10"/>
    <m/>
    <s v="Szigetszentmiklós"/>
    <d v="2026-03-22T00:00:00"/>
    <s v="Gombos-Weidinger Zsombor - BHMSE"/>
    <x v="0"/>
  </r>
  <r>
    <x v="45"/>
    <s v="HUN"/>
    <n v="8"/>
    <m/>
    <s v="Szigetszentmiklós"/>
    <d v="2026-03-22T00:00:00"/>
    <s v="Zeke Dávid - Kelemen-Team"/>
    <x v="0"/>
  </r>
  <r>
    <x v="24"/>
    <s v="HUN"/>
    <n v="6"/>
    <m/>
    <s v="Szigetszentmiklós"/>
    <d v="2026-03-22T00:00:00"/>
    <s v="Vámosi Juhász Máté - Nagykátai Bushido SE"/>
    <x v="0"/>
  </r>
  <r>
    <x v="3"/>
    <s v="HUN"/>
    <n v="6"/>
    <m/>
    <s v="Szigetszentmiklós"/>
    <d v="2026-03-22T00:00:00"/>
    <s v="Némethy Balázs - Shogun"/>
    <x v="0"/>
  </r>
  <r>
    <x v="51"/>
    <s v="HUN"/>
    <n v="3"/>
    <m/>
    <s v="Szigetszentmiklós"/>
    <d v="2026-03-22T00:00:00"/>
    <s v="Kiss Levente - Derecske BUDO"/>
    <x v="0"/>
  </r>
  <r>
    <x v="17"/>
    <s v="HUN"/>
    <n v="3"/>
    <m/>
    <s v="Szigetszentmiklós"/>
    <d v="2026-03-22T00:00:00"/>
    <s v="Hernádi Bere - BHMSE"/>
    <x v="0"/>
  </r>
  <r>
    <x v="49"/>
    <s v="HUN"/>
    <n v="3"/>
    <m/>
    <s v="Szigetszentmiklós"/>
    <d v="2026-03-22T00:00:00"/>
    <s v="Farkas Kristóf - Buke Reikon HRSE"/>
    <x v="0"/>
  </r>
  <r>
    <x v="49"/>
    <s v="HUN"/>
    <n v="3"/>
    <m/>
    <s v="Szigetszentmiklós"/>
    <d v="2026-03-22T00:00:00"/>
    <s v="Simon Titusz - Buke Reikon HRSE"/>
    <x v="0"/>
  </r>
  <r>
    <x v="49"/>
    <s v="HUN"/>
    <n v="0"/>
    <m/>
    <s v="Szigetszentmiklós"/>
    <d v="2026-03-22T00:00:00"/>
    <s v="Sztarek Benett - Buke Reikon HRSE"/>
    <x v="0"/>
  </r>
  <r>
    <x v="29"/>
    <s v="HUN"/>
    <n v="0"/>
    <m/>
    <s v="Szigetszentmiklós"/>
    <d v="2026-03-22T00:00:00"/>
    <s v="Szabó Máté Péter - WARRIORS TEAM"/>
    <x v="0"/>
  </r>
  <r>
    <x v="49"/>
    <s v="HUN"/>
    <n v="0"/>
    <m/>
    <s v="Szigetszentmiklós"/>
    <d v="2026-03-22T00:00:00"/>
    <s v="Zádori Zénó  - Buke Reikon HRSE"/>
    <x v="0"/>
  </r>
  <r>
    <x v="51"/>
    <s v="HUN"/>
    <n v="0"/>
    <m/>
    <s v="Szigetszentmiklós"/>
    <d v="2026-03-22T00:00:00"/>
    <s v="Kiss István - Derecske BUDO"/>
    <x v="0"/>
  </r>
  <r>
    <x v="49"/>
    <s v="HUN"/>
    <n v="0"/>
    <m/>
    <s v="Szigetszentmiklós"/>
    <d v="2026-03-22T00:00:00"/>
    <s v="Szabó Zsombor - Buke Reikon HRSE"/>
    <x v="0"/>
  </r>
  <r>
    <x v="18"/>
    <s v="HUN"/>
    <n v="0"/>
    <m/>
    <s v="Szigetszentmiklós"/>
    <d v="2026-03-22T00:00:00"/>
    <s v="Eszenyi Tamás Zsolt - Bátor KSE"/>
    <x v="0"/>
  </r>
  <r>
    <x v="1"/>
    <s v="HUN"/>
    <n v="10"/>
    <m/>
    <s v="Szigetszentmiklós"/>
    <d v="2026-03-22T00:00:00"/>
    <s v="Tálas Csongor - Ippon KKSE"/>
    <x v="0"/>
  </r>
  <r>
    <x v="3"/>
    <s v="HUN"/>
    <n v="8"/>
    <m/>
    <s v="Szigetszentmiklós"/>
    <d v="2026-03-22T00:00:00"/>
    <s v="Szabó Bence - Shogun"/>
    <x v="0"/>
  </r>
  <r>
    <x v="0"/>
    <s v="HUN"/>
    <n v="6"/>
    <m/>
    <s v="Szigetszentmiklós"/>
    <d v="2026-03-22T00:00:00"/>
    <s v="Rajmon Tamás - Victory"/>
    <x v="0"/>
  </r>
  <r>
    <x v="3"/>
    <s v="HUN"/>
    <n v="6"/>
    <m/>
    <s v="Szigetszentmiklós"/>
    <d v="2026-03-22T00:00:00"/>
    <s v="Gyuricska Benedek - Shogun"/>
    <x v="0"/>
  </r>
  <r>
    <x v="3"/>
    <s v="HUN"/>
    <n v="3"/>
    <m/>
    <s v="Szigetszentmiklós"/>
    <d v="2026-03-22T00:00:00"/>
    <s v="Bervanger Bálint - Shogun"/>
    <x v="0"/>
  </r>
  <r>
    <x v="17"/>
    <s v="HUN"/>
    <n v="0"/>
    <s v="nem volt nyertes mérkőzése"/>
    <s v="Szigetszentmiklós"/>
    <d v="2026-03-22T00:00:00"/>
    <s v="Baky Kornél - BHMSE"/>
    <x v="0"/>
  </r>
  <r>
    <x v="18"/>
    <s v="HUN"/>
    <n v="0"/>
    <s v="nem volt nyertes mérkőzése"/>
    <s v="Szigetszentmiklós"/>
    <d v="2026-03-22T00:00:00"/>
    <s v="Petróczki Farkas - Bátor KSE"/>
    <x v="0"/>
  </r>
  <r>
    <x v="45"/>
    <s v="HUN"/>
    <n v="3"/>
    <m/>
    <s v="Szigetszentmiklós"/>
    <d v="2026-03-22T00:00:00"/>
    <s v="Jagyugy Zalán - Kelemen-Team"/>
    <x v="0"/>
  </r>
  <r>
    <x v="0"/>
    <s v="HUN"/>
    <n v="0"/>
    <m/>
    <s v="Szigetszentmiklós"/>
    <d v="2026-03-22T00:00:00"/>
    <s v="Kurucz Árpád Soma - Victory"/>
    <x v="0"/>
  </r>
  <r>
    <x v="0"/>
    <s v="HUN"/>
    <n v="0"/>
    <m/>
    <s v="Szigetszentmiklós"/>
    <d v="2026-03-22T00:00:00"/>
    <s v="Berki Tamás - Victory"/>
    <x v="0"/>
  </r>
  <r>
    <x v="23"/>
    <s v="HUN"/>
    <n v="0"/>
    <m/>
    <s v="Szigetszentmiklós"/>
    <d v="2026-03-22T00:00:00"/>
    <s v="Odorics Zétény - Rakurai"/>
    <x v="0"/>
  </r>
  <r>
    <x v="14"/>
    <s v="HUN"/>
    <n v="0"/>
    <m/>
    <s v="Szigetszentmiklós"/>
    <d v="2026-03-22T00:00:00"/>
    <s v="Tóth Marcell Kevin - Nozomu Dojo"/>
    <x v="0"/>
  </r>
  <r>
    <x v="50"/>
    <s v="HUN"/>
    <n v="10"/>
    <m/>
    <s v="Szigetszentmiklós"/>
    <d v="2026-03-22T00:00:00"/>
    <s v="Hegedűs Botond - Keizoku SE"/>
    <x v="0"/>
  </r>
  <r>
    <x v="17"/>
    <s v="HUN"/>
    <n v="7"/>
    <m/>
    <s v="Szigetszentmiklós"/>
    <d v="2026-03-22T00:00:00"/>
    <s v="Nagy Zétény - BHMSE"/>
    <x v="0"/>
  </r>
  <r>
    <x v="3"/>
    <s v="HUN"/>
    <n v="5"/>
    <m/>
    <s v="Szigetszentmiklós"/>
    <d v="2026-03-22T00:00:00"/>
    <s v="Tarr Bence - Shogun"/>
    <x v="0"/>
  </r>
  <r>
    <x v="3"/>
    <s v="HUN"/>
    <n v="5"/>
    <m/>
    <s v="Szigetszentmiklós"/>
    <d v="2026-03-22T00:00:00"/>
    <s v="Eszenyi Barnabás - Shogun"/>
    <x v="0"/>
  </r>
  <r>
    <x v="26"/>
    <s v="HUN"/>
    <n v="3"/>
    <m/>
    <s v="Szigetszentmiklós"/>
    <d v="2026-03-22T00:00:00"/>
    <s v="Virág Oszkár - Rokku KKSE"/>
    <x v="0"/>
  </r>
  <r>
    <x v="3"/>
    <s v="HUN"/>
    <n v="3"/>
    <m/>
    <s v="Szigetszentmiklós"/>
    <d v="2026-03-22T00:00:00"/>
    <s v="Pajkos Dominik - Shogun"/>
    <x v="0"/>
  </r>
  <r>
    <x v="17"/>
    <s v="HUN"/>
    <n v="3"/>
    <m/>
    <s v="Szigetszentmiklós"/>
    <d v="2026-03-22T00:00:00"/>
    <s v="Eperjesi Dávid - BHMSE"/>
    <x v="0"/>
  </r>
  <r>
    <x v="30"/>
    <s v="HUN"/>
    <n v="3"/>
    <m/>
    <s v="Szigetszentmiklós"/>
    <d v="2026-03-22T00:00:00"/>
    <s v="Kőszegfalvi Csanád - Shinkyo SE"/>
    <x v="0"/>
  </r>
  <r>
    <x v="3"/>
    <s v="HUN"/>
    <n v="0"/>
    <m/>
    <s v="Szigetszentmiklós"/>
    <d v="2026-03-22T00:00:00"/>
    <s v="Némethy Balázs - Shogun"/>
    <x v="0"/>
  </r>
  <r>
    <x v="15"/>
    <s v="HUN"/>
    <n v="0"/>
    <m/>
    <s v="Szigetszentmiklós"/>
    <d v="2026-03-22T00:00:00"/>
    <s v="Árendás Botond - KSE Tarján"/>
    <x v="0"/>
  </r>
  <r>
    <x v="50"/>
    <s v="HUN"/>
    <n v="0"/>
    <m/>
    <s v="Szigetszentmiklós"/>
    <d v="2026-03-22T00:00:00"/>
    <s v="Kiss Adrián - Keizoku SE"/>
    <x v="0"/>
  </r>
  <r>
    <x v="17"/>
    <s v="HUN"/>
    <n v="0"/>
    <m/>
    <s v="Szigetszentmiklós"/>
    <d v="2026-03-22T00:00:00"/>
    <s v="Kárász Dániel - BHMSE"/>
    <x v="0"/>
  </r>
  <r>
    <x v="23"/>
    <s v="HUN"/>
    <n v="0"/>
    <m/>
    <s v="Szigetszentmiklós"/>
    <d v="2026-03-22T00:00:00"/>
    <s v="Hidegh Krisztián - Rakurai"/>
    <x v="0"/>
  </r>
  <r>
    <x v="17"/>
    <s v="HUN"/>
    <n v="0"/>
    <m/>
    <s v="Szigetszentmiklós"/>
    <d v="2026-03-22T00:00:00"/>
    <s v="Hernádi Bere - BHMSE"/>
    <x v="0"/>
  </r>
  <r>
    <x v="17"/>
    <s v="HUN"/>
    <n v="0"/>
    <m/>
    <s v="Szigetszentmiklós"/>
    <d v="2026-03-22T00:00:00"/>
    <s v="Gombos-Weidinger Zsombor - BHMSE"/>
    <x v="0"/>
  </r>
  <r>
    <x v="3"/>
    <s v="HUN"/>
    <n v="0"/>
    <m/>
    <s v="Szigetszentmiklós"/>
    <d v="2026-03-22T00:00:00"/>
    <s v="Bervanger Bálint - Shogun"/>
    <x v="0"/>
  </r>
  <r>
    <x v="17"/>
    <s v="HUN"/>
    <n v="10"/>
    <m/>
    <s v="Szigetszentmiklós"/>
    <d v="2026-03-22T00:00:00"/>
    <s v="Jakubovics Nikolett - BHMSE"/>
    <x v="0"/>
  </r>
  <r>
    <x v="17"/>
    <s v="HUN"/>
    <n v="8"/>
    <m/>
    <s v="Szigetszentmiklós"/>
    <d v="2026-03-22T00:00:00"/>
    <s v="Domján-Herbat Réka - BHMSE"/>
    <x v="0"/>
  </r>
  <r>
    <x v="3"/>
    <s v="HUN"/>
    <n v="6"/>
    <m/>
    <s v="Szigetszentmiklós"/>
    <d v="2026-03-22T00:00:00"/>
    <s v="Fürjesi Eszter - Shogun"/>
    <x v="0"/>
  </r>
  <r>
    <x v="23"/>
    <s v="HUN"/>
    <n v="6"/>
    <m/>
    <s v="Szigetszentmiklós"/>
    <d v="2026-03-22T00:00:00"/>
    <s v="Horváth Boróka - Rakurai"/>
    <x v="0"/>
  </r>
  <r>
    <x v="23"/>
    <s v="HUN"/>
    <n v="3"/>
    <m/>
    <s v="Szigetszentmiklós"/>
    <d v="2026-03-22T00:00:00"/>
    <s v="Rudi Noémi - Rakurai"/>
    <x v="0"/>
  </r>
  <r>
    <x v="48"/>
    <s v="HUN"/>
    <n v="0"/>
    <s v="nem volt nyertes mérkőzése"/>
    <s v="Szigetszentmiklós"/>
    <d v="2026-03-22T00:00:00"/>
    <s v="Ungai Eszter - Hajdúszoboszló"/>
    <x v="0"/>
  </r>
  <r>
    <x v="0"/>
    <s v="HUN"/>
    <n v="0"/>
    <s v="nem volt nyertes mérkőzése"/>
    <s v="Szigetszentmiklós"/>
    <d v="2026-03-22T00:00:00"/>
    <s v="Kigó Boróka - Victory"/>
    <x v="0"/>
  </r>
  <r>
    <x v="20"/>
    <s v="HUN"/>
    <n v="0"/>
    <s v="nem volt nyertes mérkőzése"/>
    <s v="Szigetszentmiklós"/>
    <d v="2026-03-22T00:00:00"/>
    <s v="Pődör Panka - Griff SE"/>
    <x v="0"/>
  </r>
  <r>
    <x v="46"/>
    <s v="HUN"/>
    <n v="0"/>
    <m/>
    <s v="Szigetszentmiklós"/>
    <d v="2026-03-22T00:00:00"/>
    <s v="Varga Zoé - Kemecse SE"/>
    <x v="0"/>
  </r>
  <r>
    <x v="46"/>
    <s v="HUN"/>
    <n v="0"/>
    <m/>
    <s v="Szigetszentmiklós"/>
    <d v="2026-03-22T00:00:00"/>
    <s v="Huszár Hanna - Kemecse SE"/>
    <x v="0"/>
  </r>
  <r>
    <x v="46"/>
    <s v="HUN"/>
    <n v="0"/>
    <m/>
    <s v="Szigetszentmiklós"/>
    <d v="2026-03-22T00:00:00"/>
    <s v="Szőllősi Hanna - Kemecse SE"/>
    <x v="0"/>
  </r>
  <r>
    <x v="0"/>
    <s v="HUN"/>
    <n v="0"/>
    <m/>
    <s v="Szigetszentmiklós"/>
    <d v="2026-03-22T00:00:00"/>
    <s v="Fagbola Esther - Victory"/>
    <x v="0"/>
  </r>
  <r>
    <x v="2"/>
    <s v="HUN"/>
    <n v="0"/>
    <m/>
    <s v="Szigetszentmiklós"/>
    <d v="2026-03-22T00:00:00"/>
    <s v="Téglási Kamilla - Kisvárda KKDOSC"/>
    <x v="0"/>
  </r>
  <r>
    <x v="17"/>
    <s v="HUN"/>
    <n v="0"/>
    <m/>
    <s v="Szigetszentmiklós"/>
    <d v="2026-03-22T00:00:00"/>
    <s v="Spanjevic Frida - BHMSE"/>
    <x v="0"/>
  </r>
  <r>
    <x v="45"/>
    <s v="HUN"/>
    <n v="10"/>
    <m/>
    <s v="Szigetszentmiklós"/>
    <d v="2026-03-22T00:00:00"/>
    <s v="Marjai Boglárka - Kelemen-Team"/>
    <x v="0"/>
  </r>
  <r>
    <x v="18"/>
    <s v="HUN"/>
    <n v="8"/>
    <m/>
    <s v="Szigetszentmiklós"/>
    <d v="2026-03-22T00:00:00"/>
    <s v="Czekmeiszter Maja Lili - Bátor KSE"/>
    <x v="0"/>
  </r>
  <r>
    <x v="16"/>
    <s v="HUN"/>
    <n v="6"/>
    <m/>
    <s v="Szigetszentmiklós"/>
    <d v="2026-03-22T00:00:00"/>
    <s v="Kocsis Angéla - Genbu dojo"/>
    <x v="1"/>
  </r>
  <r>
    <x v="4"/>
    <s v="HUN"/>
    <n v="6"/>
    <m/>
    <s v="Szigetszentmiklós"/>
    <d v="2026-03-22T00:00:00"/>
    <s v="Janás Mia - Főnix Dojo"/>
    <x v="0"/>
  </r>
  <r>
    <x v="17"/>
    <s v="HUN"/>
    <n v="0"/>
    <s v="nem volt nyertes mérkőzése"/>
    <s v="Szigetszentmiklós"/>
    <d v="2026-03-22T00:00:00"/>
    <s v="Barta-Gaál Adóra - BHMSE"/>
    <x v="0"/>
  </r>
  <r>
    <x v="16"/>
    <s v="HUN"/>
    <n v="0"/>
    <s v="nem volt nyertes mérkőzése"/>
    <s v="Szigetszentmiklós"/>
    <d v="2026-03-22T00:00:00"/>
    <s v="Kocsis Nóra - Genbu dojo"/>
    <x v="1"/>
  </r>
  <r>
    <x v="53"/>
    <s v="HUN"/>
    <n v="3"/>
    <m/>
    <s v="Szigetszentmiklós"/>
    <d v="2026-03-22T00:00:00"/>
    <s v="Szabó Lilla - ShinzóDojo"/>
    <x v="0"/>
  </r>
  <r>
    <x v="3"/>
    <s v="HUN"/>
    <n v="3"/>
    <m/>
    <s v="Szigetszentmiklós"/>
    <d v="2026-03-22T00:00:00"/>
    <s v="Dászkál Dorottya - Shogun"/>
    <x v="0"/>
  </r>
  <r>
    <x v="29"/>
    <s v="HUN"/>
    <n v="0"/>
    <m/>
    <s v="Szigetszentmiklós"/>
    <d v="2026-03-22T00:00:00"/>
    <s v="Garamszegi Szófia - WARRIORS TEAM"/>
    <x v="0"/>
  </r>
  <r>
    <x v="26"/>
    <s v="HUN"/>
    <n v="0"/>
    <m/>
    <s v="Szigetszentmiklós"/>
    <d v="2026-03-22T00:00:00"/>
    <s v="Papp Dorottya - Rokku KKSE"/>
    <x v="0"/>
  </r>
  <r>
    <x v="2"/>
    <s v="HUN"/>
    <n v="0"/>
    <m/>
    <s v="Szigetszentmiklós"/>
    <d v="2026-03-22T00:00:00"/>
    <s v="Sajtos Luca - Kisvárda KKDOSC"/>
    <x v="0"/>
  </r>
  <r>
    <x v="0"/>
    <s v="HUN"/>
    <n v="0"/>
    <m/>
    <s v="Szigetszentmiklós"/>
    <d v="2026-03-22T00:00:00"/>
    <s v="MOLNÁR MINKA - Victory"/>
    <x v="0"/>
  </r>
  <r>
    <x v="15"/>
    <s v="HUN"/>
    <n v="0"/>
    <m/>
    <s v="Szigetszentmiklós"/>
    <d v="2026-03-22T00:00:00"/>
    <s v="Baranya Lilla - KSE Tarján"/>
    <x v="0"/>
  </r>
  <r>
    <x v="19"/>
    <s v="HUN"/>
    <n v="0"/>
    <m/>
    <s v="Szigetszentmiklós"/>
    <d v="2026-03-22T00:00:00"/>
    <s v="Vig Boglárka - VTSE"/>
    <x v="1"/>
  </r>
  <r>
    <x v="24"/>
    <s v="HUN"/>
    <n v="0"/>
    <m/>
    <s v="Szigetszentmiklós"/>
    <d v="2026-03-22T00:00:00"/>
    <s v="Tóth Arina Bejke - Nagykátai Bushido SE"/>
    <x v="0"/>
  </r>
  <r>
    <x v="4"/>
    <s v="HUN"/>
    <n v="0"/>
    <m/>
    <s v="Szigetszentmiklós"/>
    <d v="2026-03-22T00:00:00"/>
    <s v="Szombath Jázmin - Főnix Dojo"/>
    <x v="0"/>
  </r>
  <r>
    <x v="27"/>
    <s v="HUN"/>
    <n v="0"/>
    <m/>
    <s v="Szigetszentmiklós"/>
    <d v="2026-03-22T00:00:00"/>
    <s v="Rabi-Szita Emese - Meiyo dojo"/>
    <x v="0"/>
  </r>
  <r>
    <x v="0"/>
    <s v="HUN"/>
    <n v="8"/>
    <m/>
    <s v="Szigetszentmiklós"/>
    <d v="2026-03-22T00:00:00"/>
    <s v="MOLNÁR MINKA - Victory"/>
    <x v="0"/>
  </r>
  <r>
    <x v="0"/>
    <s v="HUN"/>
    <n v="6"/>
    <m/>
    <s v="Szigetszentmiklós"/>
    <d v="2026-03-22T00:00:00"/>
    <s v="Fagbola Esther - Victory"/>
    <x v="0"/>
  </r>
  <r>
    <x v="21"/>
    <s v="HUN"/>
    <n v="4"/>
    <m/>
    <s v="Szigetszentmiklós"/>
    <d v="2026-03-22T00:00:00"/>
    <s v="Damu Zsanett - Kagami"/>
    <x v="0"/>
  </r>
  <r>
    <x v="17"/>
    <s v="HUN"/>
    <n v="4"/>
    <m/>
    <s v="Szigetszentmiklós"/>
    <d v="2026-03-22T00:00:00"/>
    <s v="Jakubovics Nikolett - BHMSE"/>
    <x v="0"/>
  </r>
  <r>
    <x v="46"/>
    <s v="HUN"/>
    <n v="2"/>
    <m/>
    <s v="Szigetszentmiklós"/>
    <d v="2026-03-22T00:00:00"/>
    <s v="Varga Zoé - Kemecse SE"/>
    <x v="0"/>
  </r>
  <r>
    <x v="17"/>
    <s v="HUN"/>
    <n v="2"/>
    <m/>
    <s v="Szigetszentmiklós"/>
    <d v="2026-03-22T00:00:00"/>
    <s v="Domján-Herbat Réka - BHMSE"/>
    <x v="0"/>
  </r>
  <r>
    <x v="45"/>
    <s v="HUN"/>
    <n v="2"/>
    <m/>
    <s v="Szigetszentmiklós"/>
    <d v="2026-03-22T00:00:00"/>
    <s v="Cserép Nóra - Kelemen-Team"/>
    <x v="0"/>
  </r>
  <r>
    <x v="27"/>
    <s v="HUN"/>
    <n v="2"/>
    <m/>
    <s v="Szigetszentmiklós"/>
    <d v="2026-03-22T00:00:00"/>
    <s v="Rabi-Szita Emese - Meiyo dojo"/>
    <x v="0"/>
  </r>
  <r>
    <x v="2"/>
    <s v="HUN"/>
    <n v="0"/>
    <m/>
    <s v="Szigetszentmiklós"/>
    <d v="2026-03-22T00:00:00"/>
    <s v="Téglási Kamilla - Kisvárda KKDOSC"/>
    <x v="0"/>
  </r>
  <r>
    <x v="46"/>
    <s v="HUN"/>
    <n v="0"/>
    <m/>
    <s v="Szigetszentmiklós"/>
    <d v="2026-03-22T00:00:00"/>
    <s v="Huszár Hanna - Kemecse SE"/>
    <x v="0"/>
  </r>
  <r>
    <x v="9"/>
    <s v="HUN"/>
    <n v="0"/>
    <m/>
    <s v="Szigetszentmiklós"/>
    <d v="2026-03-22T00:00:00"/>
    <s v="Gergácz Izabella - Beledi KÉSZ SE"/>
    <x v="1"/>
  </r>
  <r>
    <x v="3"/>
    <s v="HUN"/>
    <n v="0"/>
    <m/>
    <s v="Szigetszentmiklós"/>
    <d v="2026-03-22T00:00:00"/>
    <s v="Fürjesi Eszter - Shogun"/>
    <x v="0"/>
  </r>
  <r>
    <x v="23"/>
    <s v="HUN"/>
    <n v="0"/>
    <m/>
    <s v="Szigetszentmiklós"/>
    <d v="2026-03-22T00:00:00"/>
    <s v="Rudi Noémi - Rakurai"/>
    <x v="0"/>
  </r>
  <r>
    <x v="17"/>
    <s v="HUN"/>
    <n v="0"/>
    <m/>
    <s v="Szigetszentmiklós"/>
    <d v="2026-03-22T00:00:00"/>
    <s v="Spanjevic Frida - BHMSE"/>
    <x v="0"/>
  </r>
  <r>
    <x v="3"/>
    <s v="HUN"/>
    <n v="0"/>
    <m/>
    <s v="Szigetszentmiklós"/>
    <d v="2026-03-22T00:00:00"/>
    <s v="Kis Emma - Shogun"/>
    <x v="0"/>
  </r>
  <r>
    <x v="17"/>
    <s v="HUN"/>
    <n v="0"/>
    <m/>
    <s v="Szigetszentmiklós"/>
    <d v="2026-03-22T00:00:00"/>
    <s v="Barta-Gaál Adóra - BHMSE"/>
    <x v="0"/>
  </r>
  <r>
    <x v="7"/>
    <s v="HUN"/>
    <n v="8"/>
    <m/>
    <s v="Szigetszentmiklós"/>
    <d v="2026-03-22T00:00:00"/>
    <s v="Veress Dávid - KHSE"/>
    <x v="0"/>
  </r>
  <r>
    <x v="0"/>
    <s v="HUN"/>
    <n v="6"/>
    <m/>
    <s v="Szigetszentmiklós"/>
    <d v="2026-03-22T00:00:00"/>
    <s v="Melczner Márk - Victory"/>
    <x v="0"/>
  </r>
  <r>
    <x v="47"/>
    <s v="HUN"/>
    <n v="4"/>
    <m/>
    <s v="Szigetszentmiklós"/>
    <d v="2026-03-22T00:00:00"/>
    <s v="Kis Ádám Zsolt - KYO Fighter SE"/>
    <x v="0"/>
  </r>
  <r>
    <x v="17"/>
    <s v="HUN"/>
    <n v="0"/>
    <s v="nem volt nyertes mérkőzése"/>
    <s v="Szigetszentmiklós"/>
    <d v="2026-03-22T00:00:00"/>
    <s v="Sövér Levente - BHMSE"/>
    <x v="0"/>
  </r>
  <r>
    <x v="48"/>
    <s v="HUN"/>
    <n v="0"/>
    <m/>
    <s v="Szigetszentmiklós"/>
    <d v="2026-03-22T00:00:00"/>
    <s v="Ungai Ferenc - Hajdúszoboszló"/>
    <x v="0"/>
  </r>
  <r>
    <x v="7"/>
    <s v="HUN"/>
    <n v="0"/>
    <m/>
    <s v="Szigetszentmiklós"/>
    <d v="2026-03-22T00:00:00"/>
    <s v="Andrési Balázs - KHSE"/>
    <x v="0"/>
  </r>
  <r>
    <x v="23"/>
    <s v="HUN"/>
    <n v="0"/>
    <m/>
    <s v="Szigetszentmiklós"/>
    <d v="2026-03-22T00:00:00"/>
    <s v="Kleé Krisztián - Rakurai"/>
    <x v="0"/>
  </r>
  <r>
    <x v="28"/>
    <s v="HUN"/>
    <n v="10"/>
    <m/>
    <s v="Szigetszentmiklós"/>
    <d v="2026-03-22T00:00:00"/>
    <s v="Bárkovics Áron - KKE - Spartacus"/>
    <x v="0"/>
  </r>
  <r>
    <x v="3"/>
    <s v="HUN"/>
    <n v="8"/>
    <m/>
    <s v="Szigetszentmiklós"/>
    <d v="2026-03-22T00:00:00"/>
    <s v="Békési Nándor István - Shogun"/>
    <x v="0"/>
  </r>
  <r>
    <x v="7"/>
    <s v="HUN"/>
    <n v="6"/>
    <m/>
    <s v="Szigetszentmiklós"/>
    <d v="2026-03-22T00:00:00"/>
    <s v="Takács Sárkány Balázs - KHSE"/>
    <x v="0"/>
  </r>
  <r>
    <x v="23"/>
    <s v="HUN"/>
    <n v="6"/>
    <m/>
    <s v="Szigetszentmiklós"/>
    <d v="2026-03-22T00:00:00"/>
    <s v="Hidegh Flórián - Rakurai"/>
    <x v="0"/>
  </r>
  <r>
    <x v="22"/>
    <s v="HUN"/>
    <n v="0"/>
    <s v="nem volt nyertes mérkőzése"/>
    <s v="Szigetszentmiklós"/>
    <d v="2026-03-22T00:00:00"/>
    <s v="Jankovics Marcell - Siófok KSE"/>
    <x v="0"/>
  </r>
  <r>
    <x v="23"/>
    <s v="HUN"/>
    <n v="0"/>
    <s v="nem volt nyertes mérkőzése"/>
    <s v="Szigetszentmiklós"/>
    <d v="2026-03-22T00:00:00"/>
    <s v="Rudi Gergő - Rakurai"/>
    <x v="0"/>
  </r>
  <r>
    <x v="0"/>
    <s v="HUN"/>
    <n v="0"/>
    <s v="nem volt nyertes mérkőzése"/>
    <s v="Szigetszentmiklós"/>
    <d v="2026-03-22T00:00:00"/>
    <s v="Kovács Marcell András - Victory"/>
    <x v="0"/>
  </r>
  <r>
    <x v="19"/>
    <s v="HUN"/>
    <n v="0"/>
    <s v="nem volt nyertes mérkőzése"/>
    <s v="Szigetszentmiklós"/>
    <d v="2026-03-22T00:00:00"/>
    <s v="Béres Bence - VTSE"/>
    <x v="1"/>
  </r>
  <r>
    <x v="3"/>
    <s v="HUN"/>
    <n v="10"/>
    <m/>
    <s v="Szigetszentmiklós"/>
    <d v="2026-03-22T00:00:00"/>
    <s v="Remenyik Dániel - Shogun"/>
    <x v="0"/>
  </r>
  <r>
    <x v="28"/>
    <s v="HUN"/>
    <n v="8"/>
    <m/>
    <s v="Szigetszentmiklós"/>
    <d v="2026-03-22T00:00:00"/>
    <s v="Tóth Kornél - KKE - Spartacus"/>
    <x v="0"/>
  </r>
  <r>
    <x v="15"/>
    <s v="HUN"/>
    <n v="6"/>
    <m/>
    <s v="Szigetszentmiklós"/>
    <d v="2026-03-22T00:00:00"/>
    <s v="Antal Dániel Kristóf - KSE Tarján"/>
    <x v="0"/>
  </r>
  <r>
    <x v="12"/>
    <s v="HUN"/>
    <n v="6"/>
    <m/>
    <s v="Szigetszentmiklós"/>
    <d v="2026-03-22T00:00:00"/>
    <s v="Pista Áron - Bendiák Dojo"/>
    <x v="0"/>
  </r>
  <r>
    <x v="18"/>
    <s v="HUN"/>
    <n v="3"/>
    <m/>
    <s v="Szigetszentmiklós"/>
    <d v="2026-03-22T00:00:00"/>
    <s v="Szymon Fraczek - Bátor KSE"/>
    <x v="0"/>
  </r>
  <r>
    <x v="54"/>
    <s v="HUN"/>
    <n v="3"/>
    <m/>
    <s v="Szigetszentmiklós"/>
    <d v="2026-03-22T00:00:00"/>
    <s v="Turcsán Barnabás - Borza Dojo"/>
    <x v="1"/>
  </r>
  <r>
    <x v="33"/>
    <s v="HUN"/>
    <n v="0"/>
    <s v="nem volt nyertes mérkőzése"/>
    <s v="Szigetszentmiklós"/>
    <d v="2026-03-22T00:00:00"/>
    <s v="Tóth Benedek - Ichiro Dojo"/>
    <x v="1"/>
  </r>
  <r>
    <x v="23"/>
    <s v="HUN"/>
    <n v="0"/>
    <s v="nem volt nyertes mérkőzése"/>
    <s v="Szigetszentmiklós"/>
    <d v="2026-03-22T00:00:00"/>
    <s v="Kámán Márton - Rakurai"/>
    <x v="0"/>
  </r>
  <r>
    <x v="32"/>
    <s v="HUN"/>
    <n v="0"/>
    <m/>
    <s v="Szigetszentmiklós"/>
    <d v="2026-03-22T00:00:00"/>
    <s v="Tarjányi Zétény Ferenc - ARSC"/>
    <x v="0"/>
  </r>
  <r>
    <x v="20"/>
    <s v="HUN"/>
    <n v="0"/>
    <m/>
    <s v="Szigetszentmiklós"/>
    <d v="2026-03-22T00:00:00"/>
    <s v="Halász Zente - Griff SE"/>
    <x v="0"/>
  </r>
  <r>
    <x v="19"/>
    <s v="HUN"/>
    <n v="10"/>
    <m/>
    <s v="Szigetszentmiklós"/>
    <d v="2026-03-22T00:00:00"/>
    <s v="Vig Bendegúz - VTSE"/>
    <x v="1"/>
  </r>
  <r>
    <x v="19"/>
    <s v="HUN"/>
    <n v="8"/>
    <m/>
    <s v="Szigetszentmiklós"/>
    <d v="2026-03-22T00:00:00"/>
    <s v="Viszugyel Bálint - VTSE"/>
    <x v="1"/>
  </r>
  <r>
    <x v="2"/>
    <s v="HUN"/>
    <n v="6"/>
    <m/>
    <s v="Szigetszentmiklós"/>
    <d v="2026-03-22T00:00:00"/>
    <s v="Tángyes Ricardo - Kisvárda KKDOSC"/>
    <x v="0"/>
  </r>
  <r>
    <x v="15"/>
    <s v="HUN"/>
    <n v="6"/>
    <m/>
    <s v="Szigetszentmiklós"/>
    <d v="2026-03-22T00:00:00"/>
    <s v="Szabó Levente Botond - KSE Tarján"/>
    <x v="0"/>
  </r>
  <r>
    <x v="17"/>
    <s v="HUN"/>
    <n v="0"/>
    <s v="nem volt nyertes mérkőzése"/>
    <s v="Szigetszentmiklós"/>
    <d v="2026-03-22T00:00:00"/>
    <s v="Ferenczhalmy Félix - BHMSE"/>
    <x v="0"/>
  </r>
  <r>
    <x v="49"/>
    <s v="HUN"/>
    <n v="3"/>
    <m/>
    <s v="Szigetszentmiklós"/>
    <d v="2026-03-22T00:00:00"/>
    <s v="Szabó Dominik - Buke Reikon HRSE"/>
    <x v="0"/>
  </r>
  <r>
    <x v="26"/>
    <s v="HUN"/>
    <n v="3"/>
    <m/>
    <s v="Szigetszentmiklós"/>
    <d v="2026-03-22T00:00:00"/>
    <s v="Bánfi Botond - Rokku KKSE"/>
    <x v="0"/>
  </r>
  <r>
    <x v="49"/>
    <s v="HUN"/>
    <n v="0"/>
    <s v="nem volt nyertes mérkőzése"/>
    <s v="Szigetszentmiklós"/>
    <d v="2026-03-22T00:00:00"/>
    <s v="Sádt Zétény - Buke Reikon HRSE"/>
    <x v="0"/>
  </r>
  <r>
    <x v="4"/>
    <s v="HUN"/>
    <n v="0"/>
    <m/>
    <s v="Szigetszentmiklós"/>
    <d v="2026-03-22T00:00:00"/>
    <s v="Munkácsi Ádám - Főnix Dojo"/>
    <x v="0"/>
  </r>
  <r>
    <x v="26"/>
    <s v="HUN"/>
    <n v="0"/>
    <m/>
    <s v="Szigetszentmiklós"/>
    <d v="2026-03-22T00:00:00"/>
    <s v="Hadnagy Barnabás - Rokku KKSE"/>
    <x v="0"/>
  </r>
  <r>
    <x v="3"/>
    <s v="HUN"/>
    <n v="0"/>
    <m/>
    <s v="Szigetszentmiklós"/>
    <d v="2026-03-22T00:00:00"/>
    <s v="Szutor Levente - Shogun"/>
    <x v="0"/>
  </r>
  <r>
    <x v="23"/>
    <s v="HUN"/>
    <n v="0"/>
    <m/>
    <s v="Szigetszentmiklós"/>
    <d v="2026-03-22T00:00:00"/>
    <s v="Villasenor Babos Viktor Éliás - Rakurai"/>
    <x v="0"/>
  </r>
  <r>
    <x v="14"/>
    <s v="HUN"/>
    <n v="0"/>
    <m/>
    <s v="Szigetszentmiklós"/>
    <d v="2026-03-22T00:00:00"/>
    <s v="Riczu Bendegúz - Nozomu Dojo"/>
    <x v="0"/>
  </r>
  <r>
    <x v="26"/>
    <s v="HUN"/>
    <n v="0"/>
    <m/>
    <s v="Szigetszentmiklós"/>
    <d v="2026-03-22T00:00:00"/>
    <s v="Salga Márton - Rokku KKSE"/>
    <x v="0"/>
  </r>
  <r>
    <x v="7"/>
    <s v="HUN"/>
    <n v="4"/>
    <m/>
    <s v="Szigetszentmiklós"/>
    <d v="2026-03-22T00:00:00"/>
    <s v="Virág Marcell Máté - KHSE"/>
    <x v="0"/>
  </r>
  <r>
    <x v="49"/>
    <s v="HUN"/>
    <n v="0"/>
    <m/>
    <s v="Szigetszentmiklós"/>
    <d v="2026-03-22T00:00:00"/>
    <s v="Simon Timon - Buke Reikon HRSE"/>
    <x v="0"/>
  </r>
  <r>
    <x v="23"/>
    <s v="HUN"/>
    <n v="0"/>
    <m/>
    <s v="Szigetszentmiklós"/>
    <d v="2026-03-22T00:00:00"/>
    <s v="Finta Csanád - Rakurai"/>
    <x v="0"/>
  </r>
  <r>
    <x v="4"/>
    <s v="HUN"/>
    <n v="0"/>
    <m/>
    <s v="Szigetszentmiklós"/>
    <d v="2026-03-22T00:00:00"/>
    <s v="Gaál-Vajai Tamás - Főnix Dojo"/>
    <x v="0"/>
  </r>
  <r>
    <x v="23"/>
    <s v="HUN"/>
    <n v="0"/>
    <m/>
    <s v="Szigetszentmiklós"/>
    <d v="2026-03-22T00:00:00"/>
    <s v="Nagy Nimród - Rakurai"/>
    <x v="0"/>
  </r>
  <r>
    <x v="51"/>
    <s v="HUN"/>
    <n v="10"/>
    <m/>
    <s v="Szigetszentmiklós"/>
    <d v="2026-03-22T00:00:00"/>
    <s v="Száraz Zsombor - Derecske BUDO"/>
    <x v="0"/>
  </r>
  <r>
    <x v="7"/>
    <s v="HUN"/>
    <n v="8"/>
    <m/>
    <s v="Szigetszentmiklós"/>
    <d v="2026-03-22T00:00:00"/>
    <s v="Tokaji Bocsárd Norbert - KHSE"/>
    <x v="0"/>
  </r>
  <r>
    <x v="34"/>
    <s v="HUN"/>
    <n v="6"/>
    <m/>
    <s v="Szigetszentmiklós"/>
    <d v="2026-03-22T00:00:00"/>
    <s v="Kárpáti Bence - Cs.S.E."/>
    <x v="0"/>
  </r>
  <r>
    <x v="47"/>
    <s v="HUN"/>
    <n v="6"/>
    <m/>
    <s v="Szigetszentmiklós"/>
    <d v="2026-03-22T00:00:00"/>
    <s v="Farkas Álmos - KYO Fighter SE"/>
    <x v="0"/>
  </r>
  <r>
    <x v="26"/>
    <s v="HUN"/>
    <n v="0"/>
    <s v="nem volt nyertes mérkőzése"/>
    <s v="Szigetszentmiklós"/>
    <d v="2026-03-22T00:00:00"/>
    <s v="Reinhofer Patrik - Rokku KKSE"/>
    <x v="0"/>
  </r>
  <r>
    <x v="33"/>
    <s v="HUN"/>
    <n v="0"/>
    <s v="nem volt nyertes mérkőzése"/>
    <s v="Szigetszentmiklós"/>
    <d v="2026-03-22T00:00:00"/>
    <s v="Adámi Áron - Ichiro Dojo"/>
    <x v="1"/>
  </r>
  <r>
    <x v="18"/>
    <s v="HUN"/>
    <n v="0"/>
    <s v="nem volt nyertes mérkőzése"/>
    <s v="Szigetszentmiklós"/>
    <d v="2026-03-22T00:00:00"/>
    <s v="Kovács Máté Noel - Bátor KSE"/>
    <x v="0"/>
  </r>
  <r>
    <x v="26"/>
    <s v="HUN"/>
    <n v="0"/>
    <s v="nem volt nyertes mérkőzése"/>
    <s v="Szigetszentmiklós"/>
    <d v="2026-03-22T00:00:00"/>
    <s v="Urszuly Noel - Rokku KKSE"/>
    <x v="0"/>
  </r>
  <r>
    <x v="23"/>
    <s v="HUN"/>
    <n v="0"/>
    <m/>
    <s v="Szigetszentmiklós"/>
    <d v="2026-03-22T00:00:00"/>
    <s v="Horváth Bence László - Rakurai"/>
    <x v="0"/>
  </r>
  <r>
    <x v="15"/>
    <s v="HUN"/>
    <n v="0"/>
    <m/>
    <s v="Szigetszentmiklós"/>
    <d v="2026-03-22T00:00:00"/>
    <s v="Varga Bence - KSE Tarján"/>
    <x v="0"/>
  </r>
  <r>
    <x v="21"/>
    <s v="HUN"/>
    <n v="10"/>
    <m/>
    <s v="Szigetszentmiklós"/>
    <d v="2026-03-22T00:00:00"/>
    <s v="Maklaga Norbert - Kagami"/>
    <x v="0"/>
  </r>
  <r>
    <x v="47"/>
    <s v="HUN"/>
    <n v="7"/>
    <m/>
    <s v="Szigetszentmiklós"/>
    <d v="2026-03-22T00:00:00"/>
    <s v="Kis Ádám Zsolt - KYO Fighter SE"/>
    <x v="0"/>
  </r>
  <r>
    <x v="15"/>
    <s v="HUN"/>
    <n v="5"/>
    <m/>
    <s v="Szigetszentmiklós"/>
    <d v="2026-03-22T00:00:00"/>
    <s v="Moosbauer Kevin - KSE Tarján"/>
    <x v="0"/>
  </r>
  <r>
    <x v="3"/>
    <s v="HUN"/>
    <n v="5"/>
    <m/>
    <s v="Szigetszentmiklós"/>
    <d v="2026-03-22T00:00:00"/>
    <s v="Remenyik Dániel - Shogun"/>
    <x v="0"/>
  </r>
  <r>
    <x v="3"/>
    <s v="HUN"/>
    <n v="3"/>
    <m/>
    <s v="Szigetszentmiklós"/>
    <d v="2026-03-22T00:00:00"/>
    <s v="Berényi Bence - Shogun"/>
    <x v="0"/>
  </r>
  <r>
    <x v="54"/>
    <s v="HUN"/>
    <n v="3"/>
    <m/>
    <s v="Szigetszentmiklós"/>
    <d v="2026-03-22T00:00:00"/>
    <s v="Kovács Mihály Ágoston - Borza Dojo"/>
    <x v="1"/>
  </r>
  <r>
    <x v="22"/>
    <s v="HUN"/>
    <n v="3"/>
    <m/>
    <s v="Szigetszentmiklós"/>
    <d v="2026-03-22T00:00:00"/>
    <s v="Jankovics Marcell - Siófok KSE"/>
    <x v="0"/>
  </r>
  <r>
    <x v="5"/>
    <s v="HUN"/>
    <n v="3"/>
    <m/>
    <s v="Szigetszentmiklós"/>
    <d v="2026-03-22T00:00:00"/>
    <s v="Avramov Dávid - TADASHII "/>
    <x v="1"/>
  </r>
  <r>
    <x v="34"/>
    <s v="HUN"/>
    <n v="0"/>
    <m/>
    <s v="Szigetszentmiklós"/>
    <d v="2026-03-22T00:00:00"/>
    <s v="Kárpáti Bence - Cs.S.E."/>
    <x v="0"/>
  </r>
  <r>
    <x v="32"/>
    <s v="HUN"/>
    <n v="0"/>
    <m/>
    <s v="Szigetszentmiklós"/>
    <d v="2026-03-22T00:00:00"/>
    <s v="Tarjányi Zétény Ferenc - ARSC"/>
    <x v="0"/>
  </r>
  <r>
    <x v="23"/>
    <s v="HUN"/>
    <n v="0"/>
    <m/>
    <s v="Szigetszentmiklós"/>
    <d v="2026-03-22T00:00:00"/>
    <s v="Kleé Krisztián - Rakurai"/>
    <x v="0"/>
  </r>
  <r>
    <x v="53"/>
    <s v="HUN"/>
    <n v="0"/>
    <m/>
    <s v="Szigetszentmiklós"/>
    <d v="2026-03-22T00:00:00"/>
    <s v="Patai Dávid - ShinzóDojo"/>
    <x v="0"/>
  </r>
  <r>
    <x v="17"/>
    <s v="HUN"/>
    <n v="0"/>
    <m/>
    <s v="Szigetszentmiklós"/>
    <d v="2026-03-22T00:00:00"/>
    <s v="Sövér Levente - BHMSE"/>
    <x v="0"/>
  </r>
  <r>
    <x v="47"/>
    <s v="HUN"/>
    <n v="0"/>
    <m/>
    <s v="Szigetszentmiklós"/>
    <d v="2026-03-22T00:00:00"/>
    <s v="Székely Lázár - KYO Fighter SE"/>
    <x v="0"/>
  </r>
  <r>
    <x v="54"/>
    <s v="HUN"/>
    <n v="0"/>
    <m/>
    <s v="Szigetszentmiklós"/>
    <d v="2026-03-22T00:00:00"/>
    <s v="Turcsán Barnabás - Borza Dojo"/>
    <x v="1"/>
  </r>
  <r>
    <x v="17"/>
    <s v="HUN"/>
    <n v="0"/>
    <m/>
    <s v="Szigetszentmiklós"/>
    <d v="2026-03-22T00:00:00"/>
    <s v="Ferenczhalmy Félix - BHMSE"/>
    <x v="0"/>
  </r>
  <r>
    <x v="23"/>
    <s v="HUN"/>
    <n v="6"/>
    <m/>
    <s v="Szigetszentmiklós"/>
    <d v="2026-03-22T00:00:00"/>
    <s v="Bogdán Szonja Boróka - Rakurai"/>
    <x v="0"/>
  </r>
  <r>
    <x v="52"/>
    <s v="HUN"/>
    <n v="4"/>
    <m/>
    <s v="Szigetszentmiklós"/>
    <d v="2026-03-22T00:00:00"/>
    <s v="Koszorus Brigitta - SONGOKU SE"/>
    <x v="0"/>
  </r>
  <r>
    <x v="22"/>
    <s v="HUN"/>
    <n v="0"/>
    <m/>
    <s v="Szigetszentmiklós"/>
    <d v="2026-03-22T00:00:00"/>
    <s v="Rékai Bianka - Siófok KSE"/>
    <x v="0"/>
  </r>
  <r>
    <x v="19"/>
    <s v="HUN"/>
    <n v="10"/>
    <m/>
    <s v="Szigetszentmiklós"/>
    <d v="2026-03-22T00:00:00"/>
    <s v="Reichert Hanna  - VTSE"/>
    <x v="1"/>
  </r>
  <r>
    <x v="50"/>
    <s v="HUN"/>
    <n v="8"/>
    <m/>
    <s v="Szigetszentmiklós"/>
    <d v="2026-03-22T00:00:00"/>
    <s v="Sóskuti Lili - Keizoku SE"/>
    <x v="0"/>
  </r>
  <r>
    <x v="36"/>
    <s v="HUN"/>
    <n v="6"/>
    <m/>
    <s v="Szigetszentmiklós"/>
    <d v="2026-03-22T00:00:00"/>
    <s v="Radnóti Lilla - POWER SE."/>
    <x v="0"/>
  </r>
  <r>
    <x v="23"/>
    <s v="HUN"/>
    <n v="6"/>
    <m/>
    <s v="Szigetszentmiklós"/>
    <d v="2026-03-22T00:00:00"/>
    <s v="Villasenor Babos Natália  - Rakurai"/>
    <x v="0"/>
  </r>
  <r>
    <x v="6"/>
    <s v="HUN"/>
    <n v="3"/>
    <m/>
    <s v="Szigetszentmiklós"/>
    <d v="2026-03-22T00:00:00"/>
    <s v="Papp Gréta - Castrum"/>
    <x v="0"/>
  </r>
  <r>
    <x v="4"/>
    <s v="HUN"/>
    <n v="3"/>
    <m/>
    <s v="Szigetszentmiklós"/>
    <d v="2026-03-22T00:00:00"/>
    <s v="Nagy Anna - Főnix Dojo"/>
    <x v="0"/>
  </r>
  <r>
    <x v="4"/>
    <s v="HUN"/>
    <n v="3"/>
    <m/>
    <s v="Szigetszentmiklós"/>
    <d v="2026-03-22T00:00:00"/>
    <s v="Gaál-Vajai Tamara - Főnix Dojo"/>
    <x v="0"/>
  </r>
  <r>
    <x v="29"/>
    <s v="HUN"/>
    <n v="3"/>
    <m/>
    <s v="Szigetszentmiklós"/>
    <d v="2026-03-22T00:00:00"/>
    <s v="Volenszki Adél - WARRIORS TEAM"/>
    <x v="0"/>
  </r>
  <r>
    <x v="29"/>
    <s v="HUN"/>
    <n v="0"/>
    <m/>
    <s v="Szigetszentmiklós"/>
    <d v="2026-03-22T00:00:00"/>
    <s v="Volenszki Mira - WARRIORS TEAM"/>
    <x v="0"/>
  </r>
  <r>
    <x v="29"/>
    <s v="HUN"/>
    <n v="0"/>
    <m/>
    <s v="Szigetszentmiklós"/>
    <d v="2026-03-22T00:00:00"/>
    <s v="Solymári Orsolya Dalma - WARRIORS TEAM"/>
    <x v="0"/>
  </r>
  <r>
    <x v="2"/>
    <s v="HUN"/>
    <n v="0"/>
    <m/>
    <s v="Szigetszentmiklós"/>
    <d v="2026-03-22T00:00:00"/>
    <s v="Szabó Lili - Kisvárda KKDOSC"/>
    <x v="0"/>
  </r>
  <r>
    <x v="37"/>
    <s v="HUN"/>
    <n v="0"/>
    <m/>
    <s v="Szigetszentmiklós"/>
    <d v="2026-03-22T00:00:00"/>
    <s v="Gazdag Csinszka - ASE Bulldog KKSZCS"/>
    <x v="0"/>
  </r>
  <r>
    <x v="47"/>
    <s v="HUN"/>
    <n v="0"/>
    <m/>
    <s v="Szigetszentmiklós"/>
    <d v="2026-03-22T00:00:00"/>
    <s v="Farkas Luca - KYO Fighter SE"/>
    <x v="0"/>
  </r>
  <r>
    <x v="49"/>
    <s v="HUN"/>
    <n v="0"/>
    <m/>
    <s v="Szigetszentmiklós"/>
    <d v="2026-03-22T00:00:00"/>
    <s v="Vida Zora - Buke Reikon HRSE"/>
    <x v="0"/>
  </r>
  <r>
    <x v="45"/>
    <s v="HUN"/>
    <n v="0"/>
    <m/>
    <s v="Szigetszentmiklós"/>
    <d v="2026-03-22T00:00:00"/>
    <s v="Gonda Lea - Kelemen-Team"/>
    <x v="0"/>
  </r>
  <r>
    <x v="36"/>
    <s v="HUN"/>
    <n v="0"/>
    <m/>
    <s v="Szigetszentmiklós"/>
    <d v="2026-03-22T00:00:00"/>
    <s v="Ványi Amira - POWER SE."/>
    <x v="0"/>
  </r>
  <r>
    <x v="29"/>
    <s v="HUN"/>
    <n v="8"/>
    <m/>
    <s v="Szigetszentmiklós"/>
    <d v="2026-03-22T00:00:00"/>
    <s v="Bennárik Bella - WARRIORS TEAM"/>
    <x v="0"/>
  </r>
  <r>
    <x v="46"/>
    <s v="HUN"/>
    <n v="6"/>
    <m/>
    <s v="Szigetszentmiklós"/>
    <d v="2026-03-22T00:00:00"/>
    <s v="Nándori Emma - Kemecse SE"/>
    <x v="0"/>
  </r>
  <r>
    <x v="15"/>
    <s v="HUN"/>
    <n v="4"/>
    <m/>
    <s v="Szigetszentmiklós"/>
    <d v="2026-03-22T00:00:00"/>
    <s v="Mészáros Lili Dóra - KSE Tarján"/>
    <x v="0"/>
  </r>
  <r>
    <x v="53"/>
    <s v="HUN"/>
    <n v="4"/>
    <m/>
    <s v="Szigetszentmiklós"/>
    <d v="2026-03-22T00:00:00"/>
    <s v="Szabó Zsófi - ShinzóDojo"/>
    <x v="0"/>
  </r>
  <r>
    <x v="6"/>
    <s v="HUN"/>
    <n v="0"/>
    <m/>
    <s v="Szigetszentmiklós"/>
    <d v="2026-03-22T00:00:00"/>
    <s v="Horváth Réka - Castrum"/>
    <x v="0"/>
  </r>
  <r>
    <x v="25"/>
    <s v="HUN"/>
    <n v="0"/>
    <m/>
    <s v="Szigetszentmiklós"/>
    <d v="2026-03-22T00:00:00"/>
    <s v="Kovács Maja - Katana SE"/>
    <x v="0"/>
  </r>
  <r>
    <x v="25"/>
    <s v="HUN"/>
    <n v="0"/>
    <m/>
    <s v="Szigetszentmiklós"/>
    <d v="2026-03-22T00:00:00"/>
    <s v="Szabó Anna Tímea - Katana SE"/>
    <x v="0"/>
  </r>
  <r>
    <x v="1"/>
    <s v="HUN"/>
    <n v="0"/>
    <m/>
    <s v="Szigetszentmiklós"/>
    <d v="2026-03-22T00:00:00"/>
    <s v="Abou Hussein Maya - Ippon KKSE"/>
    <x v="0"/>
  </r>
  <r>
    <x v="23"/>
    <s v="HUN"/>
    <n v="4"/>
    <m/>
    <s v="Szigetszentmiklós"/>
    <d v="2026-03-22T00:00:00"/>
    <s v="Bota Sára - Rakurai"/>
    <x v="0"/>
  </r>
  <r>
    <x v="1"/>
    <s v="HUN"/>
    <n v="0"/>
    <m/>
    <s v="Szigetszentmiklós"/>
    <d v="2026-03-22T00:00:00"/>
    <s v="Lukácsi Réka - Ippon KKSE"/>
    <x v="0"/>
  </r>
  <r>
    <x v="50"/>
    <s v="HUN"/>
    <n v="10"/>
    <m/>
    <s v="Szigetszentmiklós"/>
    <d v="2026-03-22T00:00:00"/>
    <s v="Csató Réka - Keizoku SE"/>
    <x v="0"/>
  </r>
  <r>
    <x v="7"/>
    <s v="HUN"/>
    <n v="8"/>
    <m/>
    <s v="Szigetszentmiklós"/>
    <d v="2026-03-22T00:00:00"/>
    <s v="Almási Petra - KHSE"/>
    <x v="0"/>
  </r>
  <r>
    <x v="17"/>
    <s v="HUN"/>
    <n v="6"/>
    <m/>
    <s v="Szigetszentmiklós"/>
    <d v="2026-03-22T00:00:00"/>
    <s v="Mihályi Tünde - BHMSE"/>
    <x v="0"/>
  </r>
  <r>
    <x v="13"/>
    <s v="HUN"/>
    <n v="4"/>
    <m/>
    <s v="Szigetszentmiklós"/>
    <d v="2026-03-22T00:00:00"/>
    <s v="Horváth Liliána - Kamikaze S"/>
    <x v="0"/>
  </r>
  <r>
    <x v="51"/>
    <s v="HUN"/>
    <n v="3"/>
    <m/>
    <s v="Szigetszentmiklós"/>
    <d v="2026-03-22T00:00:00"/>
    <s v="Hegyesi Mia - Derecske BUDO"/>
    <x v="0"/>
  </r>
  <r>
    <x v="46"/>
    <s v="HUN"/>
    <n v="10"/>
    <m/>
    <s v="Szigetszentmiklós"/>
    <d v="2026-03-22T00:00:00"/>
    <s v="Nándori Emma - Kemecse SE"/>
    <x v="0"/>
  </r>
  <r>
    <x v="53"/>
    <s v="HUN"/>
    <n v="7"/>
    <m/>
    <s v="Szigetszentmiklós"/>
    <d v="2026-03-22T00:00:00"/>
    <s v="Szabó Zsófi - ShinzóDojo"/>
    <x v="0"/>
  </r>
  <r>
    <x v="50"/>
    <s v="HUN"/>
    <n v="5"/>
    <m/>
    <s v="Szigetszentmiklós"/>
    <d v="2026-03-22T00:00:00"/>
    <s v="Csató Réka - Keizoku SE"/>
    <x v="0"/>
  </r>
  <r>
    <x v="25"/>
    <s v="HUN"/>
    <n v="5"/>
    <m/>
    <s v="Szigetszentmiklós"/>
    <d v="2026-03-22T00:00:00"/>
    <s v="Szabó Anna Tímea - Katana SE"/>
    <x v="0"/>
  </r>
  <r>
    <x v="15"/>
    <s v="HUN"/>
    <n v="3"/>
    <m/>
    <s v="Szigetszentmiklós"/>
    <d v="2026-03-22T00:00:00"/>
    <s v="Mészáros Lili Dóra - KSE Tarján"/>
    <x v="0"/>
  </r>
  <r>
    <x v="12"/>
    <s v="HUN"/>
    <n v="3"/>
    <m/>
    <s v="Szigetszentmiklós"/>
    <d v="2026-03-22T00:00:00"/>
    <s v="Novák Noémi - Bendiák Dojo"/>
    <x v="0"/>
  </r>
  <r>
    <x v="33"/>
    <s v="HUN"/>
    <n v="3"/>
    <m/>
    <s v="Szigetszentmiklós"/>
    <d v="2026-03-22T00:00:00"/>
    <s v="Szűcs Anna - Ichiro Dojo"/>
    <x v="1"/>
  </r>
  <r>
    <x v="36"/>
    <s v="HUN"/>
    <n v="3"/>
    <m/>
    <s v="Szigetszentmiklós"/>
    <d v="2026-03-22T00:00:00"/>
    <s v="Radnóti Lilla - POWER SE."/>
    <x v="0"/>
  </r>
  <r>
    <x v="38"/>
    <s v="HUN"/>
    <n v="0"/>
    <m/>
    <s v="Szigetszentmiklós"/>
    <d v="2026-03-22T00:00:00"/>
    <s v="Kovács Linett - RDKKSE"/>
    <x v="0"/>
  </r>
  <r>
    <x v="17"/>
    <s v="HUN"/>
    <n v="0"/>
    <m/>
    <s v="Szigetszentmiklós"/>
    <d v="2026-03-22T00:00:00"/>
    <s v="Mihályi Tünde - BHMSE"/>
    <x v="0"/>
  </r>
  <r>
    <x v="15"/>
    <s v="HUN"/>
    <n v="0"/>
    <m/>
    <s v="Szigetszentmiklós"/>
    <d v="2026-03-22T00:00:00"/>
    <s v="Orosz Elizabett - KSE Tarján"/>
    <x v="0"/>
  </r>
  <r>
    <x v="17"/>
    <s v="HUN"/>
    <n v="0"/>
    <m/>
    <s v="Szigetszentmiklós"/>
    <d v="2026-03-22T00:00:00"/>
    <s v="Horváth Dóra Lili - BHMSE"/>
    <x v="0"/>
  </r>
  <r>
    <x v="35"/>
    <s v="HUN"/>
    <n v="0"/>
    <m/>
    <s v="Szigetszentmiklós"/>
    <d v="2026-03-22T00:00:00"/>
    <s v="Gál Petra Andrea - Fitt KKSE"/>
    <x v="0"/>
  </r>
  <r>
    <x v="5"/>
    <s v="HUN"/>
    <n v="0"/>
    <m/>
    <s v="Szigetszentmiklós"/>
    <d v="2026-03-22T00:00:00"/>
    <s v="Kiss Jázmin - TADASHII "/>
    <x v="1"/>
  </r>
  <r>
    <x v="4"/>
    <s v="HUN"/>
    <n v="0"/>
    <m/>
    <s v="Szigetszentmiklós"/>
    <d v="2026-03-22T00:00:00"/>
    <s v="Gaál-Vajai Tamara - Főnix Dojo"/>
    <x v="0"/>
  </r>
  <r>
    <x v="25"/>
    <s v="HUN"/>
    <n v="0"/>
    <m/>
    <s v="Szigetszentmiklós"/>
    <d v="2026-03-22T00:00:00"/>
    <s v="Tóth-Krisó Míra - Katana SE"/>
    <x v="0"/>
  </r>
  <r>
    <x v="17"/>
    <s v="HUN"/>
    <n v="10"/>
    <m/>
    <s v="Szigetszentmiklós"/>
    <d v="2026-03-22T00:00:00"/>
    <s v="Gombos-Weidinger Barnabás - BHMSE"/>
    <x v="0"/>
  </r>
  <r>
    <x v="19"/>
    <s v="HUN"/>
    <n v="8"/>
    <m/>
    <s v="Szigetszentmiklós"/>
    <d v="2026-03-22T00:00:00"/>
    <s v="Bollók Zalán - VTSE"/>
    <x v="1"/>
  </r>
  <r>
    <x v="0"/>
    <s v="HUN"/>
    <n v="6"/>
    <m/>
    <s v="Szigetszentmiklós"/>
    <d v="2026-03-22T00:00:00"/>
    <s v="Stoffán Ádám Vilmos - Victory"/>
    <x v="0"/>
  </r>
  <r>
    <x v="7"/>
    <s v="HUN"/>
    <n v="6"/>
    <m/>
    <s v="Szigetszentmiklós"/>
    <d v="2026-03-22T00:00:00"/>
    <s v="Dorka Zalán - KHSE"/>
    <x v="0"/>
  </r>
  <r>
    <x v="51"/>
    <s v="HUN"/>
    <n v="0"/>
    <s v="nem volt nyertes mérkőzése"/>
    <s v="Szigetszentmiklós"/>
    <d v="2026-03-22T00:00:00"/>
    <s v="Nagy Hunor - Derecske BUDO"/>
    <x v="0"/>
  </r>
  <r>
    <x v="7"/>
    <s v="HUN"/>
    <n v="3"/>
    <m/>
    <s v="Szigetszentmiklós"/>
    <d v="2026-03-22T00:00:00"/>
    <s v="Zhang Dávid - KHSE"/>
    <x v="0"/>
  </r>
  <r>
    <x v="0"/>
    <s v="HUN"/>
    <n v="0"/>
    <s v="nem volt nyertes mérkőzése"/>
    <s v="Szigetszentmiklós"/>
    <d v="2026-03-22T00:00:00"/>
    <s v="MOLNÁR MARCELL - Victory"/>
    <x v="0"/>
  </r>
  <r>
    <x v="55"/>
    <s v="HUN"/>
    <n v="3"/>
    <m/>
    <s v="Szigetszentmiklós"/>
    <d v="2026-03-22T00:00:00"/>
    <s v="Papp Dávid - Nyíradonyi KKE"/>
    <x v="0"/>
  </r>
  <r>
    <x v="20"/>
    <s v="HUN"/>
    <n v="0"/>
    <m/>
    <s v="Szigetszentmiklós"/>
    <d v="2026-03-22T00:00:00"/>
    <s v="Gáncs Arnold - Griff SE"/>
    <x v="0"/>
  </r>
  <r>
    <x v="17"/>
    <s v="HUN"/>
    <n v="0"/>
    <m/>
    <s v="Szigetszentmiklós"/>
    <d v="2026-03-22T00:00:00"/>
    <s v="Lukács Filip - BHMSE"/>
    <x v="0"/>
  </r>
  <r>
    <x v="3"/>
    <s v="HUN"/>
    <n v="8"/>
    <m/>
    <s v="Szigetszentmiklós"/>
    <d v="2026-03-22T00:00:00"/>
    <s v="Berényi Imre Márk - Shogun"/>
    <x v="0"/>
  </r>
  <r>
    <x v="19"/>
    <s v="HUN"/>
    <n v="6"/>
    <m/>
    <s v="Szigetszentmiklós"/>
    <d v="2026-03-22T00:00:00"/>
    <s v="Szőke Zalán - VTSE"/>
    <x v="1"/>
  </r>
  <r>
    <x v="7"/>
    <s v="HUN"/>
    <n v="4"/>
    <m/>
    <s v="Szigetszentmiklós"/>
    <d v="2026-03-22T00:00:00"/>
    <s v="Balázs Máté - KHSE"/>
    <x v="0"/>
  </r>
  <r>
    <x v="0"/>
    <s v="HUN"/>
    <n v="0"/>
    <m/>
    <s v="Szigetszentmiklós"/>
    <d v="2026-03-22T00:00:00"/>
    <s v="Dürgő Máté - Victory"/>
    <x v="0"/>
  </r>
  <r>
    <x v="7"/>
    <s v="HUN"/>
    <n v="10"/>
    <m/>
    <s v="Szigetszentmiklós"/>
    <d v="2026-03-22T00:00:00"/>
    <s v="Ménes Milán - KHSE"/>
    <x v="0"/>
  </r>
  <r>
    <x v="33"/>
    <s v="HUN"/>
    <n v="8"/>
    <m/>
    <s v="Szigetszentmiklós"/>
    <d v="2026-03-22T00:00:00"/>
    <s v="Tóth Gergely - Ichiro Dojo"/>
    <x v="1"/>
  </r>
  <r>
    <x v="5"/>
    <s v="HUN"/>
    <n v="6"/>
    <m/>
    <s v="Szigetszentmiklós"/>
    <d v="2026-03-22T00:00:00"/>
    <s v="Flaisz Attila - TADASHII "/>
    <x v="1"/>
  </r>
  <r>
    <x v="47"/>
    <s v="HUN"/>
    <n v="4"/>
    <m/>
    <s v="Szigetszentmiklós"/>
    <d v="2026-03-22T00:00:00"/>
    <s v="Banka Boldizsár - KYO Fighter SE"/>
    <x v="0"/>
  </r>
  <r>
    <x v="25"/>
    <s v="HUN"/>
    <n v="3"/>
    <m/>
    <s v="Szigetszentmiklós"/>
    <d v="2026-03-22T00:00:00"/>
    <s v="Kovács Vajk Zoltán - Katana SE"/>
    <x v="0"/>
  </r>
  <r>
    <x v="33"/>
    <s v="HUN"/>
    <n v="10"/>
    <m/>
    <s v="Szigetszentmiklós"/>
    <d v="2026-03-22T00:00:00"/>
    <s v="Farkas Áron Péter - Ichiro Dojo"/>
    <x v="1"/>
  </r>
  <r>
    <x v="4"/>
    <s v="HUN"/>
    <n v="8"/>
    <m/>
    <s v="Szigetszentmiklós"/>
    <d v="2026-03-22T00:00:00"/>
    <s v="Magasi Attila - Főnix Dojo"/>
    <x v="0"/>
  </r>
  <r>
    <x v="10"/>
    <s v="HUN"/>
    <n v="6"/>
    <m/>
    <s v="Szigetszentmiklós"/>
    <d v="2026-03-22T00:00:00"/>
    <s v="Tarsoly Norbert - Nintai KKSE"/>
    <x v="1"/>
  </r>
  <r>
    <x v="51"/>
    <s v="HUN"/>
    <n v="6"/>
    <m/>
    <s v="Szigetszentmiklós"/>
    <d v="2026-03-22T00:00:00"/>
    <s v="Tutor Barnabás  - Derecske BUDO"/>
    <x v="0"/>
  </r>
  <r>
    <x v="19"/>
    <s v="HUN"/>
    <n v="3"/>
    <m/>
    <s v="Szigetszentmiklós"/>
    <d v="2026-03-22T00:00:00"/>
    <s v="Bagó Balázs - VTSE"/>
    <x v="1"/>
  </r>
  <r>
    <x v="29"/>
    <s v="HUN"/>
    <n v="0"/>
    <s v="nem volt nyertes mérkőzése"/>
    <s v="Szigetszentmiklós"/>
    <d v="2026-03-22T00:00:00"/>
    <s v="Molnár Bence Noel - WARRIORS TEAM"/>
    <x v="0"/>
  </r>
  <r>
    <x v="56"/>
    <s v="HUN"/>
    <n v="0"/>
    <s v="nem volt nyertes mérkőzése"/>
    <s v="Szigetszentmiklós"/>
    <d v="2026-03-22T00:00:00"/>
    <s v="Balogh Levente - Wheelmaker dojo SE"/>
    <x v="1"/>
  </r>
  <r>
    <x v="17"/>
    <s v="HUN"/>
    <n v="3"/>
    <m/>
    <s v="Szigetszentmiklós"/>
    <d v="2026-03-22T00:00:00"/>
    <s v="Alkaddour Ali Áron - BHMSE"/>
    <x v="0"/>
  </r>
  <r>
    <x v="36"/>
    <s v="HUN"/>
    <n v="0"/>
    <m/>
    <s v="Szigetszentmiklós"/>
    <d v="2026-03-22T00:00:00"/>
    <s v="Fekete Szilárd - POWER SE."/>
    <x v="0"/>
  </r>
  <r>
    <x v="36"/>
    <s v="HUN"/>
    <n v="0"/>
    <m/>
    <s v="Szigetszentmiklós"/>
    <d v="2026-03-22T00:00:00"/>
    <s v="Baranyi Tibor - POWER SE."/>
    <x v="0"/>
  </r>
  <r>
    <x v="57"/>
    <s v="HUN"/>
    <n v="6"/>
    <m/>
    <s v="Szigetszentmiklós"/>
    <d v="2026-03-22T00:00:00"/>
    <s v="Dezső Norbert - Magna Dojo"/>
    <x v="0"/>
  </r>
  <r>
    <x v="0"/>
    <s v="HUN"/>
    <n v="4"/>
    <m/>
    <s v="Szigetszentmiklós"/>
    <d v="2026-03-22T00:00:00"/>
    <s v="Kurucz Gergő - Victory"/>
    <x v="0"/>
  </r>
  <r>
    <x v="12"/>
    <s v="HUN"/>
    <n v="0"/>
    <m/>
    <s v="Szigetszentmiklós"/>
    <d v="2026-03-22T00:00:00"/>
    <s v="Novák Balázs - Bendiák Dojo"/>
    <x v="0"/>
  </r>
  <r>
    <x v="29"/>
    <s v="HUN"/>
    <n v="8"/>
    <m/>
    <s v="Szigetszentmiklós"/>
    <d v="2026-03-22T00:00:00"/>
    <s v="Szabó Levente - WARRIORS TEAM"/>
    <x v="0"/>
  </r>
  <r>
    <x v="13"/>
    <s v="HUN"/>
    <n v="6"/>
    <m/>
    <s v="Szigetszentmiklós"/>
    <d v="2026-03-22T00:00:00"/>
    <s v="Csonka Máté - Kamikaze S"/>
    <x v="0"/>
  </r>
  <r>
    <x v="7"/>
    <s v="HUN"/>
    <n v="4"/>
    <m/>
    <s v="Szigetszentmiklós"/>
    <d v="2026-03-22T00:00:00"/>
    <s v="Vass Noel - KHSE"/>
    <x v="0"/>
  </r>
  <r>
    <x v="51"/>
    <s v="HUN"/>
    <n v="4"/>
    <m/>
    <s v="Szigetszentmiklós"/>
    <d v="2026-03-22T00:00:00"/>
    <s v="Gál Milán György  - Derecske BUDO"/>
    <x v="0"/>
  </r>
  <r>
    <x v="34"/>
    <s v="HUN"/>
    <n v="0"/>
    <m/>
    <s v="Szigetszentmiklós"/>
    <d v="2026-03-22T00:00:00"/>
    <s v="Németh Adrián - Cs.S.E."/>
    <x v="0"/>
  </r>
  <r>
    <x v="7"/>
    <s v="HUN"/>
    <n v="0"/>
    <m/>
    <s v="Szigetszentmiklós"/>
    <d v="2026-03-22T00:00:00"/>
    <s v="Ágoston Bence - KHSE"/>
    <x v="0"/>
  </r>
  <r>
    <x v="12"/>
    <s v="HUN"/>
    <n v="0"/>
    <m/>
    <s v="Szigetszentmiklós"/>
    <d v="2026-03-22T00:00:00"/>
    <s v="Vancsó Kornél - Bendiák Dojo"/>
    <x v="0"/>
  </r>
  <r>
    <x v="29"/>
    <s v="HUN"/>
    <n v="8"/>
    <m/>
    <s v="Szigetszentmiklós"/>
    <d v="2026-03-22T00:00:00"/>
    <s v="Garamszegi Zente - WARRIORS TEAM"/>
    <x v="0"/>
  </r>
  <r>
    <x v="10"/>
    <s v="HUN"/>
    <n v="6"/>
    <m/>
    <s v="Szigetszentmiklós"/>
    <d v="2026-03-22T00:00:00"/>
    <s v="Szalai Brendon - Nintai KKSE"/>
    <x v="1"/>
  </r>
  <r>
    <x v="12"/>
    <s v="HUN"/>
    <n v="4"/>
    <m/>
    <s v="Szigetszentmiklós"/>
    <d v="2026-03-22T00:00:00"/>
    <s v="Novák Máté - Bendiák Dojo"/>
    <x v="0"/>
  </r>
  <r>
    <x v="49"/>
    <s v="HUN"/>
    <n v="4"/>
    <m/>
    <s v="Szigetszentmiklós"/>
    <d v="2026-03-22T00:00:00"/>
    <s v="Vida Péter - Buke Reikon HRSE"/>
    <x v="0"/>
  </r>
  <r>
    <x v="38"/>
    <s v="HUN"/>
    <n v="0"/>
    <m/>
    <s v="Szigetszentmiklós"/>
    <d v="2026-03-22T00:00:00"/>
    <s v="Vörös Tibor - RDKKSE"/>
    <x v="0"/>
  </r>
  <r>
    <x v="36"/>
    <s v="HUN"/>
    <n v="0"/>
    <m/>
    <s v="Szigetszentmiklós"/>
    <d v="2026-03-22T00:00:00"/>
    <s v="Nagy Gábor András - POWER SE."/>
    <x v="0"/>
  </r>
  <r>
    <x v="13"/>
    <s v="HUN"/>
    <n v="0"/>
    <m/>
    <s v="Szigetszentmiklós"/>
    <d v="2026-03-22T00:00:00"/>
    <s v="Szabó Lóránt - Kamikaze S"/>
    <x v="0"/>
  </r>
  <r>
    <x v="3"/>
    <s v="HUN"/>
    <n v="8"/>
    <s v="13 fő esetén: 1-8 helyezett"/>
    <s v="Szigetszentmiklós"/>
    <d v="2026-03-22T00:00:00"/>
    <s v="Berényi Imre Márk - Shogun"/>
    <x v="0"/>
  </r>
  <r>
    <x v="3"/>
    <s v="HUN"/>
    <n v="6"/>
    <s v="13 fő esetén: 1-8 helyezett"/>
    <s v="Szigetszentmiklós"/>
    <d v="2026-03-22T00:00:00"/>
    <s v="Lóránt Varga Milán - Shogun"/>
    <x v="0"/>
  </r>
  <r>
    <x v="34"/>
    <s v="HUN"/>
    <n v="4"/>
    <s v="13 fő esetén: 1-8 helyezett"/>
    <s v="Szigetszentmiklós"/>
    <d v="2026-03-22T00:00:00"/>
    <s v="Németh Adrián - Cs.S.E."/>
    <x v="0"/>
  </r>
  <r>
    <x v="15"/>
    <s v="HUN"/>
    <n v="3"/>
    <s v="13 fő esetén: 1-8 helyezett"/>
    <s v="Szigetszentmiklós"/>
    <d v="2026-03-22T00:00:00"/>
    <s v="Szalontai Levente - KSE Tarján"/>
    <x v="0"/>
  </r>
  <r>
    <x v="0"/>
    <s v="HUN"/>
    <n v="2"/>
    <s v="13 fő esetén: 1-8 helyezett"/>
    <s v="Szigetszentmiklós"/>
    <d v="2026-03-22T00:00:00"/>
    <s v="MOLNÁR MARCELL - Victory"/>
    <x v="0"/>
  </r>
  <r>
    <x v="12"/>
    <s v="HUN"/>
    <n v="2"/>
    <s v="13 fő esetén: 1-8 helyezett"/>
    <s v="Szigetszentmiklós"/>
    <d v="2026-03-22T00:00:00"/>
    <s v="Novák Balázs - Bendiák Dojo"/>
    <x v="0"/>
  </r>
  <r>
    <x v="3"/>
    <s v="HUN"/>
    <n v="2"/>
    <s v="13 fő esetén: 1-8 helyezett"/>
    <s v="Szigetszentmiklós"/>
    <d v="2026-03-22T00:00:00"/>
    <s v="Ungvári Levente - Shogun"/>
    <x v="0"/>
  </r>
  <r>
    <x v="12"/>
    <s v="HUN"/>
    <n v="2"/>
    <s v="13 fő esetén: 1-8 helyezett"/>
    <s v="Szigetszentmiklós"/>
    <d v="2026-03-22T00:00:00"/>
    <s v="Novák Máté - Bendiák Dojo"/>
    <x v="0"/>
  </r>
  <r>
    <x v="17"/>
    <s v="HUN"/>
    <n v="0"/>
    <s v="13 fő esetén: 1-8 helyezett"/>
    <s v="Szigetszentmiklós"/>
    <d v="2026-03-22T00:00:00"/>
    <s v="Lukács Filip - BHMSE"/>
    <x v="0"/>
  </r>
  <r>
    <x v="17"/>
    <s v="HUN"/>
    <n v="0"/>
    <s v="13 fő esetén: 1-8 helyezett"/>
    <s v="Szigetszentmiklós"/>
    <d v="2026-03-22T00:00:00"/>
    <s v="Baranyai Áron - BHMSE"/>
    <x v="0"/>
  </r>
  <r>
    <x v="17"/>
    <s v="HUN"/>
    <n v="0"/>
    <s v="13 fő esetén: 1-8 helyezett"/>
    <s v="Szigetszentmiklós"/>
    <d v="2026-03-22T00:00:00"/>
    <s v="Gyarmati Viktor - BHMSE"/>
    <x v="0"/>
  </r>
  <r>
    <x v="32"/>
    <s v="HUN"/>
    <n v="0"/>
    <s v="13 fő esetén: 1-8 helyezett"/>
    <s v="Szigetszentmiklós"/>
    <d v="2026-03-22T00:00:00"/>
    <s v="Varga Bálint Norbert - ARSC"/>
    <x v="0"/>
  </r>
  <r>
    <x v="47"/>
    <s v="HUN"/>
    <n v="0"/>
    <s v="13 fő esetén: 1-8 helyezett"/>
    <s v="Szigetszentmiklós"/>
    <d v="2026-03-22T00:00:00"/>
    <s v="Banka Boldizsár - KYO Fighter SE"/>
    <x v="0"/>
  </r>
  <r>
    <x v="39"/>
    <s v="HUN"/>
    <n v="10"/>
    <m/>
    <s v="Szigetszentmiklós"/>
    <d v="2026-03-22T00:00:00"/>
    <s v="Böcskey Emese  - Nagy Sándor Dojo"/>
    <x v="1"/>
  </r>
  <r>
    <x v="4"/>
    <s v="HUN"/>
    <n v="8"/>
    <m/>
    <s v="Szigetszentmiklós"/>
    <d v="2026-03-22T00:00:00"/>
    <s v="Sülyi Luca - Főnix Dojo"/>
    <x v="0"/>
  </r>
  <r>
    <x v="15"/>
    <s v="HUN"/>
    <n v="6"/>
    <m/>
    <s v="Szigetszentmiklós"/>
    <d v="2026-03-22T00:00:00"/>
    <s v="Aranyosi Nikolett - KSE Tarján"/>
    <x v="0"/>
  </r>
  <r>
    <x v="54"/>
    <s v="HUN"/>
    <n v="4"/>
    <m/>
    <s v="Szigetszentmiklós"/>
    <d v="2026-03-22T00:00:00"/>
    <s v="Forgács Lili - Borza Dojo"/>
    <x v="1"/>
  </r>
  <r>
    <x v="48"/>
    <s v="HUN"/>
    <n v="0"/>
    <m/>
    <s v="Szigetszentmiklós"/>
    <d v="2026-03-22T00:00:00"/>
    <s v="Szabó Hanna - Hajdúszoboszló"/>
    <x v="0"/>
  </r>
  <r>
    <x v="7"/>
    <s v="HUN"/>
    <n v="8"/>
    <m/>
    <s v="Szigetszentmiklós"/>
    <d v="2026-03-22T00:00:00"/>
    <s v="Furó Liliána - KHSE"/>
    <x v="0"/>
  </r>
  <r>
    <x v="51"/>
    <s v="HUN"/>
    <n v="6"/>
    <m/>
    <s v="Szigetszentmiklós"/>
    <d v="2026-03-22T00:00:00"/>
    <s v="Kiss Boglárka - Derecske BUDO"/>
    <x v="0"/>
  </r>
  <r>
    <x v="6"/>
    <s v="HUN"/>
    <n v="4"/>
    <m/>
    <s v="Szigetszentmiklós"/>
    <d v="2026-03-22T00:00:00"/>
    <s v="Serfőző Lia Zoé - Castrum"/>
    <x v="0"/>
  </r>
  <r>
    <x v="23"/>
    <s v="HUN"/>
    <n v="0"/>
    <m/>
    <s v="Szigetszentmiklós"/>
    <d v="2026-03-22T00:00:00"/>
    <s v="Ható Amanda - Rakurai"/>
    <x v="0"/>
  </r>
  <r>
    <x v="6"/>
    <s v="HUN"/>
    <n v="0"/>
    <m/>
    <s v="Szigetszentmiklós"/>
    <d v="2026-03-22T00:00:00"/>
    <s v="Bognár Judit - Castrum"/>
    <x v="0"/>
  </r>
  <r>
    <x v="3"/>
    <s v="HUN"/>
    <n v="0"/>
    <m/>
    <s v="Szigetszentmiklós"/>
    <d v="2026-03-22T00:00:00"/>
    <s v="Karap Anna - Shogun"/>
    <x v="0"/>
  </r>
  <r>
    <x v="17"/>
    <s v="HUN"/>
    <n v="8"/>
    <m/>
    <s v="Szigetszentmiklós"/>
    <d v="2026-03-22T00:00:00"/>
    <s v="Zsin Zsófia - BHMSE"/>
    <x v="0"/>
  </r>
  <r>
    <x v="29"/>
    <s v="HUN"/>
    <n v="6"/>
    <m/>
    <s v="Szigetszentmiklós"/>
    <d v="2026-03-22T00:00:00"/>
    <s v="Demeter Zsófia - WARRIORS TEAM"/>
    <x v="0"/>
  </r>
  <r>
    <x v="19"/>
    <s v="HUN"/>
    <n v="4"/>
    <m/>
    <s v="Szigetszentmiklós"/>
    <d v="2026-03-22T00:00:00"/>
    <s v="Lukács Éva - VTSE"/>
    <x v="1"/>
  </r>
  <r>
    <x v="47"/>
    <s v="HUN"/>
    <n v="0"/>
    <m/>
    <s v="Szigetszentmiklós"/>
    <d v="2026-03-22T00:00:00"/>
    <s v="Magyar Viktória - KYO Fighter SE"/>
    <x v="0"/>
  </r>
  <r>
    <x v="4"/>
    <s v="HUN"/>
    <n v="0"/>
    <m/>
    <s v="Szigetszentmiklós"/>
    <d v="2026-03-22T00:00:00"/>
    <s v="Hanics Luca - Főnix Dojo"/>
    <x v="0"/>
  </r>
  <r>
    <x v="17"/>
    <s v="HUN"/>
    <n v="0"/>
    <m/>
    <s v="Szigetszentmiklós"/>
    <d v="2026-03-22T00:00:00"/>
    <s v="Timár Alíz - BHMSE"/>
    <x v="0"/>
  </r>
  <r>
    <x v="7"/>
    <s v="HUN"/>
    <n v="10"/>
    <m/>
    <s v="Szigetszentmiklós"/>
    <d v="2026-03-22T00:00:00"/>
    <s v="Pénzes Zsófia - KHSE"/>
    <x v="0"/>
  </r>
  <r>
    <x v="51"/>
    <s v="HUN"/>
    <n v="8"/>
    <m/>
    <s v="Szigetszentmiklós"/>
    <d v="2026-03-22T00:00:00"/>
    <s v="Albert Szilvia Cintia - Derecske BUDO"/>
    <x v="0"/>
  </r>
  <r>
    <x v="12"/>
    <s v="HUN"/>
    <n v="6"/>
    <m/>
    <s v="Szigetszentmiklós"/>
    <d v="2026-03-22T00:00:00"/>
    <s v="Barna Emese Nikolett - Bendiák Dojo"/>
    <x v="0"/>
  </r>
  <r>
    <x v="45"/>
    <s v="HUN"/>
    <n v="4"/>
    <m/>
    <s v="Szigetszentmiklós"/>
    <d v="2026-03-22T00:00:00"/>
    <s v="Harsányi Tímea - Kelemen-Team"/>
    <x v="0"/>
  </r>
  <r>
    <x v="23"/>
    <s v="HUN"/>
    <n v="0"/>
    <m/>
    <s v="Szigetszentmiklós"/>
    <d v="2026-03-22T00:00:00"/>
    <s v="Bognár Boglárka - Rakurai"/>
    <x v="0"/>
  </r>
  <r>
    <x v="13"/>
    <s v="HUN"/>
    <n v="10"/>
    <m/>
    <s v="Szigetszentmiklós"/>
    <d v="2026-03-22T00:00:00"/>
    <s v="Csonka Kata - Kamikaze S"/>
    <x v="0"/>
  </r>
  <r>
    <x v="24"/>
    <s v="HUN"/>
    <n v="8"/>
    <m/>
    <s v="Szigetszentmiklós"/>
    <d v="2026-03-22T00:00:00"/>
    <s v="Soós Flóra - Nagykátai Bushido SE"/>
    <x v="0"/>
  </r>
  <r>
    <x v="17"/>
    <s v="HUN"/>
    <n v="6"/>
    <m/>
    <s v="Szigetszentmiklós"/>
    <d v="2026-03-22T00:00:00"/>
    <s v="Bartha Zsuzsanna - BHMSE"/>
    <x v="0"/>
  </r>
  <r>
    <x v="40"/>
    <s v="HUN"/>
    <n v="4"/>
    <m/>
    <s v="Szigetszentmiklós"/>
    <d v="2026-03-22T00:00:00"/>
    <s v="Komondi Veronika Nilla - Keszth.KKK"/>
    <x v="0"/>
  </r>
  <r>
    <x v="20"/>
    <s v="HUN"/>
    <n v="0"/>
    <m/>
    <s v="Szigetszentmiklós"/>
    <d v="2026-03-22T00:00:00"/>
    <s v="Szalai Kitti - Griff SE"/>
    <x v="0"/>
  </r>
  <r>
    <x v="3"/>
    <s v="HUN"/>
    <n v="8"/>
    <s v="11 fő esetén: 1-7 helyezett"/>
    <s v="Szigetszentmiklós"/>
    <d v="2026-03-22T00:00:00"/>
    <s v="Uszkai Flóra - Shogun"/>
    <x v="0"/>
  </r>
  <r>
    <x v="2"/>
    <s v="HUN"/>
    <n v="6"/>
    <s v="11 fő esetén: 1-7 helyezett"/>
    <s v="Szigetszentmiklós"/>
    <d v="2026-03-22T00:00:00"/>
    <s v="Kovács Anna - Kisvárda KKDOSC"/>
    <x v="0"/>
  </r>
  <r>
    <x v="39"/>
    <s v="HUN"/>
    <n v="4"/>
    <s v="11 fő esetén: 1-7 helyezett"/>
    <s v="Szigetszentmiklós"/>
    <d v="2026-03-22T00:00:00"/>
    <s v="Böcskey Emese  - Nagy Sándor Dojo"/>
    <x v="1"/>
  </r>
  <r>
    <x v="16"/>
    <s v="HUN"/>
    <n v="3"/>
    <s v="11 fő esetén: 1-7 helyezett"/>
    <s v="Szigetszentmiklós"/>
    <d v="2026-03-22T00:00:00"/>
    <s v="Nagy Hanna Míra - Genbu dojo"/>
    <x v="1"/>
  </r>
  <r>
    <x v="15"/>
    <s v="HUN"/>
    <n v="2"/>
    <s v="11 fő esetén: 1-7 helyezett"/>
    <s v="Szigetszentmiklós"/>
    <d v="2026-03-22T00:00:00"/>
    <s v="Aranyosi Nikolett - KSE Tarján"/>
    <x v="0"/>
  </r>
  <r>
    <x v="24"/>
    <s v="HUN"/>
    <n v="2"/>
    <s v="11 fő esetén: 1-7 helyezett"/>
    <s v="Szigetszentmiklós"/>
    <d v="2026-03-22T00:00:00"/>
    <s v="Czakó Natália - Nagykátai Bushido SE"/>
    <x v="0"/>
  </r>
  <r>
    <x v="3"/>
    <s v="HUN"/>
    <n v="2"/>
    <s v="11 fő esetén: 1-7 helyezett"/>
    <s v="Szigetszentmiklós"/>
    <d v="2026-03-22T00:00:00"/>
    <s v="Karap Anna - Shogun"/>
    <x v="0"/>
  </r>
  <r>
    <x v="4"/>
    <s v="HUN"/>
    <n v="0"/>
    <s v="11 fő esetén: 1-7 helyezett"/>
    <s v="Szigetszentmiklós"/>
    <d v="2026-03-22T00:00:00"/>
    <s v="Sülyi Luca - Főnix Dojo"/>
    <x v="0"/>
  </r>
  <r>
    <x v="32"/>
    <s v="HUN"/>
    <n v="0"/>
    <s v="11 fő esetén: 1-7 helyezett"/>
    <s v="Szigetszentmiklós"/>
    <d v="2026-03-22T00:00:00"/>
    <s v="Princz Anna - ARSC"/>
    <x v="0"/>
  </r>
  <r>
    <x v="17"/>
    <s v="HUN"/>
    <n v="0"/>
    <s v="11 fő esetén: 1-7 helyezett"/>
    <s v="Szigetszentmiklós"/>
    <d v="2026-03-22T00:00:00"/>
    <s v="Timár Alíz - BHMSE"/>
    <x v="0"/>
  </r>
  <r>
    <x v="21"/>
    <s v="HUN"/>
    <n v="0"/>
    <s v="11 fő esetén: 1-7 helyezett"/>
    <s v="Szigetszentmiklós"/>
    <d v="2026-03-22T00:00:00"/>
    <s v="Berényi Lina Boróka - Kagami"/>
    <x v="0"/>
  </r>
  <r>
    <x v="7"/>
    <s v="HUN"/>
    <n v="6"/>
    <m/>
    <s v="Szigetszentmiklós"/>
    <d v="2026-03-22T00:00:00"/>
    <s v="Nagy Péter - KHSE"/>
    <x v="0"/>
  </r>
  <r>
    <x v="14"/>
    <s v="HUN"/>
    <n v="4"/>
    <m/>
    <s v="Szigetszentmiklós"/>
    <d v="2026-03-22T00:00:00"/>
    <s v="Rimóczi Alex Benedek - Nozomu Dojo"/>
    <x v="0"/>
  </r>
  <r>
    <x v="4"/>
    <s v="HUN"/>
    <n v="0"/>
    <m/>
    <s v="Szigetszentmiklós"/>
    <d v="2026-03-22T00:00:00"/>
    <s v="Bíró Krisztián - Főnix Dojo"/>
    <x v="0"/>
  </r>
  <r>
    <x v="7"/>
    <s v="HUN"/>
    <n v="8"/>
    <m/>
    <s v="Szigetszentmiklós"/>
    <d v="2026-03-22T00:00:00"/>
    <s v="Szabó Ákos Roland - KHSE"/>
    <x v="0"/>
  </r>
  <r>
    <x v="7"/>
    <s v="HUN"/>
    <n v="6"/>
    <m/>
    <s v="Szigetszentmiklós"/>
    <d v="2026-03-22T00:00:00"/>
    <s v="Bacskai Bence - KHSE"/>
    <x v="0"/>
  </r>
  <r>
    <x v="24"/>
    <s v="HUN"/>
    <n v="4"/>
    <m/>
    <s v="Szigetszentmiklós"/>
    <d v="2026-03-22T00:00:00"/>
    <s v="Danka Hunor - Nagykátai Bushido SE"/>
    <x v="0"/>
  </r>
  <r>
    <x v="5"/>
    <s v="HUN"/>
    <n v="4"/>
    <m/>
    <s v="Szigetszentmiklós"/>
    <d v="2026-03-22T00:00:00"/>
    <s v="Vincze Balázs - TADASHII "/>
    <x v="1"/>
  </r>
  <r>
    <x v="41"/>
    <s v="HUN"/>
    <n v="0"/>
    <m/>
    <s v="Szigetszentmiklós"/>
    <d v="2026-03-22T00:00:00"/>
    <s v="Varga Tamás - Goukai KSE"/>
    <x v="0"/>
  </r>
  <r>
    <x v="1"/>
    <s v="HUN"/>
    <n v="0"/>
    <m/>
    <s v="Szigetszentmiklós"/>
    <d v="2026-03-22T00:00:00"/>
    <s v="Balogh András Barnabás - Ippon KKSE"/>
    <x v="0"/>
  </r>
  <r>
    <x v="1"/>
    <s v="HUN"/>
    <n v="0"/>
    <m/>
    <s v="Szigetszentmiklós"/>
    <d v="2026-03-22T00:00:00"/>
    <s v="Kovácsay Gergely - Ippon KKSE"/>
    <x v="0"/>
  </r>
  <r>
    <x v="0"/>
    <s v="HUN"/>
    <n v="8"/>
    <m/>
    <s v="Szigetszentmiklós"/>
    <d v="2026-03-22T00:00:00"/>
    <s v="Böszörményi Gergő - Victory"/>
    <x v="0"/>
  </r>
  <r>
    <x v="42"/>
    <s v="HUN"/>
    <n v="6"/>
    <m/>
    <s v="Szigetszentmiklós"/>
    <d v="2026-03-22T00:00:00"/>
    <s v="Nagy Benedek - Tora HSE"/>
    <x v="1"/>
  </r>
  <r>
    <x v="7"/>
    <s v="HUN"/>
    <n v="4"/>
    <m/>
    <s v="Szigetszentmiklós"/>
    <d v="2026-03-22T00:00:00"/>
    <s v="Takács-Sárkány Csanád - KHSE"/>
    <x v="0"/>
  </r>
  <r>
    <x v="19"/>
    <s v="HUN"/>
    <n v="4"/>
    <m/>
    <s v="Szigetszentmiklós"/>
    <d v="2026-03-22T00:00:00"/>
    <s v="Szente Szabolcs - VTSE"/>
    <x v="1"/>
  </r>
  <r>
    <x v="3"/>
    <s v="HUN"/>
    <n v="0"/>
    <m/>
    <s v="Szigetszentmiklós"/>
    <d v="2026-03-22T00:00:00"/>
    <s v="Sebők Zsombor - Shogun"/>
    <x v="0"/>
  </r>
  <r>
    <x v="14"/>
    <s v="HUN"/>
    <n v="0"/>
    <m/>
    <s v="Szigetszentmiklós"/>
    <d v="2026-03-22T00:00:00"/>
    <s v="Kovács Levente - Nozomu Dojo"/>
    <x v="0"/>
  </r>
  <r>
    <x v="10"/>
    <s v="HUN"/>
    <n v="0"/>
    <m/>
    <s v="Szigetszentmiklós"/>
    <d v="2026-03-22T00:00:00"/>
    <s v="Rád Balázs - Nintai KKSE"/>
    <x v="1"/>
  </r>
  <r>
    <x v="0"/>
    <s v="HUN"/>
    <n v="0"/>
    <m/>
    <s v="Szigetszentmiklós"/>
    <d v="2026-03-22T00:00:00"/>
    <s v="Földi Bence  - Victory"/>
    <x v="0"/>
  </r>
  <r>
    <x v="0"/>
    <s v="HUN"/>
    <n v="8"/>
    <m/>
    <s v="Szigetszentmiklós"/>
    <d v="2026-03-22T00:00:00"/>
    <s v="Földi Balázs - Victory"/>
    <x v="0"/>
  </r>
  <r>
    <x v="0"/>
    <s v="HUN"/>
    <n v="6"/>
    <m/>
    <s v="Szigetszentmiklós"/>
    <d v="2026-03-22T00:00:00"/>
    <s v="Kiss Gábor - Victory"/>
    <x v="0"/>
  </r>
  <r>
    <x v="19"/>
    <s v="HUN"/>
    <n v="0"/>
    <m/>
    <s v="Szigetszentmiklós"/>
    <d v="2026-03-22T00:00:00"/>
    <s v="Ferenczi Attila - VTSE"/>
    <x v="1"/>
  </r>
  <r>
    <x v="12"/>
    <s v="HUN"/>
    <n v="0"/>
    <m/>
    <s v="Szigetszentmiklós"/>
    <d v="2026-03-22T00:00:00"/>
    <s v="Vancsó Ákos - Bendiák Dojo"/>
    <x v="0"/>
  </r>
  <r>
    <x v="46"/>
    <s v="HUN"/>
    <n v="0"/>
    <m/>
    <s v="Szigetszentmiklós"/>
    <d v="2026-03-22T00:00:00"/>
    <s v="Miskolczi Zalán - Kemecse SE"/>
    <x v="0"/>
  </r>
  <r>
    <x v="29"/>
    <s v="HUN"/>
    <n v="0"/>
    <m/>
    <s v="Szigetszentmiklós"/>
    <d v="2026-03-22T00:00:00"/>
    <s v="Szabó Roland - WARRIORS TEAM"/>
    <x v="0"/>
  </r>
  <r>
    <x v="50"/>
    <s v="HUN"/>
    <n v="0"/>
    <m/>
    <s v="Szigetszentmiklós"/>
    <d v="2026-03-22T00:00:00"/>
    <s v="Csáti Bence Máté - Keizoku SE"/>
    <x v="0"/>
  </r>
  <r>
    <x v="14"/>
    <s v="HUN"/>
    <n v="8"/>
    <m/>
    <s v="Szigetszentmiklós"/>
    <d v="2026-03-22T00:00:00"/>
    <s v="Breznyiczki Barnabás - Nozomu Dojo"/>
    <x v="0"/>
  </r>
  <r>
    <x v="3"/>
    <s v="HUN"/>
    <n v="6"/>
    <m/>
    <s v="Szigetszentmiklós"/>
    <d v="2026-03-22T00:00:00"/>
    <s v="Bessenyei Csongor - Shogun"/>
    <x v="0"/>
  </r>
  <r>
    <x v="5"/>
    <s v="HUN"/>
    <n v="4"/>
    <m/>
    <s v="Szigetszentmiklós"/>
    <d v="2026-03-22T00:00:00"/>
    <s v="Flaisz Róbert - TADASHII "/>
    <x v="1"/>
  </r>
  <r>
    <x v="11"/>
    <s v="HUN"/>
    <n v="0"/>
    <m/>
    <s v="Szigetszentmiklós"/>
    <d v="2026-03-22T00:00:00"/>
    <s v="Szabó István Balázs - KyoDabas SE."/>
    <x v="1"/>
  </r>
  <r>
    <x v="17"/>
    <s v="HUN"/>
    <n v="8"/>
    <m/>
    <s v="Szigetszentmiklós"/>
    <d v="2026-03-22T00:00:00"/>
    <s v="Spanjevic Dániel - BHMSE"/>
    <x v="0"/>
  </r>
  <r>
    <x v="3"/>
    <s v="HUN"/>
    <n v="6"/>
    <m/>
    <s v="Szigetszentmiklós"/>
    <d v="2026-03-22T00:00:00"/>
    <s v="Csorba Kristóf - Shogun"/>
    <x v="0"/>
  </r>
  <r>
    <x v="43"/>
    <s v="HUN"/>
    <n v="4"/>
    <m/>
    <s v="Szigetszentmiklós"/>
    <d v="2026-03-22T00:00:00"/>
    <s v="Tengelics Márk - IKIGAI DOJO BÖRCS"/>
    <x v="1"/>
  </r>
  <r>
    <x v="2"/>
    <s v="HUN"/>
    <n v="4"/>
    <m/>
    <s v="Szigetszentmiklós"/>
    <d v="2026-03-22T00:00:00"/>
    <s v="Maklári Balázs - Kisvárda KKDOSC"/>
    <x v="0"/>
  </r>
  <r>
    <x v="2"/>
    <s v="HUN"/>
    <n v="0"/>
    <m/>
    <s v="Szigetszentmiklós"/>
    <d v="2026-03-22T00:00:00"/>
    <s v="Soós Viktor - Kisvárda KKDOSC"/>
    <x v="0"/>
  </r>
  <r>
    <x v="30"/>
    <s v="HUN"/>
    <n v="0"/>
    <m/>
    <s v="Szigetszentmiklós"/>
    <d v="2026-03-22T00:00:00"/>
    <s v="Kozó Flórián - Shinkyo SE"/>
    <x v="0"/>
  </r>
  <r>
    <x v="7"/>
    <s v="HUN"/>
    <n v="0"/>
    <m/>
    <s v="Szigetszentmiklós"/>
    <d v="2026-03-22T00:00:00"/>
    <s v="Sipos Árpád - KHSE"/>
    <x v="0"/>
  </r>
  <r>
    <x v="3"/>
    <s v="HUN"/>
    <n v="8"/>
    <s v="9 fő esetén: 1-5 helyezett"/>
    <s v="Szigetszentmiklós"/>
    <d v="2026-03-22T00:00:00"/>
    <s v="Bessenyei Csongor - Shogun"/>
    <x v="0"/>
  </r>
  <r>
    <x v="3"/>
    <s v="HUN"/>
    <n v="6"/>
    <s v="9 fő esetén: 1-5 helyezett"/>
    <s v="Szigetszentmiklós"/>
    <d v="2026-03-22T00:00:00"/>
    <s v="Terbócs Roland - Shogun"/>
    <x v="0"/>
  </r>
  <r>
    <x v="3"/>
    <s v="HUN"/>
    <n v="4"/>
    <s v="9 fő esetén: 1-5 helyezett"/>
    <s v="Szigetszentmiklós"/>
    <d v="2026-03-22T00:00:00"/>
    <s v="Vágó Márton - Shogun"/>
    <x v="0"/>
  </r>
  <r>
    <x v="17"/>
    <s v="HUN"/>
    <n v="3"/>
    <s v="9 fő esetén: 1-5 helyezett"/>
    <s v="Szigetszentmiklós"/>
    <d v="2026-03-22T00:00:00"/>
    <s v="Bűdy Sándor - BHMSE"/>
    <x v="0"/>
  </r>
  <r>
    <x v="5"/>
    <s v="HUN"/>
    <n v="2"/>
    <s v="9 fő esetén: 1-5 helyezett"/>
    <s v="Szigetszentmiklós"/>
    <d v="2026-03-22T00:00:00"/>
    <s v="Kolonics Márk - TADASHII "/>
    <x v="1"/>
  </r>
  <r>
    <x v="39"/>
    <s v="HUN"/>
    <n v="0"/>
    <s v="9 fő esetén: 1-5 helyezett"/>
    <s v="Szigetszentmiklós"/>
    <d v="2026-03-22T00:00:00"/>
    <s v="Magyar Botond - Nagy Sándor Dojo"/>
    <x v="1"/>
  </r>
  <r>
    <x v="43"/>
    <s v="HUN"/>
    <n v="0"/>
    <s v="9 fő esetén: 1-5 helyezett"/>
    <s v="Szigetszentmiklós"/>
    <d v="2026-03-22T00:00:00"/>
    <s v="Tengelics Márk - IKIGAI DOJO BÖRCS"/>
    <x v="1"/>
  </r>
  <r>
    <x v="7"/>
    <s v="HUN"/>
    <n v="0"/>
    <s v="9 fő esetén: 1-5 helyezett"/>
    <s v="Szigetszentmiklós"/>
    <d v="2026-03-22T00:00:00"/>
    <s v="Takács-Sárkány Zalán - KHSE"/>
    <x v="0"/>
  </r>
  <r>
    <x v="54"/>
    <s v="HUN"/>
    <n v="0"/>
    <s v="9 fő esetén: 1-5 helyezett"/>
    <s v="Szigetszentmiklós"/>
    <d v="2026-03-22T00:00:00"/>
    <s v="Kis Kevin Gyula - Borza Dojo"/>
    <x v="1"/>
  </r>
  <r>
    <x v="14"/>
    <s v="HUN"/>
    <n v="10"/>
    <m/>
    <s v="Szigetszentmiklós"/>
    <d v="2026-03-22T00:00:00"/>
    <s v="Fekete Csenge - Nozomu Dojo"/>
    <x v="0"/>
  </r>
  <r>
    <x v="34"/>
    <s v="HUN"/>
    <n v="8"/>
    <m/>
    <s v="Szigetszentmiklós"/>
    <d v="2026-03-22T00:00:00"/>
    <s v="Németh Panka - Cs.S.E."/>
    <x v="0"/>
  </r>
  <r>
    <x v="17"/>
    <s v="HUN"/>
    <n v="6"/>
    <m/>
    <s v="Szigetszentmiklós"/>
    <d v="2026-03-22T00:00:00"/>
    <s v="Bőzsöny Dorka - BHMSE"/>
    <x v="0"/>
  </r>
  <r>
    <x v="4"/>
    <s v="HUN"/>
    <n v="4"/>
    <m/>
    <s v="Szigetszentmiklós"/>
    <d v="2026-03-22T00:00:00"/>
    <s v="Egerszegi Rebeka - Főnix Dojo"/>
    <x v="0"/>
  </r>
  <r>
    <x v="3"/>
    <s v="HUN"/>
    <n v="0"/>
    <m/>
    <s v="Szigetszentmiklós"/>
    <d v="2026-03-22T00:00:00"/>
    <s v="Szanics Boglárka - Shogun"/>
    <x v="0"/>
  </r>
  <r>
    <x v="7"/>
    <s v="HUN"/>
    <n v="8"/>
    <m/>
    <s v="Szigetszentmiklós"/>
    <d v="2026-03-22T00:00:00"/>
    <s v="Ágoston Sára - KHSE"/>
    <x v="0"/>
  </r>
  <r>
    <x v="0"/>
    <s v="HUN"/>
    <n v="6"/>
    <m/>
    <s v="Szigetszentmiklós"/>
    <d v="2026-03-22T00:00:00"/>
    <s v="Lukács Kamilla - Victory"/>
    <x v="0"/>
  </r>
  <r>
    <x v="6"/>
    <s v="HUN"/>
    <n v="4"/>
    <m/>
    <s v="Szigetszentmiklós"/>
    <d v="2026-03-22T00:00:00"/>
    <s v="Németh Virág - Castrum"/>
    <x v="0"/>
  </r>
  <r>
    <x v="23"/>
    <s v="HUN"/>
    <n v="0"/>
    <m/>
    <s v="Szigetszentmiklós"/>
    <d v="2026-03-22T00:00:00"/>
    <s v="Finta Zelma - Rakurai"/>
    <x v="0"/>
  </r>
  <r>
    <x v="19"/>
    <s v="HUN"/>
    <n v="10"/>
    <m/>
    <s v="Szigetszentmiklós"/>
    <d v="2026-03-22T00:00:00"/>
    <s v="Reichert Jázmin  - VTSE"/>
    <x v="1"/>
  </r>
  <r>
    <x v="23"/>
    <s v="HUN"/>
    <n v="8"/>
    <m/>
    <s v="Szigetszentmiklós"/>
    <d v="2026-03-22T00:00:00"/>
    <s v="Bognár Luca - Rakurai"/>
    <x v="0"/>
  </r>
  <r>
    <x v="46"/>
    <s v="HUN"/>
    <n v="6"/>
    <m/>
    <s v="Szigetszentmiklós"/>
    <d v="2026-03-22T00:00:00"/>
    <s v="Orosz Dorina - Kemecse SE"/>
    <x v="0"/>
  </r>
  <r>
    <x v="4"/>
    <s v="HUN"/>
    <n v="4"/>
    <m/>
    <s v="Szigetszentmiklós"/>
    <d v="2026-03-22T00:00:00"/>
    <s v="Bíró Nóra - Főnix Dojo"/>
    <x v="0"/>
  </r>
  <r>
    <x v="51"/>
    <s v="HUN"/>
    <n v="3"/>
    <m/>
    <s v="Szigetszentmiklós"/>
    <d v="2026-03-22T00:00:00"/>
    <s v="Gál Regina - Derecske BUDO"/>
    <x v="0"/>
  </r>
  <r>
    <x v="3"/>
    <s v="HUN"/>
    <n v="8"/>
    <m/>
    <s v="Szigetszentmiklós"/>
    <d v="2026-03-22T00:00:00"/>
    <s v="Rácz Viktória - Shogun"/>
    <x v="0"/>
  </r>
  <r>
    <x v="3"/>
    <s v="HUN"/>
    <n v="6"/>
    <m/>
    <s v="Szigetszentmiklós"/>
    <d v="2026-03-22T00:00:00"/>
    <s v="Szutor Anna - Shogun"/>
    <x v="0"/>
  </r>
  <r>
    <x v="0"/>
    <s v="HUN"/>
    <n v="4"/>
    <m/>
    <s v="Szigetszentmiklós"/>
    <d v="2026-03-22T00:00:00"/>
    <s v="Éles Léna Hanna - Victory"/>
    <x v="0"/>
  </r>
  <r>
    <x v="7"/>
    <s v="HUN"/>
    <n v="4"/>
    <m/>
    <s v="Szigetszentmiklós"/>
    <d v="2026-03-22T00:00:00"/>
    <s v="Józsa Erika Réka - KHSE"/>
    <x v="0"/>
  </r>
  <r>
    <x v="17"/>
    <s v="HUN"/>
    <n v="0"/>
    <m/>
    <s v="Szigetszentmiklós"/>
    <d v="2026-03-22T00:00:00"/>
    <s v="Spanjevic Emma - BHMSE"/>
    <x v="0"/>
  </r>
  <r>
    <x v="41"/>
    <s v="HUN"/>
    <n v="0"/>
    <m/>
    <s v="Szigetszentmiklós"/>
    <d v="2026-03-22T00:00:00"/>
    <s v="Fadgyas Eszter - Goukai KSE"/>
    <x v="0"/>
  </r>
  <r>
    <x v="19"/>
    <s v="HUN"/>
    <n v="0"/>
    <m/>
    <s v="Szigetszentmiklós"/>
    <d v="2026-03-22T00:00:00"/>
    <s v="Lukács Eszter - VTSE"/>
    <x v="1"/>
  </r>
  <r>
    <x v="7"/>
    <s v="HUN"/>
    <n v="6"/>
    <m/>
    <s v="Szigetszentmiklós"/>
    <d v="2026-03-22T00:00:00"/>
    <s v="Vórincsák Vivien - KHSE"/>
    <x v="0"/>
  </r>
  <r>
    <x v="7"/>
    <s v="HUN"/>
    <n v="4"/>
    <m/>
    <s v="Szigetszentmiklós"/>
    <d v="2026-03-22T00:00:00"/>
    <s v="Ecsedi Réka - KHSE"/>
    <x v="0"/>
  </r>
  <r>
    <x v="3"/>
    <s v="HUN"/>
    <n v="0"/>
    <m/>
    <s v="Szigetszentmiklós"/>
    <d v="2026-03-22T00:00:00"/>
    <s v="Szabó Petra - Shogun"/>
    <x v="0"/>
  </r>
  <r>
    <x v="21"/>
    <s v="HUN"/>
    <n v="8"/>
    <s v="14 fő esetén: 1-8 helyezett"/>
    <s v="Szigetszentmiklós"/>
    <d v="2026-03-22T00:00:00"/>
    <s v="Gerő Hanna Gréta - Kagami"/>
    <x v="0"/>
  </r>
  <r>
    <x v="3"/>
    <s v="HUN"/>
    <n v="6"/>
    <s v="14 fő esetén: 1-8 helyezett"/>
    <s v="Szigetszentmiklós"/>
    <d v="2026-03-22T00:00:00"/>
    <s v="Rácz Viktória - Shogun"/>
    <x v="0"/>
  </r>
  <r>
    <x v="3"/>
    <s v="HUN"/>
    <n v="4"/>
    <s v="14 fő esetén: 1-8 helyezett"/>
    <s v="Szigetszentmiklós"/>
    <d v="2026-03-22T00:00:00"/>
    <s v="Sólyom Gréta - Shogun"/>
    <x v="0"/>
  </r>
  <r>
    <x v="21"/>
    <s v="HUN"/>
    <n v="3"/>
    <s v="14 fő esetén: 1-8 helyezett"/>
    <s v="Szigetszentmiklós"/>
    <d v="2026-03-22T00:00:00"/>
    <s v="Arnódi Gréta Bernadette - Kagami"/>
    <x v="0"/>
  </r>
  <r>
    <x v="46"/>
    <s v="HUN"/>
    <n v="2"/>
    <s v="14 fő esetén: 1-8 helyezett"/>
    <s v="Szigetszentmiklós"/>
    <d v="2026-03-22T00:00:00"/>
    <s v="Orosz Dorina - Kemecse SE"/>
    <x v="0"/>
  </r>
  <r>
    <x v="23"/>
    <s v="HUN"/>
    <n v="2"/>
    <s v="14 fő esetén: 1-8 helyezett"/>
    <s v="Szigetszentmiklós"/>
    <d v="2026-03-22T00:00:00"/>
    <s v="Bognár Luca - Rakurai"/>
    <x v="0"/>
  </r>
  <r>
    <x v="3"/>
    <s v="HUN"/>
    <n v="2"/>
    <s v="14 fő esetén: 1-8 helyezett"/>
    <s v="Szigetszentmiklós"/>
    <d v="2026-03-22T00:00:00"/>
    <s v="Szutor Anna - Shogun"/>
    <x v="0"/>
  </r>
  <r>
    <x v="34"/>
    <s v="HUN"/>
    <n v="2"/>
    <s v="14 fő esetén: 1-8 helyezett"/>
    <s v="Szigetszentmiklós"/>
    <d v="2026-03-22T00:00:00"/>
    <s v="Németh Panka - Cs.S.E."/>
    <x v="0"/>
  </r>
  <r>
    <x v="22"/>
    <s v="HUN"/>
    <n v="0"/>
    <s v="14 fő esetén: 1-8 helyezett"/>
    <s v="Szigetszentmiklós"/>
    <d v="2026-03-22T00:00:00"/>
    <s v="Kisdeák Emma - Siófok KSE"/>
    <x v="0"/>
  </r>
  <r>
    <x v="32"/>
    <s v="HUN"/>
    <n v="0"/>
    <s v="14 fő esetén: 1-8 helyezett"/>
    <s v="Szigetszentmiklós"/>
    <d v="2026-03-22T00:00:00"/>
    <s v="Viza Dorottya Anna - ARSC"/>
    <x v="0"/>
  </r>
  <r>
    <x v="44"/>
    <s v="HUN"/>
    <n v="0"/>
    <s v="14 fő esetén: 1-8 helyezett"/>
    <s v="Szigetszentmiklós"/>
    <d v="2026-03-22T00:00:00"/>
    <s v="Molnár Emese - Kihaku SE"/>
    <x v="0"/>
  </r>
  <r>
    <x v="4"/>
    <s v="HUN"/>
    <n v="4"/>
    <m/>
    <s v="Szigetszentmiklós"/>
    <d v="2026-03-22T00:00:00"/>
    <s v="Gáspár Botond - Főnix Dojo"/>
    <x v="0"/>
  </r>
  <r>
    <x v="32"/>
    <s v="HUN"/>
    <n v="0"/>
    <s v="14 fő esetén: 1-8 helyezett"/>
    <s v="Szigetszentmiklós"/>
    <d v="2026-03-22T00:00:00"/>
    <s v="Nádi Viktória - ARSC"/>
    <x v="0"/>
  </r>
  <r>
    <x v="30"/>
    <s v="HUN"/>
    <n v="0"/>
    <s v="14 fő esetén: 1-8 helyezett"/>
    <s v="Szigetszentmiklós"/>
    <d v="2026-03-22T00:00:00"/>
    <s v="Farkas Regina - Shinkyo SE"/>
    <x v="0"/>
  </r>
  <r>
    <x v="15"/>
    <s v="HUN"/>
    <n v="0"/>
    <s v="14 fő esetén: 1-8 helyezett"/>
    <s v="Szigetszentmiklós"/>
    <d v="2026-03-22T00:00:00"/>
    <s v="Imre Zoé Julianna - KSE Tarján"/>
    <x v="0"/>
  </r>
  <r>
    <x v="25"/>
    <s v="HUN"/>
    <n v="6"/>
    <m/>
    <s v="Várpalota"/>
    <d v="2026-02-28T00:00:00"/>
    <s v="Boka Norman Eliot - Katana SE"/>
    <x v="0"/>
  </r>
  <r>
    <x v="25"/>
    <s v="HUN"/>
    <n v="5"/>
    <m/>
    <s v="Várpalota"/>
    <d v="2026-02-28T00:00:00"/>
    <s v="Szenner Valentin - Katana SE"/>
    <x v="0"/>
  </r>
  <r>
    <x v="13"/>
    <s v="HUN"/>
    <n v="3"/>
    <m/>
    <s v="Várpalota"/>
    <d v="2026-02-28T00:00:00"/>
    <s v="Zajácz Miklós - Kamikaze S"/>
    <x v="0"/>
  </r>
  <r>
    <x v="29"/>
    <s v="HUN"/>
    <n v="4"/>
    <m/>
    <s v="Várpalota"/>
    <d v="2026-02-28T00:00:00"/>
    <s v="Szabó Máté Péter - WARRIORS TEAM"/>
    <x v="0"/>
  </r>
  <r>
    <x v="36"/>
    <s v="HUN"/>
    <n v="3"/>
    <m/>
    <s v="Várpalota"/>
    <d v="2026-02-28T00:00:00"/>
    <s v="Horsik Zente József - POWER SE."/>
    <x v="0"/>
  </r>
  <r>
    <x v="25"/>
    <s v="HUN"/>
    <n v="0"/>
    <m/>
    <s v="Várpalota"/>
    <d v="2026-02-28T00:00:00"/>
    <s v="Mohai Szilárd - Katana SE"/>
    <x v="0"/>
  </r>
  <r>
    <x v="24"/>
    <s v="HUN"/>
    <n v="3"/>
    <m/>
    <s v="Várpalota"/>
    <d v="2026-02-28T00:00:00"/>
    <s v="Adamecz Milán - Nagykátai Bushido SE"/>
    <x v="0"/>
  </r>
  <r>
    <x v="23"/>
    <s v="HUN"/>
    <n v="0"/>
    <m/>
    <s v="Várpalota"/>
    <d v="2026-02-28T00:00:00"/>
    <s v="Odorics Zétény - Rakurai"/>
    <x v="0"/>
  </r>
  <r>
    <x v="19"/>
    <s v="HUN"/>
    <n v="3"/>
    <m/>
    <s v="Várpalota"/>
    <d v="2026-02-28T00:00:00"/>
    <s v="Vig Boglárka - VTSE"/>
    <x v="1"/>
  </r>
  <r>
    <x v="4"/>
    <s v="HUN"/>
    <n v="0"/>
    <m/>
    <s v="Várpalota"/>
    <d v="2026-02-28T00:00:00"/>
    <s v="Szombath Jázmin - Főnix Dojo"/>
    <x v="0"/>
  </r>
  <r>
    <x v="16"/>
    <s v="HUN"/>
    <n v="6"/>
    <m/>
    <s v="Várpalota"/>
    <d v="2026-02-28T00:00:00"/>
    <s v="Kocsis Angéla - Genbu dojo"/>
    <x v="1"/>
  </r>
  <r>
    <x v="16"/>
    <s v="HUN"/>
    <n v="5"/>
    <m/>
    <s v="Várpalota"/>
    <d v="2026-02-28T00:00:00"/>
    <s v="Kocsis Nóra - Genbu dojo"/>
    <x v="1"/>
  </r>
  <r>
    <x v="4"/>
    <s v="HUN"/>
    <n v="3"/>
    <m/>
    <s v="Várpalota"/>
    <d v="2026-02-28T00:00:00"/>
    <s v="Janás Mia - Főnix Dojo"/>
    <x v="0"/>
  </r>
  <r>
    <x v="36"/>
    <s v="HUN"/>
    <n v="6"/>
    <m/>
    <s v="Várpalota"/>
    <d v="2026-02-28T00:00:00"/>
    <s v="Szabó Zoltán Szüa - POWER SE."/>
    <x v="0"/>
  </r>
  <r>
    <x v="28"/>
    <s v="HUN"/>
    <n v="5"/>
    <m/>
    <s v="Várpalota"/>
    <d v="2026-02-28T00:00:00"/>
    <s v="Bárkovics Áron - KKE - Spartacus"/>
    <x v="0"/>
  </r>
  <r>
    <x v="19"/>
    <s v="HUN"/>
    <n v="3"/>
    <m/>
    <s v="Várpalota"/>
    <d v="2026-02-28T00:00:00"/>
    <s v="Béres Bence - VTSE"/>
    <x v="1"/>
  </r>
  <r>
    <x v="19"/>
    <s v="HUN"/>
    <n v="8"/>
    <m/>
    <s v="Várpalota"/>
    <d v="2026-02-28T00:00:00"/>
    <s v="Vig Bendegúz - VTSE"/>
    <x v="1"/>
  </r>
  <r>
    <x v="28"/>
    <s v="HUN"/>
    <n v="6"/>
    <m/>
    <s v="Várpalota"/>
    <d v="2026-02-28T00:00:00"/>
    <s v="Orosz Márkó - KKE - Spartacus"/>
    <x v="0"/>
  </r>
  <r>
    <x v="28"/>
    <s v="HUN"/>
    <n v="4"/>
    <m/>
    <s v="Várpalota"/>
    <d v="2026-02-28T00:00:00"/>
    <s v="Tóth Kornél - KKE - Spartacus"/>
    <x v="0"/>
  </r>
  <r>
    <x v="19"/>
    <s v="HUN"/>
    <n v="4"/>
    <m/>
    <s v="Várpalota"/>
    <d v="2026-02-28T00:00:00"/>
    <s v="Viszugyel Bálint - VTSE"/>
    <x v="1"/>
  </r>
  <r>
    <x v="26"/>
    <s v="HUN"/>
    <n v="0"/>
    <s v="nem volt nyertes mérkőzése"/>
    <s v="Várpalota"/>
    <d v="2026-02-28T00:00:00"/>
    <s v="Hadnagy Barnabás - Rokku KKSE"/>
    <x v="0"/>
  </r>
  <r>
    <x v="4"/>
    <s v="HUN"/>
    <n v="0"/>
    <s v="nem volt nyertes mérkőzése"/>
    <s v="Várpalota"/>
    <d v="2026-02-28T00:00:00"/>
    <s v="Munkácsi Ádám - Főnix Dojo"/>
    <x v="0"/>
  </r>
  <r>
    <x v="58"/>
    <s v="HUN"/>
    <n v="0"/>
    <s v="nem volt nyertes mérkőzése"/>
    <s v="Várpalota"/>
    <d v="2026-02-28T00:00:00"/>
    <s v="Ujj Szabolcs - Marcali SKK"/>
    <x v="0"/>
  </r>
  <r>
    <x v="37"/>
    <s v="HUN"/>
    <n v="0"/>
    <s v="nem volt nyertes mérkőzése"/>
    <s v="Várpalota"/>
    <d v="2026-02-28T00:00:00"/>
    <s v="Lőrincz Bence - ASE Bulldog KKSZCS"/>
    <x v="0"/>
  </r>
  <r>
    <x v="23"/>
    <s v="HUN"/>
    <n v="0"/>
    <m/>
    <s v="Várpalota"/>
    <d v="2026-02-28T00:00:00"/>
    <s v="Kámán Márton - Rakurai"/>
    <x v="0"/>
  </r>
  <r>
    <x v="26"/>
    <s v="HUN"/>
    <n v="3"/>
    <m/>
    <s v="Várpalota"/>
    <d v="2026-02-28T00:00:00"/>
    <s v="Bánfi Botond - Rokku KKSE"/>
    <x v="0"/>
  </r>
  <r>
    <x v="26"/>
    <s v="HUN"/>
    <n v="0"/>
    <m/>
    <s v="Várpalota"/>
    <d v="2026-02-28T00:00:00"/>
    <s v="Reinhofer Patrik - Rokku KKSE"/>
    <x v="0"/>
  </r>
  <r>
    <x v="23"/>
    <s v="HUN"/>
    <n v="6"/>
    <m/>
    <s v="Várpalota"/>
    <d v="2026-02-28T00:00:00"/>
    <s v="Villasenor Babos Viktor Éliás - Rakurai"/>
    <x v="0"/>
  </r>
  <r>
    <x v="23"/>
    <s v="HUN"/>
    <n v="5"/>
    <m/>
    <s v="Várpalota"/>
    <d v="2026-02-28T00:00:00"/>
    <s v="Finta Csanád - Rakurai"/>
    <x v="0"/>
  </r>
  <r>
    <x v="28"/>
    <s v="HUN"/>
    <n v="3"/>
    <m/>
    <s v="Várpalota"/>
    <d v="2026-02-28T00:00:00"/>
    <s v="Nagy Kevin  - KKE - Spartacus"/>
    <x v="0"/>
  </r>
  <r>
    <x v="36"/>
    <s v="HUN"/>
    <n v="3"/>
    <m/>
    <s v="Várpalota"/>
    <d v="2026-02-28T00:00:00"/>
    <s v="Nagy Richárd - POWER SE."/>
    <x v="0"/>
  </r>
  <r>
    <x v="4"/>
    <s v="HUN"/>
    <n v="0"/>
    <m/>
    <s v="Várpalota"/>
    <d v="2026-02-28T00:00:00"/>
    <s v="Gaál-Vajai Tamás - Főnix Dojo"/>
    <x v="0"/>
  </r>
  <r>
    <x v="26"/>
    <s v="HUN"/>
    <n v="0"/>
    <m/>
    <s v="Várpalota"/>
    <d v="2026-02-28T00:00:00"/>
    <s v="Salga Márton - Rokku KKSE"/>
    <x v="0"/>
  </r>
  <r>
    <x v="20"/>
    <s v="HUN"/>
    <n v="0"/>
    <m/>
    <s v="Várpalota"/>
    <d v="2026-02-28T00:00:00"/>
    <s v="Tóth Dominik István - Griff SE"/>
    <x v="0"/>
  </r>
  <r>
    <x v="23"/>
    <s v="HUN"/>
    <n v="0"/>
    <m/>
    <s v="Várpalota"/>
    <d v="2026-02-28T00:00:00"/>
    <s v="Nagy Nimród - Rakurai"/>
    <x v="0"/>
  </r>
  <r>
    <x v="23"/>
    <s v="HUN"/>
    <n v="3"/>
    <m/>
    <s v="Várpalota"/>
    <d v="2026-02-28T00:00:00"/>
    <s v="Bogdán Szonja Boróka - Rakurai"/>
    <x v="0"/>
  </r>
  <r>
    <x v="13"/>
    <s v="HUN"/>
    <n v="0"/>
    <m/>
    <s v="Várpalota"/>
    <d v="2026-02-28T00:00:00"/>
    <s v="Horváth Liliána - Kamikaze S"/>
    <x v="0"/>
  </r>
  <r>
    <x v="4"/>
    <s v="HUN"/>
    <n v="6"/>
    <m/>
    <s v="Várpalota"/>
    <d v="2026-02-28T00:00:00"/>
    <s v="Nagy Anna - Főnix Dojo"/>
    <x v="0"/>
  </r>
  <r>
    <x v="19"/>
    <s v="HUN"/>
    <n v="5"/>
    <m/>
    <s v="Várpalota"/>
    <d v="2026-02-28T00:00:00"/>
    <s v="Reichert Hanna  - VTSE"/>
    <x v="1"/>
  </r>
  <r>
    <x v="42"/>
    <s v="HUN"/>
    <n v="3"/>
    <m/>
    <s v="Várpalota"/>
    <d v="2026-02-28T00:00:00"/>
    <s v="Kiss-Juhász Hanga - Tora HSE"/>
    <x v="1"/>
  </r>
  <r>
    <x v="29"/>
    <s v="HUN"/>
    <n v="4"/>
    <m/>
    <s v="Várpalota"/>
    <d v="2026-02-28T00:00:00"/>
    <s v="Bennárik Bella - WARRIORS TEAM"/>
    <x v="0"/>
  </r>
  <r>
    <x v="25"/>
    <s v="HUN"/>
    <n v="3"/>
    <m/>
    <s v="Várpalota"/>
    <d v="2026-02-28T00:00:00"/>
    <s v="Szabó Anna Tímea - Katana SE"/>
    <x v="0"/>
  </r>
  <r>
    <x v="40"/>
    <s v="HUN"/>
    <n v="0"/>
    <m/>
    <s v="Várpalota"/>
    <d v="2026-02-28T00:00:00"/>
    <s v="Virág Boglárka Csenge - Keszth.KKK"/>
    <x v="0"/>
  </r>
  <r>
    <x v="19"/>
    <s v="HUN"/>
    <n v="4"/>
    <m/>
    <s v="Várpalota"/>
    <d v="2026-02-28T00:00:00"/>
    <s v="Szente Beatrix - VTSE"/>
    <x v="1"/>
  </r>
  <r>
    <x v="23"/>
    <s v="HUN"/>
    <n v="3"/>
    <m/>
    <s v="Várpalota"/>
    <d v="2026-02-28T00:00:00"/>
    <s v="Bota Sára - Rakurai"/>
    <x v="0"/>
  </r>
  <r>
    <x v="25"/>
    <s v="HUN"/>
    <n v="0"/>
    <m/>
    <s v="Várpalota"/>
    <d v="2026-02-28T00:00:00"/>
    <s v="Tóth-Krisó Míra - Katana SE"/>
    <x v="0"/>
  </r>
  <r>
    <x v="16"/>
    <s v="HUN"/>
    <n v="4"/>
    <m/>
    <s v="Várpalota"/>
    <d v="2026-02-28T00:00:00"/>
    <s v="Nagy Hanna Míra - Genbu dojo"/>
    <x v="1"/>
  </r>
  <r>
    <x v="4"/>
    <s v="HUN"/>
    <n v="3"/>
    <m/>
    <s v="Várpalota"/>
    <d v="2026-02-28T00:00:00"/>
    <s v="Sülyi Luca - Főnix Dojo"/>
    <x v="0"/>
  </r>
  <r>
    <x v="36"/>
    <s v="HUN"/>
    <n v="0"/>
    <m/>
    <s v="Várpalota"/>
    <d v="2026-02-28T00:00:00"/>
    <s v="Balogh Dóra Panna - POWER SE."/>
    <x v="0"/>
  </r>
  <r>
    <x v="23"/>
    <s v="HUN"/>
    <n v="3"/>
    <m/>
    <s v="Várpalota"/>
    <d v="2026-02-28T00:00:00"/>
    <s v="Ható Amanda - Rakurai"/>
    <x v="0"/>
  </r>
  <r>
    <x v="42"/>
    <s v="HUN"/>
    <n v="0"/>
    <m/>
    <s v="Várpalota"/>
    <d v="2026-02-28T00:00:00"/>
    <s v="Apjok Réka - Tora HSE"/>
    <x v="1"/>
  </r>
  <r>
    <x v="17"/>
    <s v="HUN"/>
    <n v="6"/>
    <m/>
    <s v="Várpalota"/>
    <d v="2026-02-28T00:00:00"/>
    <s v="Zsin Zsófia - BHMSE"/>
    <x v="0"/>
  </r>
  <r>
    <x v="19"/>
    <s v="HUN"/>
    <n v="5"/>
    <m/>
    <s v="Várpalota"/>
    <d v="2026-02-28T00:00:00"/>
    <s v="Lukács Éva - VTSE"/>
    <x v="1"/>
  </r>
  <r>
    <x v="29"/>
    <s v="HUN"/>
    <n v="3"/>
    <m/>
    <s v="Várpalota"/>
    <d v="2026-02-28T00:00:00"/>
    <s v="Demeter Zsófia - WARRIORS TEAM"/>
    <x v="0"/>
  </r>
  <r>
    <x v="13"/>
    <s v="HUN"/>
    <n v="3"/>
    <m/>
    <s v="Várpalota"/>
    <d v="2026-02-28T00:00:00"/>
    <s v="Csonka Kata - Kamikaze S"/>
    <x v="0"/>
  </r>
  <r>
    <x v="40"/>
    <s v="HUN"/>
    <n v="0"/>
    <m/>
    <s v="Várpalota"/>
    <d v="2026-02-28T00:00:00"/>
    <s v="Komondi Veronika Nilla - Keszth.KKK"/>
    <x v="0"/>
  </r>
  <r>
    <x v="57"/>
    <s v="HUN"/>
    <n v="8"/>
    <m/>
    <s v="Gyöngyös"/>
    <d v="2026-03-07T00:00:00"/>
    <s v="Balogh Levente - Magna Dojo"/>
    <x v="0"/>
  </r>
  <r>
    <x v="3"/>
    <s v="HUN"/>
    <n v="6"/>
    <m/>
    <s v="Gyöngyös"/>
    <d v="2026-03-07T00:00:00"/>
    <s v="Eszenyi Barnabás - Shogun"/>
    <x v="0"/>
  </r>
  <r>
    <x v="3"/>
    <s v="HUN"/>
    <n v="4"/>
    <m/>
    <s v="Gyöngyös"/>
    <d v="2026-03-07T00:00:00"/>
    <s v="Tarr Bence - Shogun"/>
    <x v="0"/>
  </r>
  <r>
    <x v="50"/>
    <s v="HUN"/>
    <n v="3"/>
    <m/>
    <s v="Gyöngyös"/>
    <d v="2026-03-07T00:00:00"/>
    <s v="Hegedűs Botond - Keizoku SE"/>
    <x v="0"/>
  </r>
  <r>
    <x v="7"/>
    <s v="HUN"/>
    <n v="4"/>
    <m/>
    <s v="Gyöngyös"/>
    <d v="2026-03-07T00:00:00"/>
    <s v="Ratkai János - KHSE"/>
    <x v="0"/>
  </r>
  <r>
    <x v="56"/>
    <s v="HUN"/>
    <n v="3"/>
    <m/>
    <s v="Gyöngyös"/>
    <d v="2026-03-07T00:00:00"/>
    <s v="Kerékgyártó Tamás - Wheelmaker dojo SE"/>
    <x v="1"/>
  </r>
  <r>
    <x v="7"/>
    <s v="HUN"/>
    <n v="0"/>
    <m/>
    <s v="Gyöngyös"/>
    <d v="2026-03-07T00:00:00"/>
    <s v="Borsi Krisztián - KHSE"/>
    <x v="0"/>
  </r>
  <r>
    <x v="7"/>
    <s v="HUN"/>
    <n v="6"/>
    <m/>
    <s v="Gyöngyös"/>
    <d v="2026-03-07T00:00:00"/>
    <s v="Borsi Balázs - KHSE"/>
    <x v="0"/>
  </r>
  <r>
    <x v="51"/>
    <s v="HUN"/>
    <n v="5"/>
    <m/>
    <s v="Gyöngyös"/>
    <d v="2026-03-07T00:00:00"/>
    <s v="Kiss Levente - Derecske BUDO"/>
    <x v="0"/>
  </r>
  <r>
    <x v="51"/>
    <s v="HUN"/>
    <n v="3"/>
    <m/>
    <s v="Gyöngyös"/>
    <d v="2026-03-07T00:00:00"/>
    <s v="Kiss István - Derecske BUDO"/>
    <x v="0"/>
  </r>
  <r>
    <x v="3"/>
    <s v="HUN"/>
    <n v="3"/>
    <m/>
    <s v="Gyöngyös"/>
    <d v="2026-03-07T00:00:00"/>
    <s v="Némethy Balázs - Shogun"/>
    <x v="0"/>
  </r>
  <r>
    <x v="3"/>
    <s v="HUN"/>
    <n v="0"/>
    <m/>
    <s v="Gyöngyös"/>
    <d v="2026-03-07T00:00:00"/>
    <s v="Bervanger Bálint - Shogun"/>
    <x v="0"/>
  </r>
  <r>
    <x v="7"/>
    <s v="HUN"/>
    <n v="0"/>
    <m/>
    <s v="Gyöngyös"/>
    <d v="2026-03-07T00:00:00"/>
    <s v="Vágó Ákos - KHSE"/>
    <x v="0"/>
  </r>
  <r>
    <x v="3"/>
    <s v="HUN"/>
    <n v="0"/>
    <m/>
    <s v="Gyöngyös"/>
    <d v="2026-03-07T00:00:00"/>
    <s v="Gyuricska Benedek - Shogun"/>
    <x v="0"/>
  </r>
  <r>
    <x v="3"/>
    <s v="HUN"/>
    <n v="3"/>
    <m/>
    <s v="Gyöngyös"/>
    <d v="2026-03-07T00:00:00"/>
    <s v="Fürjesi Eszter - Shogun"/>
    <x v="0"/>
  </r>
  <r>
    <x v="46"/>
    <s v="HUN"/>
    <n v="0"/>
    <m/>
    <s v="Gyöngyös"/>
    <d v="2026-03-07T00:00:00"/>
    <s v="Huszár Hanna - Kemecse SE"/>
    <x v="0"/>
  </r>
  <r>
    <x v="7"/>
    <s v="HUN"/>
    <n v="3"/>
    <m/>
    <s v="Gyöngyös"/>
    <d v="2026-03-07T00:00:00"/>
    <s v="Matkó Gréta - KHSE"/>
    <x v="0"/>
  </r>
  <r>
    <x v="3"/>
    <s v="HUN"/>
    <n v="0"/>
    <m/>
    <s v="Gyöngyös"/>
    <d v="2026-03-07T00:00:00"/>
    <s v="Dászkál Dorottya - Shogun"/>
    <x v="0"/>
  </r>
  <r>
    <x v="47"/>
    <s v="HUN"/>
    <n v="4"/>
    <m/>
    <s v="Gyöngyös"/>
    <d v="2026-03-07T00:00:00"/>
    <s v="Székely Lázár - KYO Fighter SE"/>
    <x v="0"/>
  </r>
  <r>
    <x v="56"/>
    <s v="HUN"/>
    <n v="3"/>
    <m/>
    <s v="Gyöngyös"/>
    <d v="2026-03-07T00:00:00"/>
    <s v="Palmer Ádám - Wheelmaker dojo SE"/>
    <x v="1"/>
  </r>
  <r>
    <x v="56"/>
    <s v="HUN"/>
    <n v="0"/>
    <m/>
    <s v="Gyöngyös"/>
    <d v="2026-03-07T00:00:00"/>
    <s v="Bara András - Wheelmaker dojo SE"/>
    <x v="1"/>
  </r>
  <r>
    <x v="56"/>
    <s v="HUN"/>
    <n v="6"/>
    <m/>
    <s v="Gyöngyös"/>
    <d v="2026-03-07T00:00:00"/>
    <s v="Vékony Márk - Wheelmaker dojo SE"/>
    <x v="1"/>
  </r>
  <r>
    <x v="59"/>
    <s v="HUN"/>
    <n v="5"/>
    <m/>
    <s v="Gyöngyös"/>
    <d v="2026-03-07T00:00:00"/>
    <s v="Simao Roberto - Délegyházi Karate SE"/>
    <x v="1"/>
  </r>
  <r>
    <x v="5"/>
    <s v="HUN"/>
    <n v="3"/>
    <m/>
    <s v="Gyöngyös"/>
    <d v="2026-03-07T00:00:00"/>
    <s v="Kollár Gergő - TADASHII "/>
    <x v="1"/>
  </r>
  <r>
    <x v="51"/>
    <s v="HUN"/>
    <n v="3"/>
    <m/>
    <s v="Gyöngyös"/>
    <d v="2026-03-07T00:00:00"/>
    <s v="Száraz Zsombor - Derecske BUDO"/>
    <x v="0"/>
  </r>
  <r>
    <x v="7"/>
    <s v="HUN"/>
    <n v="0"/>
    <m/>
    <s v="Gyöngyös"/>
    <d v="2026-03-07T00:00:00"/>
    <s v="Tokaji Bocsárd Norbert - KHSE"/>
    <x v="0"/>
  </r>
  <r>
    <x v="7"/>
    <s v="HUN"/>
    <n v="3"/>
    <m/>
    <s v="Gyöngyös"/>
    <d v="2026-03-07T00:00:00"/>
    <s v="Virág Marcell Máté - KHSE"/>
    <x v="0"/>
  </r>
  <r>
    <x v="7"/>
    <s v="HUN"/>
    <n v="0"/>
    <m/>
    <s v="Gyöngyös"/>
    <d v="2026-03-07T00:00:00"/>
    <s v="Elek János - KHSE"/>
    <x v="0"/>
  </r>
  <r>
    <x v="7"/>
    <s v="HUN"/>
    <n v="3"/>
    <m/>
    <s v="Gyöngyös"/>
    <d v="2026-03-07T00:00:00"/>
    <s v="Furó Liliána - KHSE"/>
    <x v="0"/>
  </r>
  <r>
    <x v="51"/>
    <s v="HUN"/>
    <n v="0"/>
    <m/>
    <s v="Gyöngyös"/>
    <d v="2026-03-07T00:00:00"/>
    <s v="Kiss Boglárka - Derecske BUDO"/>
    <x v="0"/>
  </r>
  <r>
    <x v="5"/>
    <s v="HUN"/>
    <n v="8"/>
    <m/>
    <s v="Gyöngyös"/>
    <d v="2026-03-07T00:00:00"/>
    <s v="Fránki Réka - TADASHII "/>
    <x v="1"/>
  </r>
  <r>
    <x v="7"/>
    <s v="HUN"/>
    <n v="6"/>
    <m/>
    <s v="Gyöngyös"/>
    <d v="2026-03-07T00:00:00"/>
    <s v="Pénzes Zsófia - KHSE"/>
    <x v="0"/>
  </r>
  <r>
    <x v="51"/>
    <s v="HUN"/>
    <n v="4"/>
    <m/>
    <s v="Gyöngyös"/>
    <d v="2026-03-07T00:00:00"/>
    <s v="Albert Szilvia Cintia - Derecske BUDO"/>
    <x v="0"/>
  </r>
  <r>
    <x v="10"/>
    <s v="HUN"/>
    <n v="3"/>
    <m/>
    <s v="Gyöngyös"/>
    <d v="2026-03-07T00:00:00"/>
    <s v="Kovács Viktória - Nintai KKSE"/>
    <x v="1"/>
  </r>
  <r>
    <x v="57"/>
    <s v="HUN"/>
    <n v="8"/>
    <m/>
    <s v="Szigetszentmiklós"/>
    <d v="2026-03-22T00:00:00"/>
    <s v="Balogh Levente - Magna Dojo"/>
    <x v="0"/>
  </r>
  <r>
    <x v="25"/>
    <s v="HUN"/>
    <n v="6"/>
    <m/>
    <s v="Szigetszentmiklós"/>
    <d v="2026-03-22T00:00:00"/>
    <s v="Boka Norman Eliot - Katana SE"/>
    <x v="0"/>
  </r>
  <r>
    <x v="25"/>
    <s v="HUN"/>
    <n v="4"/>
    <m/>
    <s v="Szigetszentmiklós"/>
    <d v="2026-03-22T00:00:00"/>
    <s v="Szenner Valentin - Katana SE"/>
    <x v="0"/>
  </r>
  <r>
    <x v="50"/>
    <s v="HUN"/>
    <n v="4"/>
    <m/>
    <s v="Szigetszentmiklós"/>
    <d v="2026-03-22T00:00:00"/>
    <s v="Hegedűs Botond - Keizoku SE"/>
    <x v="0"/>
  </r>
  <r>
    <x v="13"/>
    <s v="HUN"/>
    <n v="0"/>
    <s v="nem volt nyertes mérkőzése"/>
    <s v="Szigetszentmiklós"/>
    <d v="2026-03-22T00:00:00"/>
    <s v="Zajácz Miklós - Kamikaze S"/>
    <x v="0"/>
  </r>
  <r>
    <x v="50"/>
    <s v="HUN"/>
    <n v="0"/>
    <s v="nem volt nyertes mérkőzése"/>
    <s v="Szigetszentmiklós"/>
    <d v="2026-03-22T00:00:00"/>
    <s v="Kiss Adrián - Keizoku SE"/>
    <x v="0"/>
  </r>
  <r>
    <x v="28"/>
    <s v="HUN"/>
    <n v="2"/>
    <m/>
    <s v="Szigetszentmiklós"/>
    <d v="2026-03-22T00:00:00"/>
    <s v="Molnár I. Zétény - KKE - Spartacus"/>
    <x v="0"/>
  </r>
  <r>
    <x v="3"/>
    <s v="HUN"/>
    <n v="0"/>
    <s v="nem volt nyertes mérkőzése"/>
    <s v="Szigetszentmiklós"/>
    <d v="2026-03-22T00:00:00"/>
    <s v="Eszenyi Barnabás - Shogun"/>
    <x v="0"/>
  </r>
  <r>
    <x v="19"/>
    <s v="HUN"/>
    <n v="0"/>
    <m/>
    <s v="Szigetszentmiklós"/>
    <d v="2026-03-22T00:00:00"/>
    <s v="Gordos Zalán - VTSE"/>
    <x v="1"/>
  </r>
  <r>
    <x v="3"/>
    <s v="HUN"/>
    <n v="0"/>
    <m/>
    <s v="Szigetszentmiklós"/>
    <d v="2026-03-22T00:00:00"/>
    <s v="Tarr Bence - Shogun"/>
    <x v="0"/>
  </r>
  <r>
    <x v="29"/>
    <s v="HUN"/>
    <n v="6"/>
    <m/>
    <s v="Szigetszentmiklós"/>
    <d v="2026-03-22T00:00:00"/>
    <s v="Szabó Máté Péter - WARRIORS TEAM"/>
    <x v="0"/>
  </r>
  <r>
    <x v="7"/>
    <s v="HUN"/>
    <n v="5"/>
    <m/>
    <s v="Szigetszentmiklós"/>
    <d v="2026-03-22T00:00:00"/>
    <s v="Borsi Krisztián - KHSE"/>
    <x v="0"/>
  </r>
  <r>
    <x v="56"/>
    <s v="HUN"/>
    <n v="3"/>
    <m/>
    <s v="Szigetszentmiklós"/>
    <d v="2026-03-22T00:00:00"/>
    <s v="Kerékgyártó Tamás - Wheelmaker dojo SE"/>
    <x v="1"/>
  </r>
  <r>
    <x v="7"/>
    <s v="HUN"/>
    <n v="2"/>
    <m/>
    <s v="Szigetszentmiklós"/>
    <d v="2026-03-22T00:00:00"/>
    <s v="Ratkai János - KHSE"/>
    <x v="0"/>
  </r>
  <r>
    <x v="7"/>
    <s v="HUN"/>
    <n v="6"/>
    <m/>
    <s v="Szigetszentmiklós"/>
    <d v="2026-03-22T00:00:00"/>
    <s v="Vágó Ákos - KHSE"/>
    <x v="0"/>
  </r>
  <r>
    <x v="51"/>
    <s v="HUN"/>
    <n v="5"/>
    <m/>
    <s v="Szigetszentmiklós"/>
    <d v="2026-03-22T00:00:00"/>
    <s v="Kiss Levente - Derecske BUDO"/>
    <x v="0"/>
  </r>
  <r>
    <x v="7"/>
    <s v="HUN"/>
    <n v="3"/>
    <m/>
    <s v="Szigetszentmiklós"/>
    <d v="2026-03-22T00:00:00"/>
    <s v="Borsi Balázs - KHSE"/>
    <x v="0"/>
  </r>
  <r>
    <x v="3"/>
    <s v="HUN"/>
    <n v="3"/>
    <m/>
    <s v="Szigetszentmiklós"/>
    <d v="2026-03-22T00:00:00"/>
    <s v="Gyuricska Benedek - Shogun"/>
    <x v="0"/>
  </r>
  <r>
    <x v="24"/>
    <s v="HUN"/>
    <n v="0"/>
    <m/>
    <s v="Szigetszentmiklós"/>
    <d v="2026-03-22T00:00:00"/>
    <s v="Adamecz Milán - Nagykátai Bushido SE"/>
    <x v="0"/>
  </r>
  <r>
    <x v="3"/>
    <s v="HUN"/>
    <n v="0"/>
    <m/>
    <s v="Szigetszentmiklós"/>
    <d v="2026-03-22T00:00:00"/>
    <s v="Némethy Balázs - Shogun"/>
    <x v="0"/>
  </r>
  <r>
    <x v="51"/>
    <s v="HUN"/>
    <n v="0"/>
    <m/>
    <s v="Szigetszentmiklós"/>
    <d v="2026-03-22T00:00:00"/>
    <s v="Kiss István - Derecske BUDO"/>
    <x v="0"/>
  </r>
  <r>
    <x v="23"/>
    <s v="HUN"/>
    <n v="0"/>
    <m/>
    <s v="Szigetszentmiklós"/>
    <d v="2026-03-22T00:00:00"/>
    <s v="Odorics Zétény - Rakurai"/>
    <x v="0"/>
  </r>
  <r>
    <x v="3"/>
    <s v="HUN"/>
    <n v="3"/>
    <m/>
    <s v="Szigetszentmiklós"/>
    <d v="2026-03-22T00:00:00"/>
    <s v="Fürjesi Eszter - Shogun"/>
    <x v="0"/>
  </r>
  <r>
    <x v="46"/>
    <s v="HUN"/>
    <n v="0"/>
    <m/>
    <s v="Szigetszentmiklós"/>
    <d v="2026-03-22T00:00:00"/>
    <s v="Huszár Hanna - Kemecse SE"/>
    <x v="0"/>
  </r>
  <r>
    <x v="19"/>
    <s v="HUN"/>
    <n v="3"/>
    <m/>
    <s v="Szigetszentmiklós"/>
    <d v="2026-03-22T00:00:00"/>
    <s v="Vig Boglárka - VTSE"/>
    <x v="1"/>
  </r>
  <r>
    <x v="4"/>
    <s v="HUN"/>
    <n v="0"/>
    <m/>
    <s v="Szigetszentmiklós"/>
    <d v="2026-03-22T00:00:00"/>
    <s v="Szombath Jázmin - Főnix Dojo"/>
    <x v="0"/>
  </r>
  <r>
    <x v="7"/>
    <s v="HUN"/>
    <n v="6"/>
    <m/>
    <s v="Szigetszentmiklós"/>
    <d v="2026-03-22T00:00:00"/>
    <s v="Matkó Gréta - KHSE"/>
    <x v="0"/>
  </r>
  <r>
    <x v="16"/>
    <s v="HUN"/>
    <n v="5"/>
    <m/>
    <s v="Szigetszentmiklós"/>
    <d v="2026-03-22T00:00:00"/>
    <s v="Kocsis Nóra - Genbu dojo"/>
    <x v="1"/>
  </r>
  <r>
    <x v="16"/>
    <s v="HUN"/>
    <n v="3"/>
    <m/>
    <s v="Szigetszentmiklós"/>
    <d v="2026-03-22T00:00:00"/>
    <s v="Kocsis Angéla - Genbu dojo"/>
    <x v="1"/>
  </r>
  <r>
    <x v="36"/>
    <s v="HUN"/>
    <n v="0"/>
    <m/>
    <s v="Szigetszentmiklós"/>
    <d v="2026-03-22T00:00:00"/>
    <s v="Szabó Lídia Lillada - POWER SE."/>
    <x v="0"/>
  </r>
  <r>
    <x v="3"/>
    <s v="HUN"/>
    <n v="0"/>
    <m/>
    <s v="Szigetszentmiklós"/>
    <d v="2026-03-22T00:00:00"/>
    <s v="Dászkál Dorottya - Shogun"/>
    <x v="0"/>
  </r>
  <r>
    <x v="4"/>
    <s v="HUN"/>
    <n v="0"/>
    <m/>
    <s v="Szigetszentmiklós"/>
    <d v="2026-03-22T00:00:00"/>
    <s v="Janás Mia - Főnix Dojo"/>
    <x v="0"/>
  </r>
  <r>
    <x v="28"/>
    <s v="HUN"/>
    <n v="8"/>
    <m/>
    <s v="Szigetszentmiklós"/>
    <d v="2026-03-22T00:00:00"/>
    <s v="Bárkovics Áron - KKE - Spartacus"/>
    <x v="0"/>
  </r>
  <r>
    <x v="24"/>
    <s v="HUN"/>
    <n v="6"/>
    <m/>
    <s v="Szigetszentmiklós"/>
    <d v="2026-03-22T00:00:00"/>
    <s v="Böszörményi Bendegúz  - Nagykátai Bushido SE"/>
    <x v="0"/>
  </r>
  <r>
    <x v="36"/>
    <s v="HUN"/>
    <n v="4"/>
    <m/>
    <s v="Szigetszentmiklós"/>
    <d v="2026-03-22T00:00:00"/>
    <s v="Szabó Zoltán Szüa - POWER SE."/>
    <x v="0"/>
  </r>
  <r>
    <x v="24"/>
    <s v="HUN"/>
    <n v="4"/>
    <m/>
    <s v="Szigetszentmiklós"/>
    <d v="2026-03-22T00:00:00"/>
    <s v="Hegedűs Zsombor - Nagykátai Bushido SE"/>
    <x v="0"/>
  </r>
  <r>
    <x v="56"/>
    <s v="HUN"/>
    <n v="0"/>
    <s v="nem volt nyertes mérkőzése"/>
    <s v="Szigetszentmiklós"/>
    <d v="2026-03-22T00:00:00"/>
    <s v="Bara András - Wheelmaker dojo SE"/>
    <x v="1"/>
  </r>
  <r>
    <x v="47"/>
    <s v="HUN"/>
    <n v="0"/>
    <s v="nem volt nyertes mérkőzése"/>
    <s v="Szigetszentmiklós"/>
    <d v="2026-03-22T00:00:00"/>
    <s v="Székely Lázár - KYO Fighter SE"/>
    <x v="0"/>
  </r>
  <r>
    <x v="19"/>
    <s v="HUN"/>
    <n v="0"/>
    <s v="nem volt nyertes mérkőzése"/>
    <s v="Szigetszentmiklós"/>
    <d v="2026-03-22T00:00:00"/>
    <s v="Béres Bence - VTSE"/>
    <x v="1"/>
  </r>
  <r>
    <x v="56"/>
    <s v="HUN"/>
    <n v="0"/>
    <s v="nem volt nyertes mérkőzése"/>
    <s v="Szigetszentmiklós"/>
    <d v="2026-03-22T00:00:00"/>
    <s v="Palmer Ádám - Wheelmaker dojo SE"/>
    <x v="1"/>
  </r>
  <r>
    <x v="23"/>
    <s v="HUN"/>
    <n v="0"/>
    <m/>
    <s v="Szigetszentmiklós"/>
    <d v="2026-03-22T00:00:00"/>
    <s v="Rudi Gergő - Rakurai"/>
    <x v="0"/>
  </r>
  <r>
    <x v="19"/>
    <s v="HUN"/>
    <n v="8"/>
    <m/>
    <s v="Szigetszentmiklós"/>
    <d v="2026-03-22T00:00:00"/>
    <s v="Viszugyel Bálint - VTSE"/>
    <x v="1"/>
  </r>
  <r>
    <x v="19"/>
    <s v="HUN"/>
    <n v="6"/>
    <m/>
    <s v="Szigetszentmiklós"/>
    <d v="2026-03-22T00:00:00"/>
    <s v="Vig Bendegúz - VTSE"/>
    <x v="1"/>
  </r>
  <r>
    <x v="28"/>
    <s v="HUN"/>
    <n v="4"/>
    <m/>
    <s v="Szigetszentmiklós"/>
    <d v="2026-03-22T00:00:00"/>
    <s v="Tóth Kornél - KKE - Spartacus"/>
    <x v="0"/>
  </r>
  <r>
    <x v="59"/>
    <s v="HUN"/>
    <n v="4"/>
    <m/>
    <s v="Szigetszentmiklós"/>
    <d v="2026-03-22T00:00:00"/>
    <s v="Simao Roberto - Délegyházi Karate SE"/>
    <x v="1"/>
  </r>
  <r>
    <x v="56"/>
    <s v="HUN"/>
    <n v="0"/>
    <s v="nem volt nyertes mérkőzése"/>
    <s v="Szigetszentmiklós"/>
    <d v="2026-03-22T00:00:00"/>
    <s v="Vékony Márk - Wheelmaker dojo SE"/>
    <x v="1"/>
  </r>
  <r>
    <x v="5"/>
    <s v="HUN"/>
    <n v="0"/>
    <s v="nem volt nyertes mérkőzése"/>
    <s v="Szigetszentmiklós"/>
    <d v="2026-03-22T00:00:00"/>
    <s v="Kollár Gergő - TADASHII "/>
    <x v="1"/>
  </r>
  <r>
    <x v="23"/>
    <s v="HUN"/>
    <n v="2"/>
    <m/>
    <s v="Szigetszentmiklós"/>
    <d v="2026-03-22T00:00:00"/>
    <s v="Kámán Márton - Rakurai"/>
    <x v="0"/>
  </r>
  <r>
    <x v="26"/>
    <s v="HUN"/>
    <n v="2"/>
    <m/>
    <s v="Szigetszentmiklós"/>
    <d v="2026-03-22T00:00:00"/>
    <s v="Hadnagy Barnabás - Rokku KKSE"/>
    <x v="0"/>
  </r>
  <r>
    <x v="58"/>
    <s v="HUN"/>
    <n v="0"/>
    <m/>
    <s v="Szigetszentmiklós"/>
    <d v="2026-03-22T00:00:00"/>
    <s v="Ujj Szabolcs - Marcali SKK"/>
    <x v="0"/>
  </r>
  <r>
    <x v="37"/>
    <s v="HUN"/>
    <n v="0"/>
    <m/>
    <s v="Szigetszentmiklós"/>
    <d v="2026-03-22T00:00:00"/>
    <s v="Lőrincz Bence - ASE Bulldog KKSZCS"/>
    <x v="0"/>
  </r>
  <r>
    <x v="51"/>
    <s v="HUN"/>
    <n v="6"/>
    <m/>
    <s v="Szigetszentmiklós"/>
    <d v="2026-03-22T00:00:00"/>
    <s v="Száraz Zsombor - Derecske BUDO"/>
    <x v="0"/>
  </r>
  <r>
    <x v="7"/>
    <s v="HUN"/>
    <n v="5"/>
    <m/>
    <s v="Szigetszentmiklós"/>
    <d v="2026-03-22T00:00:00"/>
    <s v="Tokaji Bocsárd Norbert - KHSE"/>
    <x v="0"/>
  </r>
  <r>
    <x v="26"/>
    <s v="HUN"/>
    <n v="3"/>
    <m/>
    <s v="Szigetszentmiklós"/>
    <d v="2026-03-22T00:00:00"/>
    <s v="Bánfi Botond - Rokku KKSE"/>
    <x v="0"/>
  </r>
  <r>
    <x v="26"/>
    <s v="HUN"/>
    <n v="0"/>
    <s v="nem volt nyertes mérkőzése"/>
    <s v="Szigetszentmiklós"/>
    <d v="2026-03-22T00:00:00"/>
    <s v="Reinhofer Patrik - Rokku KKSE"/>
    <x v="0"/>
  </r>
  <r>
    <x v="23"/>
    <s v="HUN"/>
    <n v="6"/>
    <m/>
    <s v="Szigetszentmiklós"/>
    <d v="2026-03-22T00:00:00"/>
    <s v="Villasenor Babos Viktor Éliás - Rakurai"/>
    <x v="0"/>
  </r>
  <r>
    <x v="23"/>
    <s v="HUN"/>
    <n v="5"/>
    <m/>
    <s v="Szigetszentmiklós"/>
    <d v="2026-03-22T00:00:00"/>
    <s v="Finta Csanád - Rakurai"/>
    <x v="0"/>
  </r>
  <r>
    <x v="26"/>
    <s v="HUN"/>
    <n v="3"/>
    <m/>
    <s v="Szigetszentmiklós"/>
    <d v="2026-03-22T00:00:00"/>
    <s v="Salga Márton - Rokku KKSE"/>
    <x v="0"/>
  </r>
  <r>
    <x v="20"/>
    <s v="HUN"/>
    <n v="3"/>
    <m/>
    <s v="Szigetszentmiklós"/>
    <d v="2026-03-22T00:00:00"/>
    <s v="Tóth Dominik István - Griff SE"/>
    <x v="0"/>
  </r>
  <r>
    <x v="36"/>
    <s v="HUN"/>
    <n v="0"/>
    <m/>
    <s v="Szigetszentmiklós"/>
    <d v="2026-03-22T00:00:00"/>
    <s v="Nagy Richárd - POWER SE."/>
    <x v="0"/>
  </r>
  <r>
    <x v="4"/>
    <s v="HUN"/>
    <n v="0"/>
    <m/>
    <s v="Szigetszentmiklós"/>
    <d v="2026-03-22T00:00:00"/>
    <s v="Gaál-Vajai Tamás - Főnix Dojo"/>
    <x v="0"/>
  </r>
  <r>
    <x v="7"/>
    <s v="HUN"/>
    <n v="0"/>
    <m/>
    <s v="Szigetszentmiklós"/>
    <d v="2026-03-22T00:00:00"/>
    <s v="Virág Marcell Máté - KHSE"/>
    <x v="0"/>
  </r>
  <r>
    <x v="23"/>
    <s v="HUN"/>
    <n v="0"/>
    <m/>
    <s v="Szigetszentmiklós"/>
    <d v="2026-03-22T00:00:00"/>
    <s v="Nagy Nimród - Rakurai"/>
    <x v="0"/>
  </r>
  <r>
    <x v="23"/>
    <s v="HUN"/>
    <n v="3"/>
    <m/>
    <s v="Szigetszentmiklós"/>
    <d v="2026-03-22T00:00:00"/>
    <s v="Bogdán Szonja Boróka - Rakurai"/>
    <x v="0"/>
  </r>
  <r>
    <x v="52"/>
    <s v="HUN"/>
    <n v="0"/>
    <m/>
    <s v="Szigetszentmiklós"/>
    <d v="2026-03-22T00:00:00"/>
    <s v="Koszorus Brigitta - SONGOKU SE"/>
    <x v="0"/>
  </r>
  <r>
    <x v="23"/>
    <s v="HUN"/>
    <n v="6"/>
    <m/>
    <s v="Szigetszentmiklós"/>
    <d v="2026-03-22T00:00:00"/>
    <s v="Villasenor Babos Natália  - Rakurai"/>
    <x v="0"/>
  </r>
  <r>
    <x v="29"/>
    <s v="HUN"/>
    <n v="5"/>
    <m/>
    <s v="Szigetszentmiklós"/>
    <d v="2026-03-22T00:00:00"/>
    <s v="Volenszki Adél - WARRIORS TEAM"/>
    <x v="0"/>
  </r>
  <r>
    <x v="19"/>
    <s v="HUN"/>
    <n v="3"/>
    <m/>
    <s v="Szigetszentmiklós"/>
    <d v="2026-03-22T00:00:00"/>
    <s v="Reichert Hanna  - VTSE"/>
    <x v="1"/>
  </r>
  <r>
    <x v="4"/>
    <s v="HUN"/>
    <n v="0"/>
    <s v="nem volt nyertes mérkőzése"/>
    <s v="Szigetszentmiklós"/>
    <d v="2026-03-22T00:00:00"/>
    <s v="Nagy Anna - Főnix Dojo"/>
    <x v="0"/>
  </r>
  <r>
    <x v="5"/>
    <s v="HUN"/>
    <n v="0"/>
    <m/>
    <s v="Szigetszentmiklós"/>
    <d v="2026-03-22T00:00:00"/>
    <s v="Kiss Jázmin - TADASHII "/>
    <x v="1"/>
  </r>
  <r>
    <x v="42"/>
    <s v="HUN"/>
    <n v="0"/>
    <m/>
    <s v="Szigetszentmiklós"/>
    <d v="2026-03-22T00:00:00"/>
    <s v="Kiss-Juhász Hanga - Tora HSE"/>
    <x v="1"/>
  </r>
  <r>
    <x v="4"/>
    <s v="HUN"/>
    <n v="0"/>
    <m/>
    <s v="Szigetszentmiklós"/>
    <d v="2026-03-22T00:00:00"/>
    <s v="Gaál-Vajai Tamara - Főnix Dojo"/>
    <x v="0"/>
  </r>
  <r>
    <x v="29"/>
    <s v="HUN"/>
    <n v="6"/>
    <m/>
    <s v="Szigetszentmiklós"/>
    <d v="2026-03-22T00:00:00"/>
    <s v="Bennárik Bella - WARRIORS TEAM"/>
    <x v="0"/>
  </r>
  <r>
    <x v="46"/>
    <s v="HUN"/>
    <n v="5"/>
    <m/>
    <s v="Szigetszentmiklós"/>
    <d v="2026-03-22T00:00:00"/>
    <s v="Nándori Emma - Kemecse SE"/>
    <x v="0"/>
  </r>
  <r>
    <x v="40"/>
    <s v="HUN"/>
    <n v="3"/>
    <m/>
    <s v="Szigetszentmiklós"/>
    <d v="2026-03-22T00:00:00"/>
    <s v="Virág Boglárka Csenge - Keszth.KKK"/>
    <x v="0"/>
  </r>
  <r>
    <x v="25"/>
    <s v="HUN"/>
    <n v="0"/>
    <s v="nem volt nyertes mérkőzése"/>
    <s v="Szigetszentmiklós"/>
    <d v="2026-03-22T00:00:00"/>
    <s v="Szabó Anna Tímea - Katana SE"/>
    <x v="0"/>
  </r>
  <r>
    <x v="23"/>
    <s v="HUN"/>
    <n v="3"/>
    <m/>
    <s v="Szigetszentmiklós"/>
    <d v="2026-03-22T00:00:00"/>
    <s v="Bota Sára - Rakurai"/>
    <x v="0"/>
  </r>
  <r>
    <x v="25"/>
    <s v="HUN"/>
    <n v="0"/>
    <m/>
    <s v="Szigetszentmiklós"/>
    <d v="2026-03-22T00:00:00"/>
    <s v="Tóth-Krisó Míra - Katana SE"/>
    <x v="0"/>
  </r>
  <r>
    <x v="16"/>
    <s v="HUN"/>
    <n v="4"/>
    <m/>
    <s v="Szigetszentmiklós"/>
    <d v="2026-03-22T00:00:00"/>
    <s v="Nagy Hanna Míra - Genbu dojo"/>
    <x v="1"/>
  </r>
  <r>
    <x v="4"/>
    <s v="HUN"/>
    <n v="3"/>
    <m/>
    <s v="Szigetszentmiklós"/>
    <d v="2026-03-22T00:00:00"/>
    <s v="Sülyi Luca - Főnix Dojo"/>
    <x v="0"/>
  </r>
  <r>
    <x v="36"/>
    <s v="HUN"/>
    <n v="0"/>
    <m/>
    <s v="Szigetszentmiklós"/>
    <d v="2026-03-22T00:00:00"/>
    <s v="Balogh Dóra Panna - POWER SE."/>
    <x v="0"/>
  </r>
  <r>
    <x v="7"/>
    <s v="HUN"/>
    <n v="6"/>
    <m/>
    <s v="Szigetszentmiklós"/>
    <d v="2026-03-22T00:00:00"/>
    <s v="Furó Liliána - KHSE"/>
    <x v="0"/>
  </r>
  <r>
    <x v="51"/>
    <s v="HUN"/>
    <n v="5"/>
    <m/>
    <s v="Szigetszentmiklós"/>
    <d v="2026-03-22T00:00:00"/>
    <s v="Kiss Boglárka - Derecske BUDO"/>
    <x v="0"/>
  </r>
  <r>
    <x v="42"/>
    <s v="HUN"/>
    <n v="3"/>
    <m/>
    <s v="Szigetszentmiklós"/>
    <d v="2026-03-22T00:00:00"/>
    <s v="Apjok Réka - Tora HSE"/>
    <x v="1"/>
  </r>
  <r>
    <x v="23"/>
    <s v="HUN"/>
    <n v="0"/>
    <s v="nem volt nyertes mérkőzése"/>
    <s v="Szigetszentmiklós"/>
    <d v="2026-03-22T00:00:00"/>
    <s v="Ható Amanda - Rakurai"/>
    <x v="0"/>
  </r>
  <r>
    <x v="19"/>
    <s v="HUN"/>
    <n v="4"/>
    <m/>
    <s v="Szigetszentmiklós"/>
    <d v="2026-03-22T00:00:00"/>
    <s v="Lukács Éva - VTSE"/>
    <x v="1"/>
  </r>
  <r>
    <x v="29"/>
    <s v="HUN"/>
    <n v="3"/>
    <m/>
    <s v="Szigetszentmiklós"/>
    <d v="2026-03-22T00:00:00"/>
    <s v="Demeter Zsófia - WARRIORS TEAM"/>
    <x v="0"/>
  </r>
  <r>
    <x v="17"/>
    <s v="HUN"/>
    <n v="2"/>
    <s v="volt nyertes mérkőzése"/>
    <s v="Szigetszentmiklós"/>
    <d v="2026-03-22T00:00:00"/>
    <s v="Zsin Zsófia - BHMSE"/>
    <x v="0"/>
  </r>
  <r>
    <x v="7"/>
    <s v="HUN"/>
    <n v="6"/>
    <m/>
    <s v="Szigetszentmiklós"/>
    <d v="2026-03-22T00:00:00"/>
    <s v="Pénzes Zsófia - KHSE"/>
    <x v="0"/>
  </r>
  <r>
    <x v="5"/>
    <s v="HUN"/>
    <n v="5"/>
    <m/>
    <s v="Szigetszentmiklós"/>
    <d v="2026-03-22T00:00:00"/>
    <s v="Fránki Réka - TADASHII "/>
    <x v="1"/>
  </r>
  <r>
    <x v="23"/>
    <s v="HUN"/>
    <n v="3"/>
    <m/>
    <s v="Szigetszentmiklós"/>
    <d v="2026-03-22T00:00:00"/>
    <s v="Bognár Boglárka - Rakurai"/>
    <x v="0"/>
  </r>
  <r>
    <x v="51"/>
    <s v="HUN"/>
    <n v="0"/>
    <m/>
    <s v="Szigetszentmiklós"/>
    <d v="2026-03-22T00:00:00"/>
    <s v="Albert Szilvia Cintia - Derecske BUDO"/>
    <x v="0"/>
  </r>
  <r>
    <x v="10"/>
    <s v="HUN"/>
    <n v="0"/>
    <m/>
    <s v="Szigetszentmiklós"/>
    <d v="2026-03-22T00:00:00"/>
    <s v="Kovács Viktória - Nintai KKSE"/>
    <x v="1"/>
  </r>
  <r>
    <x v="5"/>
    <s v="HUN"/>
    <n v="0"/>
    <m/>
    <s v="Szigetszentmiklós"/>
    <d v="2026-03-22T00:00:00"/>
    <s v="Fránki Dorina - TADASHII "/>
    <x v="1"/>
  </r>
  <r>
    <x v="13"/>
    <s v="HUN"/>
    <n v="3"/>
    <m/>
    <s v="Szigetszentmiklós"/>
    <d v="2026-03-22T00:00:00"/>
    <s v="Csonka Kata - Kamikaze S"/>
    <x v="0"/>
  </r>
  <r>
    <x v="40"/>
    <s v="HUN"/>
    <n v="0"/>
    <m/>
    <s v="Szigetszentmiklós"/>
    <d v="2026-03-22T00:00:00"/>
    <s v="Komondi Veronika Nilla - Keszth.KKK"/>
    <x v="0"/>
  </r>
  <r>
    <x v="7"/>
    <m/>
    <n v="15"/>
    <m/>
    <s v="Batumi, Georgia"/>
    <d v="2026-05-09T00:00:00"/>
    <s v="Ágoston Sára - KHSE"/>
    <x v="0"/>
  </r>
  <r>
    <x v="0"/>
    <m/>
    <n v="15"/>
    <m/>
    <s v="Batumi, Georgia"/>
    <d v="2026-05-09T00:00:00"/>
    <s v="Lukács Kamilla - Victory"/>
    <x v="0"/>
  </r>
  <r>
    <x v="3"/>
    <m/>
    <n v="8"/>
    <m/>
    <s v="Batumi, Georgia"/>
    <d v="2026-05-09T00:00:00"/>
    <s v="Szutor Anna - Shogun"/>
    <x v="0"/>
  </r>
  <r>
    <x v="0"/>
    <m/>
    <n v="8"/>
    <m/>
    <s v="Batumi, Georgia"/>
    <d v="2026-05-09T00:00:00"/>
    <s v="Éles Léna - Victory"/>
    <x v="0"/>
  </r>
  <r>
    <x v="7"/>
    <m/>
    <n v="8"/>
    <m/>
    <s v="Batumi, Georgia"/>
    <d v="2026-05-09T00:00:00"/>
    <s v="Vórincsák Vivien - KHSE"/>
    <x v="0"/>
  </r>
  <r>
    <x v="7"/>
    <m/>
    <n v="15"/>
    <m/>
    <s v="Batumi, Georgia"/>
    <d v="2026-05-09T00:00:00"/>
    <s v="Ecsedi Réka - KHSE"/>
    <x v="0"/>
  </r>
  <r>
    <x v="0"/>
    <m/>
    <n v="8"/>
    <m/>
    <s v="Batumi, Georgia"/>
    <d v="2026-05-09T00:00:00"/>
    <s v="Böszörményi Gergő - Victory"/>
    <x v="0"/>
  </r>
  <r>
    <x v="3"/>
    <m/>
    <n v="8"/>
    <m/>
    <s v="Batumi, Georgia"/>
    <d v="2026-05-09T00:00:00"/>
    <s v="Bessenyei Csongor - Shogun"/>
    <x v="0"/>
  </r>
  <r>
    <x v="3"/>
    <m/>
    <n v="6"/>
    <m/>
    <s v="Batumi, Georgia"/>
    <d v="2026-05-09T00:00:00"/>
    <s v="Bessenyei Csongor - Shogun"/>
    <x v="0"/>
  </r>
  <r>
    <x v="3"/>
    <m/>
    <n v="10"/>
    <m/>
    <s v="Batumi, Georgia"/>
    <d v="2026-05-09T00:00:00"/>
    <s v="Terbócs Roland - Shogun"/>
    <x v="0"/>
  </r>
  <r>
    <x v="0"/>
    <m/>
    <n v="15"/>
    <m/>
    <s v="Batumi, Georgia"/>
    <d v="2026-05-10T00:00:00"/>
    <s v="Dévényi Lora - Victory"/>
    <x v="0"/>
  </r>
  <r>
    <x v="7"/>
    <m/>
    <n v="15"/>
    <m/>
    <s v="Batumi, Georgia"/>
    <d v="2026-05-10T00:00:00"/>
    <s v="Gyenge Judit - KHSE"/>
    <x v="0"/>
  </r>
  <r>
    <x v="7"/>
    <m/>
    <n v="45"/>
    <m/>
    <s v="Batumi, Georgia"/>
    <d v="2026-05-10T00:00:00"/>
    <s v="Litvák Lili - KHSE"/>
    <x v="0"/>
  </r>
  <r>
    <x v="0"/>
    <m/>
    <n v="30"/>
    <m/>
    <s v="Batumi, Georgia"/>
    <d v="2026-05-10T00:00:00"/>
    <s v="Mező Lili - Victory"/>
    <x v="0"/>
  </r>
  <r>
    <x v="3"/>
    <m/>
    <n v="15"/>
    <m/>
    <s v="Batumi, Georgia"/>
    <d v="2026-05-10T00:00:00"/>
    <s v="Mészáros Mercédesz - Shogun"/>
    <x v="0"/>
  </r>
  <r>
    <x v="0"/>
    <m/>
    <n v="30"/>
    <m/>
    <s v="Batumi, Georgia"/>
    <d v="2026-05-10T00:00:00"/>
    <s v="Tóth Csenge - Victory"/>
    <x v="0"/>
  </r>
  <r>
    <x v="17"/>
    <m/>
    <n v="15"/>
    <m/>
    <s v="Batumi, Georgia"/>
    <d v="2026-05-10T00:00:00"/>
    <s v="Gergely Henrietta - BHMSE"/>
    <x v="0"/>
  </r>
  <r>
    <x v="0"/>
    <m/>
    <n v="30"/>
    <m/>
    <s v="Batumi, Georgia"/>
    <d v="2026-05-10T00:00:00"/>
    <s v="Fekete Gergely - Victory"/>
    <x v="0"/>
  </r>
  <r>
    <x v="0"/>
    <m/>
    <n v="60"/>
    <m/>
    <s v="Batumi, Georgia"/>
    <d v="2026-05-10T00:00:00"/>
    <s v="Lajtos Patrik - Victory"/>
    <x v="0"/>
  </r>
  <r>
    <x v="7"/>
    <m/>
    <n v="3.3"/>
    <m/>
    <s v="Batumi, Georgia"/>
    <d v="2026-05-09T00:00:00"/>
    <s v="Litvák Lili - KHSE"/>
    <x v="0"/>
  </r>
  <r>
    <x v="7"/>
    <m/>
    <n v="3.3"/>
    <m/>
    <s v="Batumi, Georgia"/>
    <d v="2026-05-09T00:00:00"/>
    <s v="Rácz Dorottya - KHSE"/>
    <x v="0"/>
  </r>
  <r>
    <x v="7"/>
    <m/>
    <n v="3.3"/>
    <m/>
    <s v="Batumi, Georgia"/>
    <d v="2026-05-09T00:00:00"/>
    <s v="Jernyei Nikolett - KHSE"/>
    <x v="0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  <r>
    <x v="60"/>
    <m/>
    <m/>
    <m/>
    <m/>
    <m/>
    <m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Kimutatás1" cacheId="4" applyNumberFormats="0" applyBorderFormats="0" applyFontFormats="0" applyPatternFormats="0" applyAlignmentFormats="0" applyWidthHeightFormats="1" dataCaption="Értékek" updatedVersion="8" minRefreshableVersion="3" useAutoFormatting="1" itemPrintTitles="1" createdVersion="8" indent="0" outline="1" outlineData="1" multipleFieldFilters="0" rowHeaderCaption="Klub neve">
  <location ref="B2:C65" firstHeaderRow="1" firstDataRow="1" firstDataCol="1"/>
  <pivotFields count="8">
    <pivotField axis="axisRow" showAll="0" sortType="descending">
      <items count="115">
        <item x="32"/>
        <item x="37"/>
        <item m="1" x="106"/>
        <item x="18"/>
        <item x="9"/>
        <item x="12"/>
        <item x="17"/>
        <item x="54"/>
        <item x="49"/>
        <item m="1" x="107"/>
        <item x="6"/>
        <item x="34"/>
        <item m="1" x="75"/>
        <item x="59"/>
        <item x="51"/>
        <item m="1" x="73"/>
        <item m="1" x="102"/>
        <item m="1" x="113"/>
        <item m="1" x="71"/>
        <item m="1" x="95"/>
        <item x="4"/>
        <item m="1" x="83"/>
        <item x="20"/>
        <item x="48"/>
        <item m="1" x="61"/>
        <item x="1"/>
        <item m="1" x="111"/>
        <item x="21"/>
        <item x="13"/>
        <item m="1" x="105"/>
        <item x="25"/>
        <item x="50"/>
        <item x="46"/>
        <item x="40"/>
        <item x="7"/>
        <item m="1" x="104"/>
        <item x="2"/>
        <item m="1" x="89"/>
        <item x="28"/>
        <item x="15"/>
        <item x="47"/>
        <item x="11"/>
        <item x="57"/>
        <item x="58"/>
        <item m="1" x="110"/>
        <item x="27"/>
        <item m="1" x="81"/>
        <item x="39"/>
        <item x="24"/>
        <item x="14"/>
        <item x="55"/>
        <item m="1" x="101"/>
        <item x="36"/>
        <item x="23"/>
        <item x="38"/>
        <item m="1" x="96"/>
        <item x="26"/>
        <item m="1" x="64"/>
        <item m="1" x="77"/>
        <item m="1" x="90"/>
        <item x="53"/>
        <item x="3"/>
        <item x="22"/>
        <item m="1" x="103"/>
        <item x="52"/>
        <item m="1" x="76"/>
        <item m="1" x="112"/>
        <item x="5"/>
        <item m="1" x="100"/>
        <item x="42"/>
        <item m="1" x="108"/>
        <item x="0"/>
        <item m="1" x="109"/>
        <item x="60"/>
        <item m="1" x="63"/>
        <item x="19"/>
        <item x="10"/>
        <item m="1" x="65"/>
        <item m="1" x="66"/>
        <item m="1" x="67"/>
        <item m="1" x="68"/>
        <item m="1" x="69"/>
        <item x="8"/>
        <item x="45"/>
        <item x="56"/>
        <item m="1" x="72"/>
        <item m="1" x="74"/>
        <item x="16"/>
        <item m="1" x="78"/>
        <item x="33"/>
        <item m="1" x="79"/>
        <item m="1" x="80"/>
        <item m="1" x="70"/>
        <item x="43"/>
        <item x="35"/>
        <item m="1" x="99"/>
        <item m="1" x="98"/>
        <item m="1" x="84"/>
        <item m="1" x="85"/>
        <item m="1" x="97"/>
        <item m="1" x="62"/>
        <item m="1" x="82"/>
        <item m="1" x="94"/>
        <item m="1" x="86"/>
        <item m="1" x="87"/>
        <item m="1" x="88"/>
        <item m="1" x="91"/>
        <item m="1" x="92"/>
        <item m="1" x="93"/>
        <item x="29"/>
        <item x="30"/>
        <item x="31"/>
        <item x="41"/>
        <item x="44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dataField="1" showAll="0"/>
    <pivotField showAll="0"/>
    <pivotField showAll="0"/>
    <pivotField showAll="0"/>
    <pivotField showAll="0"/>
    <pivotField axis="axisRow" showAll="0" sortType="descending">
      <items count="4">
        <item x="0"/>
        <item x="1"/>
        <item h="1" x="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</pivotFields>
  <rowFields count="2">
    <field x="7"/>
    <field x="0"/>
  </rowFields>
  <rowItems count="63">
    <i>
      <x/>
    </i>
    <i r="1">
      <x v="61"/>
    </i>
    <i r="1">
      <x v="34"/>
    </i>
    <i r="1">
      <x v="71"/>
    </i>
    <i r="1">
      <x v="6"/>
    </i>
    <i r="1">
      <x v="53"/>
    </i>
    <i r="1">
      <x v="48"/>
    </i>
    <i r="1">
      <x v="39"/>
    </i>
    <i r="1">
      <x v="30"/>
    </i>
    <i r="1">
      <x v="14"/>
    </i>
    <i r="1">
      <x v="109"/>
    </i>
    <i r="1">
      <x v="20"/>
    </i>
    <i r="1">
      <x v="83"/>
    </i>
    <i r="1">
      <x v="28"/>
    </i>
    <i r="1">
      <x v="31"/>
    </i>
    <i r="1">
      <x v="5"/>
    </i>
    <i r="1">
      <x v="25"/>
    </i>
    <i r="1">
      <x v="38"/>
    </i>
    <i r="1">
      <x v="40"/>
    </i>
    <i r="1">
      <x v="32"/>
    </i>
    <i r="1">
      <x v="27"/>
    </i>
    <i r="1">
      <x v="45"/>
    </i>
    <i r="1">
      <x v="36"/>
    </i>
    <i r="1">
      <x v="8"/>
    </i>
    <i r="1">
      <x v="49"/>
    </i>
    <i r="1">
      <x v="56"/>
    </i>
    <i r="1">
      <x v="10"/>
    </i>
    <i r="1">
      <x v="11"/>
    </i>
    <i r="1">
      <x v="22"/>
    </i>
    <i r="1">
      <x v="52"/>
    </i>
    <i r="1">
      <x v="3"/>
    </i>
    <i r="1">
      <x v="42"/>
    </i>
    <i r="1">
      <x v="60"/>
    </i>
    <i r="1">
      <x v="110"/>
    </i>
    <i r="1">
      <x v="23"/>
    </i>
    <i r="1">
      <x v="33"/>
    </i>
    <i r="1">
      <x v="64"/>
    </i>
    <i r="1">
      <x v="62"/>
    </i>
    <i r="1">
      <x v="50"/>
    </i>
    <i r="1">
      <x/>
    </i>
    <i r="1">
      <x v="54"/>
    </i>
    <i r="1">
      <x v="112"/>
    </i>
    <i r="1">
      <x v="1"/>
    </i>
    <i r="1">
      <x v="94"/>
    </i>
    <i r="1">
      <x v="113"/>
    </i>
    <i r="1">
      <x v="43"/>
    </i>
    <i>
      <x v="1"/>
    </i>
    <i r="1">
      <x v="75"/>
    </i>
    <i r="1">
      <x v="67"/>
    </i>
    <i r="1">
      <x v="87"/>
    </i>
    <i r="1">
      <x v="89"/>
    </i>
    <i r="1">
      <x v="82"/>
    </i>
    <i r="1">
      <x v="76"/>
    </i>
    <i r="1">
      <x v="84"/>
    </i>
    <i r="1">
      <x v="47"/>
    </i>
    <i r="1">
      <x v="4"/>
    </i>
    <i r="1">
      <x v="7"/>
    </i>
    <i r="1">
      <x v="69"/>
    </i>
    <i r="1">
      <x v="93"/>
    </i>
    <i r="1">
      <x v="13"/>
    </i>
    <i r="1">
      <x v="111"/>
    </i>
    <i r="1">
      <x v="41"/>
    </i>
    <i t="grand">
      <x/>
    </i>
  </rowItems>
  <colItems count="1">
    <i/>
  </colItems>
  <dataFields count="1">
    <dataField name="Összeg / Minősítési pont" fld="2" baseField="0" baseItem="0" numFmtId="1"/>
  </dataFields>
  <formats count="7">
    <format dxfId="69">
      <pivotArea outline="0" collapsedLevelsAreSubtotals="1" fieldPosition="0"/>
    </format>
    <format dxfId="68">
      <pivotArea field="7" type="button" dataOnly="0" labelOnly="1" outline="0" axis="axisRow" fieldPosition="0"/>
    </format>
    <format dxfId="67">
      <pivotArea dataOnly="0" labelOnly="1" outline="0" axis="axisValues" fieldPosition="0"/>
    </format>
    <format dxfId="66">
      <pivotArea field="7" type="button" dataOnly="0" labelOnly="1" outline="0" axis="axisRow" fieldPosition="0"/>
    </format>
    <format dxfId="65">
      <pivotArea dataOnly="0" labelOnly="1" outline="0" axis="axisValues" fieldPosition="0"/>
    </format>
    <format dxfId="64">
      <pivotArea field="7" type="button" dataOnly="0" labelOnly="1" outline="0" axis="axisRow" fieldPosition="0"/>
    </format>
    <format dxfId="63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Kimutatás1" cacheId="1" applyNumberFormats="0" applyBorderFormats="0" applyFontFormats="0" applyPatternFormats="0" applyAlignmentFormats="0" applyWidthHeightFormats="1" dataCaption="Értékek" updatedVersion="8" minRefreshableVersion="3" useAutoFormatting="1" itemPrintTitles="1" createdVersion="8" indent="0" outline="1" outlineData="1" multipleFieldFilters="0" rowHeaderCaption="Klub neve">
  <location ref="A2:B113" firstHeaderRow="1" firstDataRow="1" firstDataCol="1"/>
  <pivotFields count="21">
    <pivotField showAll="0"/>
    <pivotField showAll="0"/>
    <pivotField showAll="0"/>
    <pivotField axis="axisRow" showAll="0" sortType="ascending">
      <items count="4">
        <item x="1"/>
        <item x="0"/>
        <item x="2"/>
        <item t="default"/>
      </items>
    </pivotField>
    <pivotField showAll="0"/>
    <pivotField showAll="0"/>
    <pivotField showAll="0"/>
    <pivotField showAll="0"/>
    <pivotField showAll="0"/>
    <pivotField showAll="0"/>
    <pivotField axis="axisRow" showAll="0" sortType="descending">
      <items count="96">
        <item x="18"/>
        <item x="9"/>
        <item x="12"/>
        <item x="17"/>
        <item x="54"/>
        <item x="6"/>
        <item x="34"/>
        <item m="1" x="94"/>
        <item x="4"/>
        <item m="1" x="61"/>
        <item m="1" x="63"/>
        <item x="1"/>
        <item x="21"/>
        <item x="13"/>
        <item m="1" x="68"/>
        <item x="46"/>
        <item x="7"/>
        <item x="2"/>
        <item x="28"/>
        <item x="15"/>
        <item x="47"/>
        <item x="10"/>
        <item x="14"/>
        <item x="23"/>
        <item m="1" x="66"/>
        <item m="1" x="64"/>
        <item x="8"/>
        <item m="1" x="67"/>
        <item x="3"/>
        <item x="22"/>
        <item m="1" x="69"/>
        <item x="5"/>
        <item x="0"/>
        <item x="19"/>
        <item m="1" x="65"/>
        <item x="60"/>
        <item x="45"/>
        <item x="49"/>
        <item x="48"/>
        <item x="53"/>
        <item x="50"/>
        <item x="56"/>
        <item x="55"/>
        <item m="1" x="71"/>
        <item x="51"/>
        <item x="33"/>
        <item m="1" x="72"/>
        <item x="52"/>
        <item x="57"/>
        <item m="1" x="73"/>
        <item m="1" x="74"/>
        <item x="25"/>
        <item x="24"/>
        <item m="1" x="75"/>
        <item m="1" x="76"/>
        <item x="26"/>
        <item x="59"/>
        <item x="36"/>
        <item x="16"/>
        <item x="38"/>
        <item x="20"/>
        <item x="58"/>
        <item x="40"/>
        <item x="39"/>
        <item x="37"/>
        <item x="32"/>
        <item m="1" x="77"/>
        <item m="1" x="78"/>
        <item m="1" x="70"/>
        <item m="1" x="79"/>
        <item m="1" x="80"/>
        <item x="35"/>
        <item x="43"/>
        <item m="1" x="81"/>
        <item m="1" x="83"/>
        <item m="1" x="84"/>
        <item m="1" x="85"/>
        <item m="1" x="62"/>
        <item m="1" x="82"/>
        <item m="1" x="93"/>
        <item m="1" x="86"/>
        <item m="1" x="87"/>
        <item m="1" x="88"/>
        <item x="27"/>
        <item m="1" x="89"/>
        <item m="1" x="90"/>
        <item m="1" x="91"/>
        <item m="1" x="92"/>
        <item x="11"/>
        <item x="29"/>
        <item x="30"/>
        <item x="31"/>
        <item x="41"/>
        <item x="42"/>
        <item x="44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dataField="1" showAll="0"/>
    <pivotField showAll="0"/>
    <pivotField showAll="0"/>
    <pivotField showAll="0"/>
    <pivotField showAll="0"/>
    <pivotField axis="axisRow" showAll="0">
      <items count="4">
        <item x="0"/>
        <item x="1"/>
        <item sd="0" x="2"/>
        <item t="default"/>
      </items>
    </pivotField>
    <pivotField showAll="0"/>
    <pivotField showAll="0"/>
    <pivotField showAll="0"/>
  </pivotFields>
  <rowFields count="3">
    <field x="17"/>
    <field x="3"/>
    <field x="10"/>
  </rowFields>
  <rowItems count="111">
    <i>
      <x/>
    </i>
    <i r="1">
      <x/>
    </i>
    <i r="2">
      <x v="28"/>
    </i>
    <i r="2">
      <x v="3"/>
    </i>
    <i r="2">
      <x v="19"/>
    </i>
    <i r="2">
      <x v="12"/>
    </i>
    <i r="2">
      <x v="32"/>
    </i>
    <i r="2">
      <x v="15"/>
    </i>
    <i r="2">
      <x v="40"/>
    </i>
    <i r="2">
      <x v="51"/>
    </i>
    <i r="2">
      <x v="2"/>
    </i>
    <i r="2">
      <x v="6"/>
    </i>
    <i r="2">
      <x v="20"/>
    </i>
    <i r="2">
      <x v="17"/>
    </i>
    <i r="2">
      <x v="83"/>
    </i>
    <i r="2">
      <x v="23"/>
    </i>
    <i r="2">
      <x v="16"/>
    </i>
    <i r="2">
      <x v="39"/>
    </i>
    <i r="2">
      <x v="52"/>
    </i>
    <i r="2">
      <x v="90"/>
    </i>
    <i r="2">
      <x v="13"/>
    </i>
    <i r="2">
      <x v="29"/>
    </i>
    <i r="2">
      <x v="55"/>
    </i>
    <i r="2">
      <x v="57"/>
    </i>
    <i r="2">
      <x v="36"/>
    </i>
    <i r="2">
      <x v="65"/>
    </i>
    <i r="2">
      <x v="8"/>
    </i>
    <i r="2">
      <x v="22"/>
    </i>
    <i r="2">
      <x v="64"/>
    </i>
    <i r="2">
      <x v="89"/>
    </i>
    <i r="2">
      <x v="47"/>
    </i>
    <i r="2">
      <x v="94"/>
    </i>
    <i r="2">
      <x v="11"/>
    </i>
    <i r="2">
      <x v="59"/>
    </i>
    <i r="2">
      <x v="71"/>
    </i>
    <i r="1">
      <x v="1"/>
    </i>
    <i r="2">
      <x v="16"/>
    </i>
    <i r="2">
      <x v="32"/>
    </i>
    <i r="2">
      <x v="28"/>
    </i>
    <i r="2">
      <x v="3"/>
    </i>
    <i r="2">
      <x v="23"/>
    </i>
    <i r="2">
      <x v="44"/>
    </i>
    <i r="2">
      <x v="89"/>
    </i>
    <i r="2">
      <x v="52"/>
    </i>
    <i r="2">
      <x v="8"/>
    </i>
    <i r="2">
      <x v="36"/>
    </i>
    <i r="2">
      <x v="51"/>
    </i>
    <i r="2">
      <x v="13"/>
    </i>
    <i r="2">
      <x v="11"/>
    </i>
    <i r="2">
      <x v="18"/>
    </i>
    <i r="2">
      <x v="40"/>
    </i>
    <i r="2">
      <x v="2"/>
    </i>
    <i r="2">
      <x v="37"/>
    </i>
    <i r="2">
      <x v="19"/>
    </i>
    <i r="2">
      <x v="5"/>
    </i>
    <i r="2">
      <x v="20"/>
    </i>
    <i r="2">
      <x v="22"/>
    </i>
    <i r="2">
      <x v="55"/>
    </i>
    <i r="2">
      <x v="60"/>
    </i>
    <i r="2">
      <x v="83"/>
    </i>
    <i r="2">
      <x v="17"/>
    </i>
    <i r="2">
      <x v="15"/>
    </i>
    <i r="2">
      <x v="57"/>
    </i>
    <i r="2">
      <x/>
    </i>
    <i r="2">
      <x v="48"/>
    </i>
    <i r="2">
      <x v="6"/>
    </i>
    <i r="2">
      <x v="39"/>
    </i>
    <i r="2">
      <x v="62"/>
    </i>
    <i r="2">
      <x v="38"/>
    </i>
    <i r="2">
      <x v="47"/>
    </i>
    <i r="2">
      <x v="42"/>
    </i>
    <i r="2">
      <x v="90"/>
    </i>
    <i r="2">
      <x v="59"/>
    </i>
    <i r="2">
      <x v="29"/>
    </i>
    <i r="2">
      <x v="92"/>
    </i>
    <i r="2">
      <x v="64"/>
    </i>
    <i r="2">
      <x v="71"/>
    </i>
    <i r="2">
      <x v="61"/>
    </i>
    <i r="2">
      <x v="65"/>
    </i>
    <i>
      <x v="1"/>
    </i>
    <i r="1">
      <x/>
    </i>
    <i r="2">
      <x v="31"/>
    </i>
    <i r="2">
      <x v="58"/>
    </i>
    <i r="2">
      <x v="26"/>
    </i>
    <i r="2">
      <x v="4"/>
    </i>
    <i r="2">
      <x v="63"/>
    </i>
    <i r="2">
      <x v="33"/>
    </i>
    <i r="2">
      <x v="45"/>
    </i>
    <i r="2">
      <x v="72"/>
    </i>
    <i r="2">
      <x v="91"/>
    </i>
    <i r="2">
      <x v="1"/>
    </i>
    <i r="2">
      <x v="93"/>
    </i>
    <i r="2">
      <x v="21"/>
    </i>
    <i r="2">
      <x v="88"/>
    </i>
    <i r="1">
      <x v="1"/>
    </i>
    <i r="2">
      <x v="33"/>
    </i>
    <i r="2">
      <x v="58"/>
    </i>
    <i r="2">
      <x v="31"/>
    </i>
    <i r="2">
      <x v="45"/>
    </i>
    <i r="2">
      <x v="21"/>
    </i>
    <i r="2">
      <x v="26"/>
    </i>
    <i r="2">
      <x v="41"/>
    </i>
    <i r="2">
      <x v="1"/>
    </i>
    <i r="2">
      <x v="63"/>
    </i>
    <i r="2">
      <x v="93"/>
    </i>
    <i r="2">
      <x v="4"/>
    </i>
    <i r="2">
      <x v="72"/>
    </i>
    <i r="2">
      <x v="56"/>
    </i>
    <i r="2">
      <x v="88"/>
    </i>
    <i>
      <x v="2"/>
    </i>
    <i t="grand">
      <x/>
    </i>
  </rowItems>
  <colItems count="1">
    <i/>
  </colItems>
  <dataFields count="1">
    <dataField name="Összeg / Minősítési pont" fld="12" baseField="0" baseItem="0" numFmtId="3"/>
  </dataFields>
  <formats count="6">
    <format dxfId="62">
      <pivotArea outline="0" collapsedLevelsAreSubtotals="1" fieldPosition="0"/>
    </format>
    <format dxfId="61">
      <pivotArea dataOnly="0" labelOnly="1" outline="0" axis="axisValues" fieldPosition="0"/>
    </format>
    <format dxfId="60">
      <pivotArea field="17" type="button" dataOnly="0" labelOnly="1" outline="0" axis="axisRow" fieldPosition="0"/>
    </format>
    <format dxfId="59">
      <pivotArea dataOnly="0" labelOnly="1" outline="0" axis="axisValues" fieldPosition="0"/>
    </format>
    <format dxfId="58">
      <pivotArea field="17" type="button" dataOnly="0" labelOnly="1" outline="0" axis="axisRow" fieldPosition="0"/>
    </format>
    <format dxfId="57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Kimutatás1" cacheId="1" applyNumberFormats="0" applyBorderFormats="0" applyFontFormats="0" applyPatternFormats="0" applyAlignmentFormats="0" applyWidthHeightFormats="1" dataCaption="Értékek" updatedVersion="8" minRefreshableVersion="3" useAutoFormatting="1" itemPrintTitles="1" createdVersion="8" indent="0" multipleFieldFilters="0" rowHeaderCaption="Egyesület / verseny">
  <location ref="A2:B266" firstHeaderRow="1" firstDataRow="1" firstDataCol="1"/>
  <pivotFields count="21">
    <pivotField axis="axisRow" showAll="0" sortType="descending">
      <items count="21">
        <item x="8"/>
        <item m="1" x="18"/>
        <item x="0"/>
        <item m="1" x="9"/>
        <item m="1" x="17"/>
        <item m="1" x="12"/>
        <item m="1" x="16"/>
        <item x="7"/>
        <item m="1" x="11"/>
        <item m="1" x="10"/>
        <item x="4"/>
        <item x="1"/>
        <item x="5"/>
        <item x="2"/>
        <item m="1" x="13"/>
        <item m="1" x="14"/>
        <item x="6"/>
        <item x="3"/>
        <item m="1" x="15"/>
        <item m="1" x="1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 sortType="descending">
      <items count="96">
        <item x="60"/>
        <item m="1" x="65"/>
        <item x="56"/>
        <item x="19"/>
        <item x="0"/>
        <item x="5"/>
        <item m="1" x="69"/>
        <item m="1" x="76"/>
        <item x="52"/>
        <item x="22"/>
        <item x="3"/>
        <item x="53"/>
        <item m="1" x="74"/>
        <item m="1" x="67"/>
        <item x="8"/>
        <item m="1" x="77"/>
        <item m="1" x="72"/>
        <item m="1" x="64"/>
        <item x="26"/>
        <item m="1" x="66"/>
        <item x="38"/>
        <item x="23"/>
        <item x="36"/>
        <item x="55"/>
        <item x="14"/>
        <item x="10"/>
        <item x="24"/>
        <item x="39"/>
        <item x="58"/>
        <item x="57"/>
        <item x="47"/>
        <item x="15"/>
        <item x="28"/>
        <item x="2"/>
        <item x="7"/>
        <item x="40"/>
        <item x="46"/>
        <item x="45"/>
        <item x="50"/>
        <item x="25"/>
        <item m="1" x="68"/>
        <item x="13"/>
        <item x="21"/>
        <item x="1"/>
        <item m="1" x="78"/>
        <item x="33"/>
        <item m="1" x="63"/>
        <item m="1" x="61"/>
        <item x="48"/>
        <item x="20"/>
        <item x="16"/>
        <item x="4"/>
        <item m="1" x="94"/>
        <item m="1" x="71"/>
        <item m="1" x="73"/>
        <item x="51"/>
        <item x="59"/>
        <item m="1" x="75"/>
        <item x="34"/>
        <item x="6"/>
        <item x="49"/>
        <item x="54"/>
        <item x="17"/>
        <item x="12"/>
        <item x="9"/>
        <item x="18"/>
        <item x="37"/>
        <item x="32"/>
        <item m="1" x="70"/>
        <item m="1" x="79"/>
        <item m="1" x="80"/>
        <item x="35"/>
        <item x="43"/>
        <item m="1" x="81"/>
        <item m="1" x="83"/>
        <item m="1" x="84"/>
        <item m="1" x="85"/>
        <item m="1" x="62"/>
        <item m="1" x="82"/>
        <item m="1" x="93"/>
        <item m="1" x="86"/>
        <item m="1" x="87"/>
        <item m="1" x="88"/>
        <item x="27"/>
        <item m="1" x="89"/>
        <item m="1" x="90"/>
        <item m="1" x="91"/>
        <item m="1" x="92"/>
        <item x="11"/>
        <item x="29"/>
        <item x="30"/>
        <item x="31"/>
        <item x="41"/>
        <item x="42"/>
        <item x="44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dataField="1" showAll="0"/>
    <pivotField showAll="0"/>
    <pivotField showAll="0"/>
    <pivotField showAll="0"/>
    <pivotField showAll="0"/>
    <pivotField axis="axisRow" showAll="0" sortType="descending">
      <items count="4">
        <item x="0"/>
        <item x="1"/>
        <item x="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</pivotFields>
  <rowFields count="3">
    <field x="17"/>
    <field x="10"/>
    <field x="0"/>
  </rowFields>
  <rowItems count="264">
    <i>
      <x/>
    </i>
    <i r="1">
      <x v="10"/>
    </i>
    <i r="2">
      <x v="2"/>
    </i>
    <i r="2">
      <x v="7"/>
    </i>
    <i r="2">
      <x v="12"/>
    </i>
    <i r="2">
      <x v="13"/>
    </i>
    <i r="2">
      <x v="16"/>
    </i>
    <i r="2">
      <x v="17"/>
    </i>
    <i r="1">
      <x v="34"/>
    </i>
    <i r="2">
      <x v="2"/>
    </i>
    <i r="2">
      <x v="7"/>
    </i>
    <i r="2">
      <x v="12"/>
    </i>
    <i r="2">
      <x v="13"/>
    </i>
    <i r="2">
      <x v="16"/>
    </i>
    <i r="2">
      <x v="17"/>
    </i>
    <i r="1">
      <x v="4"/>
    </i>
    <i r="2">
      <x v="2"/>
    </i>
    <i r="2">
      <x v="7"/>
    </i>
    <i r="2">
      <x v="13"/>
    </i>
    <i r="2">
      <x v="17"/>
    </i>
    <i r="1">
      <x v="62"/>
    </i>
    <i r="2">
      <x v="2"/>
    </i>
    <i r="2">
      <x v="7"/>
    </i>
    <i r="2">
      <x v="10"/>
    </i>
    <i r="2">
      <x v="11"/>
    </i>
    <i r="2">
      <x v="16"/>
    </i>
    <i r="2">
      <x v="17"/>
    </i>
    <i r="1">
      <x v="21"/>
    </i>
    <i r="2">
      <x v="2"/>
    </i>
    <i r="2">
      <x v="10"/>
    </i>
    <i r="2">
      <x v="11"/>
    </i>
    <i r="2">
      <x v="16"/>
    </i>
    <i r="2">
      <x v="17"/>
    </i>
    <i r="1">
      <x v="26"/>
    </i>
    <i r="2">
      <x v="10"/>
    </i>
    <i r="2">
      <x v="11"/>
    </i>
    <i r="2">
      <x v="16"/>
    </i>
    <i r="2">
      <x v="17"/>
    </i>
    <i r="1">
      <x v="31"/>
    </i>
    <i r="2">
      <x v="2"/>
    </i>
    <i r="2">
      <x v="11"/>
    </i>
    <i r="2">
      <x v="17"/>
    </i>
    <i r="1">
      <x v="39"/>
    </i>
    <i r="2">
      <x v="10"/>
    </i>
    <i r="2">
      <x v="11"/>
    </i>
    <i r="2">
      <x v="16"/>
    </i>
    <i r="2">
      <x v="17"/>
    </i>
    <i r="1">
      <x v="55"/>
    </i>
    <i r="2">
      <x v="12"/>
    </i>
    <i r="2">
      <x v="13"/>
    </i>
    <i r="2">
      <x v="16"/>
    </i>
    <i r="2">
      <x v="17"/>
    </i>
    <i r="1">
      <x v="89"/>
    </i>
    <i r="2">
      <x v="10"/>
    </i>
    <i r="2">
      <x v="11"/>
    </i>
    <i r="2">
      <x v="16"/>
    </i>
    <i r="2">
      <x v="17"/>
    </i>
    <i r="1">
      <x v="51"/>
    </i>
    <i r="2">
      <x v="2"/>
    </i>
    <i r="2">
      <x v="10"/>
    </i>
    <i r="2">
      <x v="11"/>
    </i>
    <i r="2">
      <x v="16"/>
    </i>
    <i r="2">
      <x v="17"/>
    </i>
    <i r="1">
      <x v="37"/>
    </i>
    <i r="2">
      <x v="13"/>
    </i>
    <i r="2">
      <x v="17"/>
    </i>
    <i r="1">
      <x v="41"/>
    </i>
    <i r="2">
      <x v="2"/>
    </i>
    <i r="2">
      <x v="10"/>
    </i>
    <i r="2">
      <x v="11"/>
    </i>
    <i r="2">
      <x v="16"/>
    </i>
    <i r="2">
      <x v="17"/>
    </i>
    <i r="1">
      <x v="38"/>
    </i>
    <i r="2">
      <x v="12"/>
    </i>
    <i r="2">
      <x v="13"/>
    </i>
    <i r="2">
      <x v="16"/>
    </i>
    <i r="2">
      <x v="17"/>
    </i>
    <i r="1">
      <x v="63"/>
    </i>
    <i r="2">
      <x v="2"/>
    </i>
    <i r="2">
      <x v="13"/>
    </i>
    <i r="2">
      <x v="17"/>
    </i>
    <i r="1">
      <x v="43"/>
    </i>
    <i r="2">
      <x v="2"/>
    </i>
    <i r="2">
      <x v="11"/>
    </i>
    <i r="2">
      <x v="17"/>
    </i>
    <i r="1">
      <x v="32"/>
    </i>
    <i r="2">
      <x v="10"/>
    </i>
    <i r="2">
      <x v="11"/>
    </i>
    <i r="2">
      <x v="16"/>
    </i>
    <i r="2">
      <x v="17"/>
    </i>
    <i r="1">
      <x v="30"/>
    </i>
    <i r="2">
      <x v="12"/>
    </i>
    <i r="2">
      <x v="13"/>
    </i>
    <i r="2">
      <x v="16"/>
    </i>
    <i r="2">
      <x v="17"/>
    </i>
    <i r="1">
      <x v="36"/>
    </i>
    <i r="2">
      <x v="12"/>
    </i>
    <i r="2">
      <x v="13"/>
    </i>
    <i r="2">
      <x v="16"/>
    </i>
    <i r="2">
      <x v="17"/>
    </i>
    <i r="1">
      <x v="42"/>
    </i>
    <i r="2">
      <x v="2"/>
    </i>
    <i r="2">
      <x v="13"/>
    </i>
    <i r="2">
      <x v="17"/>
    </i>
    <i r="1">
      <x v="83"/>
    </i>
    <i r="2">
      <x v="11"/>
    </i>
    <i r="2">
      <x v="17"/>
    </i>
    <i r="1">
      <x v="33"/>
    </i>
    <i r="2">
      <x v="2"/>
    </i>
    <i r="2">
      <x v="13"/>
    </i>
    <i r="2">
      <x v="17"/>
    </i>
    <i r="1">
      <x v="60"/>
    </i>
    <i r="2">
      <x v="13"/>
    </i>
    <i r="2">
      <x v="17"/>
    </i>
    <i r="1">
      <x v="24"/>
    </i>
    <i r="2">
      <x v="2"/>
    </i>
    <i r="2">
      <x v="13"/>
    </i>
    <i r="2">
      <x v="17"/>
    </i>
    <i r="1">
      <x v="18"/>
    </i>
    <i r="2">
      <x v="10"/>
    </i>
    <i r="2">
      <x v="11"/>
    </i>
    <i r="2">
      <x v="16"/>
    </i>
    <i r="2">
      <x v="17"/>
    </i>
    <i r="1">
      <x v="59"/>
    </i>
    <i r="2">
      <x v="2"/>
    </i>
    <i r="2">
      <x v="11"/>
    </i>
    <i r="2">
      <x v="17"/>
    </i>
    <i r="1">
      <x v="58"/>
    </i>
    <i r="2">
      <x v="11"/>
    </i>
    <i r="2">
      <x v="17"/>
    </i>
    <i r="1">
      <x v="49"/>
    </i>
    <i r="2">
      <x v="2"/>
    </i>
    <i r="2">
      <x v="10"/>
    </i>
    <i r="2">
      <x v="11"/>
    </i>
    <i r="2">
      <x v="16"/>
    </i>
    <i r="2">
      <x v="17"/>
    </i>
    <i r="1">
      <x v="22"/>
    </i>
    <i r="2">
      <x v="10"/>
    </i>
    <i r="2">
      <x v="11"/>
    </i>
    <i r="2">
      <x v="16"/>
    </i>
    <i r="2">
      <x v="17"/>
    </i>
    <i r="1">
      <x v="65"/>
    </i>
    <i r="2">
      <x v="2"/>
    </i>
    <i r="2">
      <x v="13"/>
    </i>
    <i r="2">
      <x v="17"/>
    </i>
    <i r="1">
      <x v="29"/>
    </i>
    <i r="2">
      <x v="12"/>
    </i>
    <i r="2">
      <x v="13"/>
    </i>
    <i r="2">
      <x v="16"/>
    </i>
    <i r="2">
      <x v="17"/>
    </i>
    <i r="1">
      <x v="11"/>
    </i>
    <i r="2">
      <x v="13"/>
    </i>
    <i r="2">
      <x v="17"/>
    </i>
    <i r="1">
      <x v="90"/>
    </i>
    <i r="2">
      <x v="11"/>
    </i>
    <i r="2">
      <x v="17"/>
    </i>
    <i r="1">
      <x v="48"/>
    </i>
    <i r="2">
      <x v="13"/>
    </i>
    <i r="2">
      <x v="17"/>
    </i>
    <i r="1">
      <x v="35"/>
    </i>
    <i r="2">
      <x v="10"/>
    </i>
    <i r="2">
      <x v="11"/>
    </i>
    <i r="2">
      <x v="16"/>
    </i>
    <i r="2">
      <x v="17"/>
    </i>
    <i r="1">
      <x v="9"/>
    </i>
    <i r="2">
      <x v="2"/>
    </i>
    <i r="2">
      <x v="11"/>
    </i>
    <i r="2">
      <x v="17"/>
    </i>
    <i r="1">
      <x v="8"/>
    </i>
    <i r="2">
      <x v="13"/>
    </i>
    <i r="2">
      <x v="16"/>
    </i>
    <i r="2">
      <x v="17"/>
    </i>
    <i r="1">
      <x v="23"/>
    </i>
    <i r="2">
      <x v="13"/>
    </i>
    <i r="2">
      <x v="17"/>
    </i>
    <i r="1">
      <x v="67"/>
    </i>
    <i r="2">
      <x v="11"/>
    </i>
    <i r="2">
      <x v="17"/>
    </i>
    <i r="1">
      <x v="20"/>
    </i>
    <i r="2">
      <x v="11"/>
    </i>
    <i r="2">
      <x v="17"/>
    </i>
    <i r="1">
      <x v="92"/>
    </i>
    <i r="2">
      <x v="11"/>
    </i>
    <i r="2">
      <x v="17"/>
    </i>
    <i r="1">
      <x v="66"/>
    </i>
    <i r="2">
      <x v="10"/>
    </i>
    <i r="2">
      <x v="11"/>
    </i>
    <i r="2">
      <x v="16"/>
    </i>
    <i r="2">
      <x v="17"/>
    </i>
    <i r="1">
      <x v="71"/>
    </i>
    <i r="2">
      <x v="11"/>
    </i>
    <i r="2">
      <x v="17"/>
    </i>
    <i r="1">
      <x v="94"/>
    </i>
    <i r="2">
      <x v="11"/>
    </i>
    <i r="2">
      <x v="17"/>
    </i>
    <i r="1">
      <x v="28"/>
    </i>
    <i r="2">
      <x v="10"/>
    </i>
    <i r="2">
      <x v="16"/>
    </i>
    <i>
      <x v="1"/>
    </i>
    <i r="1">
      <x v="3"/>
    </i>
    <i r="2">
      <x v="2"/>
    </i>
    <i r="2">
      <x v="10"/>
    </i>
    <i r="2">
      <x v="11"/>
    </i>
    <i r="2">
      <x v="16"/>
    </i>
    <i r="2">
      <x v="17"/>
    </i>
    <i r="1">
      <x v="5"/>
    </i>
    <i r="2">
      <x v="2"/>
    </i>
    <i r="2">
      <x v="12"/>
    </i>
    <i r="2">
      <x v="13"/>
    </i>
    <i r="2">
      <x v="16"/>
    </i>
    <i r="2">
      <x v="17"/>
    </i>
    <i r="1">
      <x v="50"/>
    </i>
    <i r="2">
      <x v="2"/>
    </i>
    <i r="2">
      <x v="10"/>
    </i>
    <i r="2">
      <x v="11"/>
    </i>
    <i r="2">
      <x v="16"/>
    </i>
    <i r="2">
      <x v="17"/>
    </i>
    <i r="1">
      <x v="45"/>
    </i>
    <i r="2">
      <x v="11"/>
    </i>
    <i r="2">
      <x v="17"/>
    </i>
    <i r="1">
      <x v="14"/>
    </i>
    <i r="2">
      <x v="2"/>
    </i>
    <i r="1">
      <x v="25"/>
    </i>
    <i r="2">
      <x v="2"/>
    </i>
    <i r="2">
      <x v="12"/>
    </i>
    <i r="2">
      <x v="13"/>
    </i>
    <i r="2">
      <x v="16"/>
    </i>
    <i r="2">
      <x v="17"/>
    </i>
    <i r="1">
      <x v="2"/>
    </i>
    <i r="2">
      <x v="12"/>
    </i>
    <i r="2">
      <x v="13"/>
    </i>
    <i r="2">
      <x v="16"/>
    </i>
    <i r="2">
      <x v="17"/>
    </i>
    <i r="1">
      <x v="27"/>
    </i>
    <i r="2">
      <x v="11"/>
    </i>
    <i r="2">
      <x v="17"/>
    </i>
    <i r="1">
      <x v="64"/>
    </i>
    <i r="2">
      <x v="2"/>
    </i>
    <i r="2">
      <x v="11"/>
    </i>
    <i r="2">
      <x v="17"/>
    </i>
    <i r="1">
      <x v="61"/>
    </i>
    <i r="2">
      <x v="13"/>
    </i>
    <i r="2">
      <x v="17"/>
    </i>
    <i r="1">
      <x v="72"/>
    </i>
    <i r="2">
      <x v="11"/>
    </i>
    <i r="2">
      <x v="17"/>
    </i>
    <i r="1">
      <x v="93"/>
    </i>
    <i r="2">
      <x v="10"/>
    </i>
    <i r="2">
      <x v="11"/>
    </i>
    <i r="2">
      <x v="16"/>
    </i>
    <i r="2">
      <x v="17"/>
    </i>
    <i r="1">
      <x v="56"/>
    </i>
    <i r="2">
      <x v="12"/>
    </i>
    <i r="2">
      <x v="16"/>
    </i>
    <i r="1">
      <x v="88"/>
    </i>
    <i r="2">
      <x v="2"/>
    </i>
    <i r="2">
      <x v="11"/>
    </i>
    <i r="2">
      <x v="17"/>
    </i>
    <i r="1">
      <x v="91"/>
    </i>
    <i r="2">
      <x v="11"/>
    </i>
    <i>
      <x v="2"/>
    </i>
    <i r="1">
      <x/>
    </i>
    <i r="2">
      <x/>
    </i>
    <i t="grand">
      <x/>
    </i>
  </rowItems>
  <colItems count="1">
    <i/>
  </colItems>
  <dataFields count="1">
    <dataField name="Összeg / Minősítési pont" fld="12" baseField="0" baseItem="0" numFmtId="3"/>
  </dataFields>
  <formats count="6">
    <format dxfId="56">
      <pivotArea dataOnly="0" labelOnly="1" outline="0" axis="axisValues" fieldPosition="0"/>
    </format>
    <format dxfId="55">
      <pivotArea dataOnly="0" labelOnly="1" outline="0" axis="axisValues" fieldPosition="0"/>
    </format>
    <format dxfId="54">
      <pivotArea dataOnly="0" labelOnly="1" outline="0" axis="axisValues" fieldPosition="0"/>
    </format>
    <format dxfId="53">
      <pivotArea field="17" type="button" dataOnly="0" labelOnly="1" outline="0" axis="axisRow" fieldPosition="0"/>
    </format>
    <format dxfId="52">
      <pivotArea field="17" type="button" dataOnly="0" labelOnly="1" outline="0" axis="axisRow" fieldPosition="0"/>
    </format>
    <format dxfId="5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name="Kimutatás2" cacheId="1" applyNumberFormats="0" applyBorderFormats="0" applyFontFormats="0" applyPatternFormats="0" applyAlignmentFormats="0" applyWidthHeightFormats="1" dataCaption="Értékek" updatedVersion="8" minRefreshableVersion="3" useAutoFormatting="1" itemPrintTitles="1" createdVersion="8" indent="0" outline="1" outlineData="1" multipleFieldFilters="0" rowHeaderCaption="Klubok neve">
  <location ref="A3:B150" firstHeaderRow="1" firstDataRow="1" firstDataCol="1"/>
  <pivotFields count="21">
    <pivotField showAll="0"/>
    <pivotField showAll="0"/>
    <pivotField showAll="0"/>
    <pivotField axis="axisRow" showAll="0" sortType="descending">
      <items count="4">
        <item x="1"/>
        <item x="0"/>
        <item x="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axis="axisRow" showAll="0" sortType="descending">
      <items count="96">
        <item x="18"/>
        <item x="9"/>
        <item x="12"/>
        <item x="17"/>
        <item x="54"/>
        <item x="6"/>
        <item x="34"/>
        <item m="1" x="94"/>
        <item x="4"/>
        <item m="1" x="61"/>
        <item m="1" x="63"/>
        <item x="1"/>
        <item x="21"/>
        <item x="13"/>
        <item m="1" x="68"/>
        <item x="46"/>
        <item x="7"/>
        <item x="2"/>
        <item x="28"/>
        <item x="15"/>
        <item x="47"/>
        <item x="10"/>
        <item x="14"/>
        <item x="23"/>
        <item m="1" x="66"/>
        <item m="1" x="64"/>
        <item x="8"/>
        <item m="1" x="67"/>
        <item x="3"/>
        <item x="22"/>
        <item m="1" x="69"/>
        <item x="5"/>
        <item x="0"/>
        <item x="19"/>
        <item m="1" x="65"/>
        <item x="60"/>
        <item x="45"/>
        <item x="49"/>
        <item x="48"/>
        <item x="53"/>
        <item x="50"/>
        <item x="56"/>
        <item x="55"/>
        <item m="1" x="71"/>
        <item x="51"/>
        <item x="33"/>
        <item m="1" x="72"/>
        <item x="52"/>
        <item x="57"/>
        <item m="1" x="73"/>
        <item m="1" x="74"/>
        <item x="25"/>
        <item x="24"/>
        <item m="1" x="75"/>
        <item m="1" x="76"/>
        <item x="26"/>
        <item x="59"/>
        <item x="36"/>
        <item x="16"/>
        <item x="38"/>
        <item x="20"/>
        <item x="58"/>
        <item x="40"/>
        <item x="39"/>
        <item x="37"/>
        <item x="32"/>
        <item m="1" x="77"/>
        <item m="1" x="78"/>
        <item m="1" x="70"/>
        <item m="1" x="79"/>
        <item m="1" x="80"/>
        <item x="35"/>
        <item x="43"/>
        <item m="1" x="81"/>
        <item m="1" x="83"/>
        <item m="1" x="84"/>
        <item m="1" x="85"/>
        <item m="1" x="62"/>
        <item m="1" x="82"/>
        <item m="1" x="93"/>
        <item m="1" x="86"/>
        <item m="1" x="87"/>
        <item m="1" x="88"/>
        <item x="27"/>
        <item m="1" x="89"/>
        <item m="1" x="90"/>
        <item m="1" x="91"/>
        <item m="1" x="92"/>
        <item x="11"/>
        <item x="29"/>
        <item x="30"/>
        <item x="31"/>
        <item x="41"/>
        <item x="42"/>
        <item x="44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dataField="1" showAll="0"/>
    <pivotField showAll="0"/>
    <pivotField showAll="0"/>
    <pivotField showAll="0"/>
    <pivotField showAll="0"/>
    <pivotField axis="axisRow" showAll="0">
      <items count="4">
        <item x="0"/>
        <item x="1"/>
        <item sd="0" x="2"/>
        <item t="default"/>
      </items>
    </pivotField>
    <pivotField showAll="0"/>
    <pivotField axis="axisRow" showAll="0" sortType="descending">
      <items count="5">
        <item x="0"/>
        <item x="1"/>
        <item x="2"/>
        <item m="1" x="3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</pivotFields>
  <rowFields count="4">
    <field x="17"/>
    <field x="3"/>
    <field x="19"/>
    <field x="10"/>
  </rowFields>
  <rowItems count="147">
    <i>
      <x/>
    </i>
    <i r="1">
      <x v="1"/>
    </i>
    <i r="2">
      <x v="1"/>
    </i>
    <i r="3">
      <x v="16"/>
    </i>
    <i r="3">
      <x v="28"/>
    </i>
    <i r="3">
      <x v="32"/>
    </i>
    <i r="3">
      <x v="3"/>
    </i>
    <i r="3">
      <x v="23"/>
    </i>
    <i r="3">
      <x v="44"/>
    </i>
    <i r="3">
      <x v="89"/>
    </i>
    <i r="3">
      <x v="52"/>
    </i>
    <i r="3">
      <x v="36"/>
    </i>
    <i r="3">
      <x v="51"/>
    </i>
    <i r="3">
      <x v="8"/>
    </i>
    <i r="3">
      <x v="13"/>
    </i>
    <i r="3">
      <x v="18"/>
    </i>
    <i r="3">
      <x v="40"/>
    </i>
    <i r="3">
      <x v="2"/>
    </i>
    <i r="3">
      <x v="37"/>
    </i>
    <i r="3">
      <x v="19"/>
    </i>
    <i r="3">
      <x v="20"/>
    </i>
    <i r="3">
      <x v="22"/>
    </i>
    <i r="3">
      <x v="55"/>
    </i>
    <i r="3">
      <x v="11"/>
    </i>
    <i r="3">
      <x v="83"/>
    </i>
    <i r="3">
      <x v="15"/>
    </i>
    <i r="3">
      <x v="60"/>
    </i>
    <i r="3">
      <x v="57"/>
    </i>
    <i r="3">
      <x/>
    </i>
    <i r="3">
      <x v="48"/>
    </i>
    <i r="3">
      <x v="5"/>
    </i>
    <i r="3">
      <x v="6"/>
    </i>
    <i r="3">
      <x v="17"/>
    </i>
    <i r="3">
      <x v="39"/>
    </i>
    <i r="3">
      <x v="62"/>
    </i>
    <i r="3">
      <x v="38"/>
    </i>
    <i r="3">
      <x v="47"/>
    </i>
    <i r="3">
      <x v="42"/>
    </i>
    <i r="3">
      <x v="90"/>
    </i>
    <i r="3">
      <x v="59"/>
    </i>
    <i r="3">
      <x v="29"/>
    </i>
    <i r="3">
      <x v="92"/>
    </i>
    <i r="3">
      <x v="64"/>
    </i>
    <i r="3">
      <x v="71"/>
    </i>
    <i r="3">
      <x v="61"/>
    </i>
    <i r="3">
      <x v="65"/>
    </i>
    <i r="2">
      <x/>
    </i>
    <i r="3">
      <x v="32"/>
    </i>
    <i r="3">
      <x v="16"/>
    </i>
    <i r="3">
      <x v="28"/>
    </i>
    <i r="3">
      <x v="3"/>
    </i>
    <i r="3">
      <x v="11"/>
    </i>
    <i r="3">
      <x v="5"/>
    </i>
    <i r="3">
      <x v="17"/>
    </i>
    <i r="3">
      <x v="8"/>
    </i>
    <i r="3">
      <x v="60"/>
    </i>
    <i r="3">
      <x v="13"/>
    </i>
    <i r="3">
      <x/>
    </i>
    <i r="1">
      <x/>
    </i>
    <i r="2">
      <x v="1"/>
    </i>
    <i r="3">
      <x v="28"/>
    </i>
    <i r="3">
      <x v="3"/>
    </i>
    <i r="3">
      <x v="19"/>
    </i>
    <i r="3">
      <x v="12"/>
    </i>
    <i r="3">
      <x v="32"/>
    </i>
    <i r="3">
      <x v="15"/>
    </i>
    <i r="3">
      <x v="40"/>
    </i>
    <i r="3">
      <x v="51"/>
    </i>
    <i r="3">
      <x v="6"/>
    </i>
    <i r="3">
      <x v="20"/>
    </i>
    <i r="3">
      <x v="83"/>
    </i>
    <i r="3">
      <x v="23"/>
    </i>
    <i r="3">
      <x v="17"/>
    </i>
    <i r="3">
      <x v="39"/>
    </i>
    <i r="3">
      <x v="52"/>
    </i>
    <i r="3">
      <x v="90"/>
    </i>
    <i r="3">
      <x v="2"/>
    </i>
    <i r="3">
      <x v="55"/>
    </i>
    <i r="3">
      <x v="29"/>
    </i>
    <i r="3">
      <x v="57"/>
    </i>
    <i r="3">
      <x v="65"/>
    </i>
    <i r="3">
      <x v="36"/>
    </i>
    <i r="3">
      <x v="8"/>
    </i>
    <i r="3">
      <x v="64"/>
    </i>
    <i r="3">
      <x v="16"/>
    </i>
    <i r="3">
      <x v="47"/>
    </i>
    <i r="3">
      <x v="89"/>
    </i>
    <i r="3">
      <x v="59"/>
    </i>
    <i r="3">
      <x v="94"/>
    </i>
    <i r="3">
      <x v="11"/>
    </i>
    <i r="3">
      <x v="71"/>
    </i>
    <i r="2">
      <x/>
    </i>
    <i r="3">
      <x v="12"/>
    </i>
    <i r="3">
      <x v="16"/>
    </i>
    <i r="3">
      <x v="2"/>
    </i>
    <i r="3">
      <x v="28"/>
    </i>
    <i r="3">
      <x v="13"/>
    </i>
    <i r="3">
      <x v="17"/>
    </i>
    <i r="3">
      <x v="22"/>
    </i>
    <i r="3">
      <x v="29"/>
    </i>
    <i r="3">
      <x v="3"/>
    </i>
    <i r="3">
      <x v="19"/>
    </i>
    <i r="3">
      <x v="23"/>
    </i>
    <i>
      <x v="1"/>
    </i>
    <i r="1">
      <x v="1"/>
    </i>
    <i r="2">
      <x v="1"/>
    </i>
    <i r="3">
      <x v="33"/>
    </i>
    <i r="3">
      <x v="58"/>
    </i>
    <i r="3">
      <x v="31"/>
    </i>
    <i r="3">
      <x v="45"/>
    </i>
    <i r="3">
      <x v="21"/>
    </i>
    <i r="3">
      <x v="41"/>
    </i>
    <i r="3">
      <x v="63"/>
    </i>
    <i r="3">
      <x v="93"/>
    </i>
    <i r="3">
      <x v="72"/>
    </i>
    <i r="3">
      <x v="4"/>
    </i>
    <i r="3">
      <x v="1"/>
    </i>
    <i r="3">
      <x v="56"/>
    </i>
    <i r="3">
      <x v="88"/>
    </i>
    <i r="2">
      <x/>
    </i>
    <i r="3">
      <x v="26"/>
    </i>
    <i r="3">
      <x v="33"/>
    </i>
    <i r="3">
      <x v="1"/>
    </i>
    <i r="3">
      <x v="31"/>
    </i>
    <i r="3">
      <x v="21"/>
    </i>
    <i r="3">
      <x v="88"/>
    </i>
    <i r="1">
      <x/>
    </i>
    <i r="2">
      <x v="1"/>
    </i>
    <i r="3">
      <x v="31"/>
    </i>
    <i r="3">
      <x v="58"/>
    </i>
    <i r="3">
      <x v="4"/>
    </i>
    <i r="3">
      <x v="33"/>
    </i>
    <i r="3">
      <x v="63"/>
    </i>
    <i r="3">
      <x v="45"/>
    </i>
    <i r="3">
      <x v="72"/>
    </i>
    <i r="3">
      <x v="91"/>
    </i>
    <i r="3">
      <x v="1"/>
    </i>
    <i r="3">
      <x v="93"/>
    </i>
    <i r="3">
      <x v="21"/>
    </i>
    <i r="3">
      <x v="88"/>
    </i>
    <i r="2">
      <x/>
    </i>
    <i r="3">
      <x v="31"/>
    </i>
    <i r="3">
      <x v="26"/>
    </i>
    <i r="3">
      <x v="58"/>
    </i>
    <i r="3">
      <x v="1"/>
    </i>
    <i>
      <x v="2"/>
    </i>
    <i t="grand">
      <x/>
    </i>
  </rowItems>
  <colItems count="1">
    <i/>
  </colItems>
  <dataFields count="1">
    <dataField name="Összeg / Minősítési pont" fld="12" baseField="0" baseItem="0" numFmtId="3"/>
  </dataFields>
  <formats count="13">
    <format dxfId="50">
      <pivotArea outline="0" collapsedLevelsAreSubtotals="1" fieldPosition="0"/>
    </format>
    <format dxfId="49">
      <pivotArea dataOnly="0" labelOnly="1" outline="0" axis="axisValues" fieldPosition="0"/>
    </format>
    <format dxfId="48">
      <pivotArea dataOnly="0" labelOnly="1" fieldPosition="0">
        <references count="3">
          <reference field="3" count="1" selected="0">
            <x v="1"/>
          </reference>
          <reference field="17" count="1" selected="0">
            <x v="0"/>
          </reference>
          <reference field="19" count="1">
            <x v="0"/>
          </reference>
        </references>
      </pivotArea>
    </format>
    <format dxfId="47">
      <pivotArea dataOnly="0" labelOnly="1" fieldPosition="0">
        <references count="3">
          <reference field="3" count="1" selected="0">
            <x v="1"/>
          </reference>
          <reference field="17" count="1" selected="0">
            <x v="0"/>
          </reference>
          <reference field="19" count="1">
            <x v="1"/>
          </reference>
        </references>
      </pivotArea>
    </format>
    <format dxfId="46">
      <pivotArea dataOnly="0" labelOnly="1" fieldPosition="0">
        <references count="2">
          <reference field="3" count="1">
            <x v="1"/>
          </reference>
          <reference field="17" count="1" selected="0">
            <x v="0"/>
          </reference>
        </references>
      </pivotArea>
    </format>
    <format dxfId="45">
      <pivotArea dataOnly="0" fieldPosition="0">
        <references count="1">
          <reference field="3" count="1">
            <x v="0"/>
          </reference>
        </references>
      </pivotArea>
    </format>
    <format dxfId="44">
      <pivotArea dataOnly="0" labelOnly="1" fieldPosition="0">
        <references count="3">
          <reference field="3" count="1" selected="0">
            <x v="0"/>
          </reference>
          <reference field="17" count="1" selected="0">
            <x v="0"/>
          </reference>
          <reference field="19" count="1">
            <x v="0"/>
          </reference>
        </references>
      </pivotArea>
    </format>
    <format dxfId="43">
      <pivotArea dataOnly="0" labelOnly="1" fieldPosition="0">
        <references count="3">
          <reference field="3" count="1" selected="0">
            <x v="0"/>
          </reference>
          <reference field="17" count="1" selected="0">
            <x v="0"/>
          </reference>
          <reference field="19" count="1">
            <x v="1"/>
          </reference>
        </references>
      </pivotArea>
    </format>
    <format dxfId="42">
      <pivotArea collapsedLevelsAreSubtotals="1" fieldPosition="0">
        <references count="2">
          <reference field="3" count="1">
            <x v="0"/>
          </reference>
          <reference field="17" count="1" selected="0">
            <x v="0"/>
          </reference>
        </references>
      </pivotArea>
    </format>
    <format dxfId="41">
      <pivotArea collapsedLevelsAreSubtotals="1" fieldPosition="0">
        <references count="3">
          <reference field="3" count="1" selected="0">
            <x v="0"/>
          </reference>
          <reference field="17" count="1" selected="0">
            <x v="0"/>
          </reference>
          <reference field="19" count="1">
            <x v="0"/>
          </reference>
        </references>
      </pivotArea>
    </format>
    <format dxfId="40">
      <pivotArea collapsedLevelsAreSubtotals="1" fieldPosition="0">
        <references count="3">
          <reference field="3" count="1" selected="0">
            <x v="0"/>
          </reference>
          <reference field="17" count="1" selected="0">
            <x v="0"/>
          </reference>
          <reference field="19" count="1">
            <x v="1"/>
          </reference>
        </references>
      </pivotArea>
    </format>
    <format dxfId="39">
      <pivotArea collapsedLevelsAreSubtotals="1" fieldPosition="0">
        <references count="3">
          <reference field="3" count="1" selected="0">
            <x v="1"/>
          </reference>
          <reference field="17" count="1" selected="0">
            <x v="0"/>
          </reference>
          <reference field="19" count="1">
            <x v="0"/>
          </reference>
        </references>
      </pivotArea>
    </format>
    <format dxfId="38">
      <pivotArea collapsedLevelsAreSubtotals="1" fieldPosition="0">
        <references count="3">
          <reference field="3" count="1" selected="0">
            <x v="1"/>
          </reference>
          <reference field="17" count="1" selected="0">
            <x v="0"/>
          </reference>
          <reference field="19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name="Kimutatás1" cacheId="2" applyNumberFormats="0" applyBorderFormats="0" applyFontFormats="0" applyPatternFormats="0" applyAlignmentFormats="0" applyWidthHeightFormats="1" dataCaption="Értékek" grandTotalCaption="Összes pont" updatedVersion="8" minRefreshableVersion="3" useAutoFormatting="1" itemPrintTitles="1" createdVersion="8" indent="0" outline="1" outlineData="1" multipleFieldFilters="0">
  <location ref="A3:K873" firstHeaderRow="1" firstDataRow="2" firstDataCol="1"/>
  <pivotFields count="22">
    <pivotField axis="axisCol" showAll="0">
      <items count="21">
        <item m="1" x="15"/>
        <item m="1" x="14"/>
        <item m="1" x="13"/>
        <item m="1" x="10"/>
        <item m="1" x="11"/>
        <item m="1" x="16"/>
        <item m="1" x="12"/>
        <item m="1" x="17"/>
        <item m="1" x="9"/>
        <item x="8"/>
        <item m="1" x="18"/>
        <item m="1" x="19"/>
        <item x="0"/>
        <item x="1"/>
        <item x="2"/>
        <item x="3"/>
        <item x="4"/>
        <item x="5"/>
        <item x="6"/>
        <item x="7"/>
        <item t="default"/>
      </items>
    </pivotField>
    <pivotField showAll="0"/>
    <pivotField showAll="0"/>
    <pivotField showAll="0"/>
    <pivotField showAll="0"/>
    <pivotField axis="axisRow" showAll="0" sortType="descending">
      <items count="127">
        <item m="1" x="90"/>
        <item m="1" x="89"/>
        <item x="9"/>
        <item x="16"/>
        <item x="21"/>
        <item x="25"/>
        <item x="31"/>
        <item x="35"/>
        <item x="55"/>
        <item x="60"/>
        <item x="64"/>
        <item x="69"/>
        <item m="1" x="125"/>
        <item x="42"/>
        <item x="48"/>
        <item x="4"/>
        <item x="2"/>
        <item x="0"/>
        <item x="3"/>
        <item x="14"/>
        <item x="10"/>
        <item m="1" x="87"/>
        <item m="1" x="124"/>
        <item x="13"/>
        <item x="20"/>
        <item x="18"/>
        <item x="19"/>
        <item x="24"/>
        <item x="22"/>
        <item x="23"/>
        <item x="30"/>
        <item x="26"/>
        <item x="27"/>
        <item x="28"/>
        <item x="77"/>
        <item x="29"/>
        <item x="33"/>
        <item x="32"/>
        <item x="76"/>
        <item x="34"/>
        <item m="1" x="94"/>
        <item m="1" x="95"/>
        <item m="1" x="96"/>
        <item m="1" x="97"/>
        <item m="1" x="102"/>
        <item m="1" x="98"/>
        <item m="1" x="99"/>
        <item m="1" x="100"/>
        <item m="1" x="101"/>
        <item m="1" x="104"/>
        <item m="1" x="103"/>
        <item m="1" x="105"/>
        <item x="54"/>
        <item x="49"/>
        <item x="50"/>
        <item x="51"/>
        <item x="52"/>
        <item x="70"/>
        <item x="53"/>
        <item x="59"/>
        <item m="1" x="119"/>
        <item x="56"/>
        <item m="1" x="116"/>
        <item m="1" x="115"/>
        <item x="57"/>
        <item m="1" x="117"/>
        <item x="58"/>
        <item m="1" x="118"/>
        <item x="71"/>
        <item x="63"/>
        <item x="72"/>
        <item x="61"/>
        <item x="62"/>
        <item x="73"/>
        <item x="74"/>
        <item x="75"/>
        <item x="65"/>
        <item x="66"/>
        <item x="67"/>
        <item x="68"/>
        <item m="1" x="86"/>
        <item m="1" x="85"/>
        <item m="1" x="121"/>
        <item m="1" x="122"/>
        <item m="1" x="120"/>
        <item m="1" x="109"/>
        <item x="40"/>
        <item x="36"/>
        <item x="37"/>
        <item m="1" x="107"/>
        <item m="1" x="106"/>
        <item x="38"/>
        <item m="1" x="108"/>
        <item x="39"/>
        <item x="41"/>
        <item x="46"/>
        <item m="1" x="112"/>
        <item x="43"/>
        <item m="1" x="111"/>
        <item m="1" x="110"/>
        <item x="47"/>
        <item m="1" x="113"/>
        <item x="44"/>
        <item m="1" x="114"/>
        <item x="45"/>
        <item x="7"/>
        <item m="1" x="84"/>
        <item x="8"/>
        <item m="1" x="92"/>
        <item m="1" x="91"/>
        <item m="1" x="123"/>
        <item m="1" x="93"/>
        <item m="1" x="88"/>
        <item x="15"/>
        <item x="82"/>
        <item x="1"/>
        <item x="5"/>
        <item x="6"/>
        <item x="11"/>
        <item x="12"/>
        <item m="1" x="83"/>
        <item x="78"/>
        <item x="79"/>
        <item x="80"/>
        <item x="81"/>
        <item x="17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axis="axisRow" showAll="0" sortType="descending">
      <items count="848">
        <item x="560"/>
        <item x="514"/>
        <item m="1" x="658"/>
        <item m="1" x="781"/>
        <item x="312"/>
        <item x="334"/>
        <item x="101"/>
        <item m="1" x="750"/>
        <item x="242"/>
        <item m="1" x="588"/>
        <item x="479"/>
        <item m="1" x="702"/>
        <item x="133"/>
        <item x="388"/>
        <item x="453"/>
        <item x="176"/>
        <item m="1" x="752"/>
        <item m="1" x="679"/>
        <item x="199"/>
        <item x="144"/>
        <item x="171"/>
        <item x="505"/>
        <item m="1" x="765"/>
        <item x="372"/>
        <item m="1" x="600"/>
        <item x="77"/>
        <item x="430"/>
        <item m="1" x="613"/>
        <item m="1" x="713"/>
        <item x="96"/>
        <item m="1" x="726"/>
        <item m="1" x="591"/>
        <item x="50"/>
        <item x="183"/>
        <item x="200"/>
        <item x="429"/>
        <item x="459"/>
        <item x="125"/>
        <item x="67"/>
        <item x="467"/>
        <item m="1" x="637"/>
        <item x="545"/>
        <item x="155"/>
        <item m="1" x="770"/>
        <item x="447"/>
        <item m="1" x="660"/>
        <item x="434"/>
        <item m="1" x="680"/>
        <item x="356"/>
        <item x="325"/>
        <item m="1" x="746"/>
        <item m="1" x="764"/>
        <item m="1" x="641"/>
        <item x="381"/>
        <item m="1" x="607"/>
        <item x="214"/>
        <item m="1" x="664"/>
        <item m="1" x="643"/>
        <item x="163"/>
        <item m="1" x="650"/>
        <item m="1" x="626"/>
        <item x="48"/>
        <item x="97"/>
        <item m="1" x="686"/>
        <item x="145"/>
        <item x="391"/>
        <item m="1" x="583"/>
        <item x="466"/>
        <item m="1" x="718"/>
        <item x="273"/>
        <item x="360"/>
        <item m="1" x="631"/>
        <item x="319"/>
        <item x="128"/>
        <item x="482"/>
        <item x="456"/>
        <item m="1" x="806"/>
        <item x="320"/>
        <item m="1" x="722"/>
        <item x="217"/>
        <item x="385"/>
        <item x="477"/>
        <item x="339"/>
        <item x="226"/>
        <item m="1" x="732"/>
        <item x="147"/>
        <item m="1" x="646"/>
        <item x="295"/>
        <item m="1" x="704"/>
        <item m="1" x="656"/>
        <item x="271"/>
        <item x="209"/>
        <item x="110"/>
        <item m="1" x="676"/>
        <item m="1" x="638"/>
        <item x="394"/>
        <item m="1" x="616"/>
        <item m="1" x="691"/>
        <item x="389"/>
        <item m="1" x="719"/>
        <item m="1" x="768"/>
        <item x="471"/>
        <item x="244"/>
        <item x="46"/>
        <item m="1" x="584"/>
        <item x="258"/>
        <item x="431"/>
        <item x="21"/>
        <item x="337"/>
        <item m="1" x="775"/>
        <item x="530"/>
        <item m="1" x="568"/>
        <item m="1" x="564"/>
        <item m="1" x="758"/>
        <item x="481"/>
        <item m="1" x="622"/>
        <item m="1" x="772"/>
        <item m="1" x="742"/>
        <item m="1" x="612"/>
        <item x="503"/>
        <item x="554"/>
        <item x="175"/>
        <item m="1" x="685"/>
        <item x="25"/>
        <item x="437"/>
        <item x="500"/>
        <item x="33"/>
        <item m="1" x="801"/>
        <item x="111"/>
        <item x="207"/>
        <item x="318"/>
        <item x="452"/>
        <item x="249"/>
        <item m="1" x="778"/>
        <item m="1" x="792"/>
        <item x="413"/>
        <item m="1" x="776"/>
        <item m="1" x="804"/>
        <item x="30"/>
        <item x="286"/>
        <item x="282"/>
        <item x="156"/>
        <item x="400"/>
        <item x="526"/>
        <item x="517"/>
        <item x="60"/>
        <item x="57"/>
        <item x="3"/>
        <item x="464"/>
        <item m="1" x="629"/>
        <item x="343"/>
        <item x="501"/>
        <item x="550"/>
        <item m="1" x="789"/>
        <item x="44"/>
        <item m="1" x="563"/>
        <item x="251"/>
        <item m="1" x="582"/>
        <item m="1" x="659"/>
        <item m="1" x="807"/>
        <item x="177"/>
        <item m="1" x="712"/>
        <item x="383"/>
        <item x="329"/>
        <item x="152"/>
        <item x="498"/>
        <item m="1" x="589"/>
        <item x="387"/>
        <item x="2"/>
        <item x="184"/>
        <item x="283"/>
        <item x="195"/>
        <item x="541"/>
        <item m="1" x="630"/>
        <item x="345"/>
        <item x="198"/>
        <item m="1" x="700"/>
        <item m="1" x="635"/>
        <item x="56"/>
        <item m="1" x="727"/>
        <item x="53"/>
        <item m="1" x="762"/>
        <item m="1" x="779"/>
        <item m="1" x="627"/>
        <item m="1" x="794"/>
        <item m="1" x="796"/>
        <item m="1" x="649"/>
        <item m="1" x="618"/>
        <item m="1" x="755"/>
        <item m="1" x="774"/>
        <item m="1" x="777"/>
        <item x="369"/>
        <item x="379"/>
        <item m="1" x="573"/>
        <item m="1" x="710"/>
        <item m="1" x="808"/>
        <item x="442"/>
        <item m="1" x="733"/>
        <item m="1" x="623"/>
        <item x="197"/>
        <item x="509"/>
        <item m="1" x="648"/>
        <item m="1" x="598"/>
        <item m="1" x="707"/>
        <item x="324"/>
        <item m="1" x="731"/>
        <item x="474"/>
        <item m="1" x="767"/>
        <item m="1" x="653"/>
        <item x="491"/>
        <item x="409"/>
        <item x="427"/>
        <item m="1" x="723"/>
        <item x="335"/>
        <item x="280"/>
        <item x="277"/>
        <item x="239"/>
        <item m="1" x="747"/>
        <item x="403"/>
        <item x="104"/>
        <item m="1" x="597"/>
        <item m="1" x="735"/>
        <item m="1" x="620"/>
        <item x="449"/>
        <item x="502"/>
        <item m="1" x="805"/>
        <item x="508"/>
        <item x="261"/>
        <item x="513"/>
        <item x="411"/>
        <item m="1" x="709"/>
        <item m="1" x="766"/>
        <item x="202"/>
        <item m="1" x="759"/>
        <item x="188"/>
        <item x="365"/>
        <item m="1" x="701"/>
        <item x="436"/>
        <item x="112"/>
        <item m="1" x="580"/>
        <item m="1" x="769"/>
        <item m="1" x="696"/>
        <item x="121"/>
        <item x="299"/>
        <item m="1" x="694"/>
        <item m="1" x="703"/>
        <item x="523"/>
        <item x="213"/>
        <item x="45"/>
        <item m="1" x="587"/>
        <item x="559"/>
        <item m="1" x="809"/>
        <item x="216"/>
        <item m="1" x="633"/>
        <item m="1" x="714"/>
        <item m="1" x="783"/>
        <item m="1" x="669"/>
        <item x="419"/>
        <item x="373"/>
        <item x="546"/>
        <item m="1" x="651"/>
        <item x="298"/>
        <item x="361"/>
        <item m="1" x="795"/>
        <item x="465"/>
        <item m="1" x="575"/>
        <item m="1" x="585"/>
        <item x="276"/>
        <item m="1" x="602"/>
        <item x="230"/>
        <item x="472"/>
        <item x="225"/>
        <item x="254"/>
        <item x="285"/>
        <item m="1" x="579"/>
        <item x="7"/>
        <item m="1" x="738"/>
        <item x="435"/>
        <item x="39"/>
        <item m="1" x="628"/>
        <item x="18"/>
        <item m="1" x="690"/>
        <item x="9"/>
        <item m="1" x="614"/>
        <item x="378"/>
        <item x="35"/>
        <item x="425"/>
        <item x="352"/>
        <item m="1" x="593"/>
        <item x="229"/>
        <item m="1" x="566"/>
        <item m="1" x="639"/>
        <item x="105"/>
        <item x="218"/>
        <item x="520"/>
        <item m="1" x="743"/>
        <item m="1" x="705"/>
        <item m="1" x="599"/>
        <item x="446"/>
        <item x="406"/>
        <item x="259"/>
        <item x="468"/>
        <item x="22"/>
        <item m="1" x="606"/>
        <item x="551"/>
        <item m="1" x="603"/>
        <item x="16"/>
        <item x="80"/>
        <item m="1" x="678"/>
        <item x="142"/>
        <item m="1" x="592"/>
        <item m="1" x="621"/>
        <item x="408"/>
        <item x="340"/>
        <item x="458"/>
        <item x="440"/>
        <item m="1" x="684"/>
        <item m="1" x="798"/>
        <item m="1" x="725"/>
        <item x="332"/>
        <item x="291"/>
        <item x="322"/>
        <item x="52"/>
        <item x="469"/>
        <item x="374"/>
        <item x="357"/>
        <item m="1" x="624"/>
        <item m="1" x="724"/>
        <item m="1" x="594"/>
        <item m="1" x="634"/>
        <item x="182"/>
        <item m="1" x="577"/>
        <item m="1" x="570"/>
        <item x="441"/>
        <item m="1" x="662"/>
        <item m="1" x="734"/>
        <item x="165"/>
        <item x="91"/>
        <item m="1" x="562"/>
        <item x="243"/>
        <item m="1" x="737"/>
        <item m="1" x="803"/>
        <item m="1" x="760"/>
        <item x="51"/>
        <item m="1" x="802"/>
        <item m="1" x="672"/>
        <item x="61"/>
        <item m="1" x="675"/>
        <item x="26"/>
        <item x="138"/>
        <item x="328"/>
        <item m="1" x="782"/>
        <item x="288"/>
        <item m="1" x="708"/>
        <item m="1" x="784"/>
        <item m="1" x="674"/>
        <item x="506"/>
        <item m="1" x="695"/>
        <item m="1" x="671"/>
        <item x="212"/>
        <item x="27"/>
        <item m="1" x="611"/>
        <item x="185"/>
        <item x="528"/>
        <item m="1" x="586"/>
        <item m="1" x="644"/>
        <item x="113"/>
        <item m="1" x="661"/>
        <item m="1" x="681"/>
        <item x="507"/>
        <item x="100"/>
        <item x="333"/>
        <item m="1" x="609"/>
        <item x="331"/>
        <item m="1" x="655"/>
        <item m="1" x="810"/>
        <item m="1" x="667"/>
        <item x="59"/>
        <item m="1" x="574"/>
        <item m="1" x="647"/>
        <item x="15"/>
        <item m="1" x="665"/>
        <item x="174"/>
        <item x="348"/>
        <item m="1" x="640"/>
        <item m="1" x="751"/>
        <item m="1" x="773"/>
        <item x="41"/>
        <item x="245"/>
        <item m="1" x="581"/>
        <item m="1" x="578"/>
        <item x="124"/>
        <item x="223"/>
        <item m="1" x="780"/>
        <item x="55"/>
        <item x="49"/>
        <item m="1" x="561"/>
        <item m="1" x="576"/>
        <item x="201"/>
        <item x="28"/>
        <item m="1" x="567"/>
        <item m="1" x="677"/>
        <item x="510"/>
        <item m="1" x="699"/>
        <item x="401"/>
        <item m="1" x="673"/>
        <item m="1" x="790"/>
        <item m="1" x="716"/>
        <item m="1" x="657"/>
        <item m="1" x="756"/>
        <item m="1" x="625"/>
        <item m="1" x="791"/>
        <item x="179"/>
        <item x="196"/>
        <item x="342"/>
        <item x="358"/>
        <item m="1" x="632"/>
        <item x="191"/>
        <item m="1" x="739"/>
        <item x="455"/>
        <item x="457"/>
        <item m="1" x="720"/>
        <item m="1" x="736"/>
        <item x="438"/>
        <item m="1" x="728"/>
        <item x="462"/>
        <item x="511"/>
        <item m="1" x="761"/>
        <item m="1" x="740"/>
        <item m="1" x="744"/>
        <item x="281"/>
        <item x="522"/>
        <item x="169"/>
        <item m="1" x="670"/>
        <item x="0"/>
        <item x="470"/>
        <item m="1" x="595"/>
        <item m="1" x="615"/>
        <item m="1" x="569"/>
        <item x="4"/>
        <item m="1" x="711"/>
        <item x="504"/>
        <item x="336"/>
        <item x="392"/>
        <item x="148"/>
        <item m="1" x="668"/>
        <item x="359"/>
        <item x="330"/>
        <item m="1" x="654"/>
        <item m="1" x="799"/>
        <item m="1" x="729"/>
        <item m="1" x="749"/>
        <item x="132"/>
        <item x="476"/>
        <item x="558"/>
        <item x="386"/>
        <item x="279"/>
        <item x="480"/>
        <item x="306"/>
        <item m="1" x="601"/>
        <item x="412"/>
        <item x="151"/>
        <item m="1" x="682"/>
        <item x="307"/>
        <item m="1" x="741"/>
        <item m="1" x="663"/>
        <item m="1" x="683"/>
        <item x="37"/>
        <item m="1" x="571"/>
        <item m="1" x="800"/>
        <item x="417"/>
        <item x="304"/>
        <item x="364"/>
        <item x="42"/>
        <item x="463"/>
        <item x="237"/>
        <item x="257"/>
        <item m="1" x="590"/>
        <item x="405"/>
        <item x="525"/>
        <item m="1" x="652"/>
        <item x="493"/>
        <item x="262"/>
        <item m="1" x="785"/>
        <item x="275"/>
        <item m="1" x="636"/>
        <item x="461"/>
        <item x="278"/>
        <item x="454"/>
        <item x="555"/>
        <item x="248"/>
        <item x="211"/>
        <item m="1" x="788"/>
        <item x="544"/>
        <item m="1" x="757"/>
        <item m="1" x="642"/>
        <item x="224"/>
        <item x="99"/>
        <item m="1" x="666"/>
        <item x="284"/>
        <item m="1" x="596"/>
        <item x="255"/>
        <item m="1" x="688"/>
        <item m="1" x="786"/>
        <item m="1" x="617"/>
        <item m="1" x="619"/>
        <item m="1" x="748"/>
        <item x="136"/>
        <item m="1" x="793"/>
        <item x="527"/>
        <item m="1" x="753"/>
        <item m="1" x="717"/>
        <item x="38"/>
        <item x="460"/>
        <item x="349"/>
        <item m="1" x="687"/>
        <item x="14"/>
        <item x="54"/>
        <item x="448"/>
        <item x="415"/>
        <item m="1" x="689"/>
        <item m="1" x="698"/>
        <item m="1" x="797"/>
        <item x="114"/>
        <item m="1" x="730"/>
        <item x="29"/>
        <item m="1" x="605"/>
        <item m="1" x="610"/>
        <item m="1" x="745"/>
        <item x="376"/>
        <item x="6"/>
        <item m="1" x="565"/>
        <item x="260"/>
        <item x="153"/>
        <item m="1" x="771"/>
        <item x="444"/>
        <item x="158"/>
        <item m="1" x="715"/>
        <item m="1" x="787"/>
        <item x="236"/>
        <item m="1" x="754"/>
        <item x="150"/>
        <item x="548"/>
        <item m="1" x="608"/>
        <item m="1" x="721"/>
        <item x="422"/>
        <item x="540"/>
        <item m="1" x="706"/>
        <item m="1" x="604"/>
        <item m="1" x="763"/>
        <item x="233"/>
        <item x="10"/>
        <item x="451"/>
        <item m="1" x="697"/>
        <item m="1" x="692"/>
        <item x="58"/>
        <item x="117"/>
        <item m="1" x="645"/>
        <item x="162"/>
        <item x="34"/>
        <item x="234"/>
        <item m="1" x="572"/>
        <item m="1" x="693"/>
        <item x="473"/>
        <item x="180"/>
        <item x="529"/>
        <item x="354"/>
        <item x="109"/>
        <item m="1" x="811"/>
        <item m="1" x="812"/>
        <item x="301"/>
        <item m="1" x="813"/>
        <item m="1" x="814"/>
        <item m="1" x="815"/>
        <item m="1" x="816"/>
        <item x="497"/>
        <item m="1" x="817"/>
        <item x="187"/>
        <item x="396"/>
        <item x="353"/>
        <item m="1" x="818"/>
        <item m="1" x="819"/>
        <item x="494"/>
        <item m="1" x="820"/>
        <item m="1" x="821"/>
        <item x="380"/>
        <item m="1" x="822"/>
        <item x="172"/>
        <item m="1" x="823"/>
        <item x="428"/>
        <item x="178"/>
        <item m="1" x="824"/>
        <item x="250"/>
        <item m="1" x="825"/>
        <item x="210"/>
        <item x="264"/>
        <item x="268"/>
        <item m="1" x="826"/>
        <item m="1" x="827"/>
        <item m="1" x="828"/>
        <item x="321"/>
        <item m="1" x="829"/>
        <item x="74"/>
        <item m="1" x="830"/>
        <item x="532"/>
        <item x="159"/>
        <item m="1" x="831"/>
        <item m="1" x="832"/>
        <item m="1" x="833"/>
        <item m="1" x="834"/>
        <item m="1" x="835"/>
        <item x="445"/>
        <item m="1" x="836"/>
        <item x="418"/>
        <item x="269"/>
        <item m="1" x="837"/>
        <item x="433"/>
        <item m="1" x="838"/>
        <item m="1" x="839"/>
        <item m="1" x="840"/>
        <item m="1" x="841"/>
        <item m="1" x="842"/>
        <item m="1" x="843"/>
        <item m="1" x="844"/>
        <item m="1" x="845"/>
        <item m="1" x="846"/>
        <item x="1"/>
        <item x="5"/>
        <item x="8"/>
        <item x="11"/>
        <item x="12"/>
        <item x="13"/>
        <item x="17"/>
        <item x="19"/>
        <item x="20"/>
        <item x="23"/>
        <item x="24"/>
        <item x="31"/>
        <item x="32"/>
        <item x="36"/>
        <item x="40"/>
        <item x="43"/>
        <item x="47"/>
        <item x="62"/>
        <item x="63"/>
        <item x="64"/>
        <item x="65"/>
        <item x="66"/>
        <item x="68"/>
        <item x="69"/>
        <item x="70"/>
        <item x="71"/>
        <item x="72"/>
        <item x="73"/>
        <item x="75"/>
        <item x="76"/>
        <item x="78"/>
        <item x="79"/>
        <item x="81"/>
        <item x="82"/>
        <item x="83"/>
        <item x="84"/>
        <item x="85"/>
        <item x="86"/>
        <item x="87"/>
        <item x="88"/>
        <item x="89"/>
        <item x="90"/>
        <item x="92"/>
        <item x="93"/>
        <item x="94"/>
        <item x="95"/>
        <item x="98"/>
        <item x="102"/>
        <item x="103"/>
        <item x="106"/>
        <item x="107"/>
        <item x="108"/>
        <item x="115"/>
        <item x="116"/>
        <item x="118"/>
        <item x="119"/>
        <item x="120"/>
        <item x="122"/>
        <item x="123"/>
        <item x="126"/>
        <item x="127"/>
        <item x="129"/>
        <item x="130"/>
        <item x="131"/>
        <item x="134"/>
        <item x="135"/>
        <item x="137"/>
        <item x="139"/>
        <item x="140"/>
        <item x="141"/>
        <item x="143"/>
        <item x="146"/>
        <item x="149"/>
        <item x="154"/>
        <item x="157"/>
        <item x="160"/>
        <item x="161"/>
        <item x="164"/>
        <item x="166"/>
        <item x="167"/>
        <item x="168"/>
        <item x="170"/>
        <item x="173"/>
        <item x="181"/>
        <item x="186"/>
        <item x="189"/>
        <item x="190"/>
        <item x="192"/>
        <item x="193"/>
        <item x="194"/>
        <item x="203"/>
        <item x="204"/>
        <item x="205"/>
        <item x="206"/>
        <item x="208"/>
        <item x="215"/>
        <item x="219"/>
        <item x="220"/>
        <item x="221"/>
        <item x="222"/>
        <item x="227"/>
        <item x="228"/>
        <item x="231"/>
        <item x="232"/>
        <item x="235"/>
        <item x="238"/>
        <item x="240"/>
        <item x="241"/>
        <item x="246"/>
        <item x="247"/>
        <item x="252"/>
        <item x="253"/>
        <item x="256"/>
        <item x="263"/>
        <item x="265"/>
        <item x="266"/>
        <item x="267"/>
        <item x="270"/>
        <item x="272"/>
        <item x="274"/>
        <item x="287"/>
        <item x="289"/>
        <item x="290"/>
        <item x="292"/>
        <item x="293"/>
        <item x="294"/>
        <item x="296"/>
        <item x="297"/>
        <item x="300"/>
        <item x="302"/>
        <item x="303"/>
        <item x="305"/>
        <item x="308"/>
        <item x="309"/>
        <item x="310"/>
        <item x="311"/>
        <item x="313"/>
        <item x="314"/>
        <item x="315"/>
        <item x="316"/>
        <item x="317"/>
        <item x="323"/>
        <item x="326"/>
        <item x="327"/>
        <item x="338"/>
        <item x="341"/>
        <item x="344"/>
        <item x="346"/>
        <item x="347"/>
        <item x="350"/>
        <item x="351"/>
        <item x="355"/>
        <item x="362"/>
        <item x="363"/>
        <item x="366"/>
        <item x="367"/>
        <item x="368"/>
        <item x="370"/>
        <item x="371"/>
        <item x="375"/>
        <item x="377"/>
        <item x="382"/>
        <item x="384"/>
        <item x="390"/>
        <item x="393"/>
        <item x="395"/>
        <item x="397"/>
        <item x="398"/>
        <item x="399"/>
        <item x="402"/>
        <item x="404"/>
        <item x="407"/>
        <item x="410"/>
        <item x="414"/>
        <item x="416"/>
        <item x="420"/>
        <item x="421"/>
        <item x="423"/>
        <item x="424"/>
        <item x="426"/>
        <item x="432"/>
        <item x="439"/>
        <item x="443"/>
        <item x="450"/>
        <item x="475"/>
        <item x="478"/>
        <item x="483"/>
        <item x="484"/>
        <item x="485"/>
        <item x="486"/>
        <item x="487"/>
        <item x="488"/>
        <item x="489"/>
        <item x="490"/>
        <item x="492"/>
        <item x="495"/>
        <item x="496"/>
        <item x="499"/>
        <item x="512"/>
        <item x="515"/>
        <item x="516"/>
        <item x="518"/>
        <item x="519"/>
        <item x="521"/>
        <item x="524"/>
        <item x="531"/>
        <item x="533"/>
        <item x="534"/>
        <item x="535"/>
        <item x="536"/>
        <item x="537"/>
        <item x="538"/>
        <item x="539"/>
        <item x="542"/>
        <item x="543"/>
        <item x="547"/>
        <item x="549"/>
        <item x="552"/>
        <item x="553"/>
        <item x="556"/>
        <item x="557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Row" showAll="0" sortType="descending">
      <items count="4">
        <item x="2"/>
        <item x="1"/>
        <item x="0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</pivotFields>
  <rowFields count="3">
    <field x="17"/>
    <field x="5"/>
    <field x="16"/>
  </rowFields>
  <rowItems count="869">
    <i>
      <x v="2"/>
    </i>
    <i r="1">
      <x v="32"/>
    </i>
    <i r="2">
      <x v="546"/>
    </i>
    <i r="2">
      <x v="163"/>
    </i>
    <i r="2">
      <x v="92"/>
    </i>
    <i r="2">
      <x v="447"/>
    </i>
    <i r="2">
      <x v="319"/>
    </i>
    <i r="2">
      <x v="497"/>
    </i>
    <i r="2">
      <x v="128"/>
    </i>
    <i r="2">
      <x v="371"/>
    </i>
    <i r="2">
      <x v="678"/>
    </i>
    <i r="2">
      <x v="373"/>
    </i>
    <i r="2">
      <x v="72"/>
    </i>
    <i r="2">
      <x v="523"/>
    </i>
    <i r="2">
      <x v="446"/>
    </i>
    <i r="2">
      <x v="6"/>
    </i>
    <i r="2">
      <x v="366"/>
    </i>
    <i r="2">
      <x v="238"/>
    </i>
    <i r="2">
      <x v="679"/>
    </i>
    <i r="2">
      <x v="70"/>
    </i>
    <i r="1">
      <x v="31"/>
    </i>
    <i r="2">
      <x v="130"/>
    </i>
    <i r="2">
      <x v="72"/>
    </i>
    <i r="2">
      <x v="497"/>
    </i>
    <i r="2">
      <x v="370"/>
    </i>
    <i r="2">
      <x v="600"/>
    </i>
    <i r="2">
      <x v="77"/>
    </i>
    <i r="2">
      <x v="6"/>
    </i>
    <i r="2">
      <x v="767"/>
    </i>
    <i r="2">
      <x v="204"/>
    </i>
    <i r="2">
      <x v="292"/>
    </i>
    <i r="2">
      <x v="321"/>
    </i>
    <i r="2">
      <x v="49"/>
    </i>
    <i r="2">
      <x v="768"/>
    </i>
    <i r="2">
      <x v="677"/>
    </i>
    <i r="2">
      <x v="676"/>
    </i>
    <i r="2">
      <x v="350"/>
    </i>
    <i r="2">
      <x v="769"/>
    </i>
    <i r="2">
      <x v="674"/>
    </i>
    <i r="2">
      <x v="219"/>
    </i>
    <i r="2">
      <x v="675"/>
    </i>
    <i r="2">
      <x v="567"/>
    </i>
    <i r="1">
      <x v="88"/>
    </i>
    <i r="2">
      <x v="536"/>
    </i>
    <i r="2">
      <x v="529"/>
    </i>
    <i r="2">
      <x v="605"/>
    </i>
    <i r="2">
      <x v="786"/>
    </i>
    <i r="2">
      <x v="110"/>
    </i>
    <i r="2">
      <x v="489"/>
    </i>
    <i r="2">
      <x v="95"/>
    </i>
    <i r="2">
      <x v="845"/>
    </i>
    <i r="2">
      <x v="284"/>
    </i>
    <i r="2">
      <x v="702"/>
    </i>
    <i r="2">
      <x v="165"/>
    </i>
    <i r="2">
      <x v="823"/>
    </i>
    <i r="1">
      <x v="6"/>
    </i>
    <i r="2">
      <x v="371"/>
    </i>
    <i r="2">
      <x v="72"/>
    </i>
    <i r="2">
      <x v="219"/>
    </i>
    <i r="2">
      <x v="689"/>
    </i>
    <i r="2">
      <x v="447"/>
    </i>
    <i r="2">
      <x v="204"/>
    </i>
    <i r="2">
      <x v="774"/>
    </i>
    <i r="2">
      <x v="12"/>
    </i>
    <i r="2">
      <x v="452"/>
    </i>
    <i r="2">
      <x v="391"/>
    </i>
    <i r="2">
      <x v="556"/>
    </i>
    <i r="2">
      <x v="77"/>
    </i>
    <i r="2">
      <x v="767"/>
    </i>
    <i r="2">
      <x v="213"/>
    </i>
    <i r="2">
      <x v="679"/>
    </i>
    <i r="2">
      <x v="692"/>
    </i>
    <i r="2">
      <x v="319"/>
    </i>
    <i r="2">
      <x v="507"/>
    </i>
    <i r="2">
      <x v="600"/>
    </i>
    <i r="2">
      <x v="514"/>
    </i>
    <i r="2">
      <x v="683"/>
    </i>
    <i r="2">
      <x v="321"/>
    </i>
    <i r="2">
      <x v="690"/>
    </i>
    <i r="2">
      <x v="366"/>
    </i>
    <i r="2">
      <x v="242"/>
    </i>
    <i r="2">
      <x v="579"/>
    </i>
    <i r="2">
      <x v="777"/>
    </i>
    <i r="2">
      <x v="350"/>
    </i>
    <i r="2">
      <x v="566"/>
    </i>
    <i r="1">
      <x v="35"/>
    </i>
    <i r="2">
      <x v="391"/>
    </i>
    <i r="2">
      <x v="5"/>
    </i>
    <i r="2">
      <x v="213"/>
    </i>
    <i r="2">
      <x v="37"/>
    </i>
    <i r="2">
      <x v="442"/>
    </i>
    <i r="2">
      <x v="771"/>
    </i>
    <i r="2">
      <x v="685"/>
    </i>
    <i r="2">
      <x v="108"/>
    </i>
    <i r="2">
      <x v="690"/>
    </i>
    <i r="2">
      <x v="150"/>
    </i>
    <i r="2">
      <x v="313"/>
    </i>
    <i r="2">
      <x v="770"/>
    </i>
    <i r="2">
      <x v="772"/>
    </i>
    <i r="2">
      <x v="82"/>
    </i>
    <i r="2">
      <x v="414"/>
    </i>
    <i r="1">
      <x v="14"/>
    </i>
    <i r="2">
      <x v="218"/>
    </i>
    <i r="2">
      <x v="129"/>
    </i>
    <i r="2">
      <x v="796"/>
    </i>
    <i r="2">
      <x v="252"/>
    </i>
    <i r="2">
      <x v="55"/>
    </i>
    <i r="2">
      <x v="478"/>
    </i>
    <i r="2">
      <x v="210"/>
    </i>
    <i r="2">
      <x v="175"/>
    </i>
    <i r="2">
      <x v="721"/>
    </i>
    <i r="2">
      <x v="247"/>
    </i>
    <i r="2">
      <x v="398"/>
    </i>
    <i r="2">
      <x v="725"/>
    </i>
    <i r="2">
      <x v="723"/>
    </i>
    <i r="2">
      <x v="798"/>
    </i>
    <i r="2">
      <x v="232"/>
    </i>
    <i r="2">
      <x v="724"/>
    </i>
    <i r="2">
      <x v="594"/>
    </i>
    <i r="2">
      <x v="229"/>
    </i>
    <i r="2">
      <x v="293"/>
    </i>
    <i r="2">
      <x v="413"/>
    </i>
    <i r="2">
      <x v="722"/>
    </i>
    <i r="1">
      <x v="30"/>
    </i>
    <i r="2">
      <x v="73"/>
    </i>
    <i r="2">
      <x v="174"/>
    </i>
    <i r="2">
      <x v="383"/>
    </i>
    <i r="2">
      <x v="126"/>
    </i>
    <i r="2">
      <x v="774"/>
    </i>
    <i r="2">
      <x v="773"/>
    </i>
    <i r="2">
      <x v="687"/>
    </i>
    <i r="2">
      <x v="688"/>
    </i>
    <i r="2">
      <x v="776"/>
    </i>
    <i r="2">
      <x v="775"/>
    </i>
    <i r="2">
      <x v="209"/>
    </i>
    <i r="2">
      <x v="287"/>
    </i>
    <i r="2">
      <x v="514"/>
    </i>
    <i r="1">
      <x v="19"/>
    </i>
    <i r="2">
      <x v="61"/>
    </i>
    <i r="2">
      <x v="395"/>
    </i>
    <i r="2">
      <x v="32"/>
    </i>
    <i r="1">
      <x v="23"/>
    </i>
    <i r="2">
      <x v="248"/>
    </i>
    <i r="2">
      <x v="250"/>
    </i>
    <i r="2">
      <x v="103"/>
    </i>
    <i r="2">
      <x v="642"/>
    </i>
    <i r="1">
      <x v="118"/>
    </i>
    <i r="2">
      <x v="278"/>
    </i>
    <i r="2">
      <x v="387"/>
    </i>
    <i r="1">
      <x v="4"/>
    </i>
    <i r="2">
      <x v="757"/>
    </i>
    <i r="2">
      <x v="87"/>
    </i>
    <i r="2">
      <x v="759"/>
    </i>
    <i r="2">
      <x v="243"/>
    </i>
    <i r="2">
      <x v="307"/>
    </i>
    <i r="2">
      <x v="471"/>
    </i>
    <i r="2">
      <x v="753"/>
    </i>
    <i r="2">
      <x v="661"/>
    </i>
    <i r="2">
      <x v="658"/>
    </i>
    <i r="2">
      <x v="654"/>
    </i>
    <i r="2">
      <x v="659"/>
    </i>
    <i r="2">
      <x v="664"/>
    </i>
    <i r="2">
      <x v="570"/>
    </i>
    <i r="2">
      <x v="760"/>
    </i>
    <i r="2">
      <x v="754"/>
    </i>
    <i r="2">
      <x v="761"/>
    </i>
    <i r="2">
      <x v="662"/>
    </i>
    <i r="2">
      <x v="660"/>
    </i>
    <i r="2">
      <x v="663"/>
    </i>
    <i r="2">
      <x v="650"/>
    </i>
    <i r="2">
      <x v="665"/>
    </i>
    <i r="1">
      <x v="68"/>
    </i>
    <i r="2">
      <x v="196"/>
    </i>
    <i r="2">
      <x v="808"/>
    </i>
    <i r="2">
      <x v="535"/>
    </i>
    <i r="2">
      <x v="611"/>
    </i>
    <i r="2">
      <x v="501"/>
    </i>
    <i r="1">
      <x v="102"/>
    </i>
    <i r="2">
      <x v="142"/>
    </i>
    <i r="2">
      <x v="175"/>
    </i>
    <i r="2">
      <x v="413"/>
    </i>
    <i r="2">
      <x v="232"/>
    </i>
    <i r="2">
      <x v="199"/>
    </i>
    <i r="2">
      <x v="18"/>
    </i>
    <i r="2">
      <x v="404"/>
    </i>
    <i r="2">
      <x v="718"/>
    </i>
    <i r="2">
      <x v="795"/>
    </i>
    <i r="2">
      <x v="34"/>
    </i>
    <i r="2">
      <x v="717"/>
    </i>
    <i r="2">
      <x v="716"/>
    </i>
    <i r="2">
      <x v="398"/>
    </i>
    <i r="2">
      <x v="21"/>
    </i>
    <i r="2">
      <x v="119"/>
    </i>
    <i r="2">
      <x v="441"/>
    </i>
    <i r="1">
      <x v="37"/>
    </i>
    <i r="2">
      <x v="349"/>
    </i>
    <i r="2">
      <x v="415"/>
    </i>
    <i r="2">
      <x v="694"/>
    </i>
    <i r="2">
      <x v="461"/>
    </i>
    <i r="2">
      <x v="48"/>
    </i>
    <i r="2">
      <x v="693"/>
    </i>
    <i r="2">
      <x v="325"/>
    </i>
    <i r="2">
      <x v="164"/>
    </i>
    <i r="2">
      <x v="780"/>
    </i>
    <i r="2">
      <x v="820"/>
    </i>
    <i r="2">
      <x v="783"/>
    </i>
    <i r="1">
      <x v="7"/>
    </i>
    <i r="2">
      <x v="235"/>
    </i>
    <i r="2">
      <x v="472"/>
    </i>
    <i r="2">
      <x v="349"/>
    </i>
    <i r="2">
      <x v="446"/>
    </i>
    <i r="2">
      <x v="461"/>
    </i>
    <i r="2">
      <x v="164"/>
    </i>
    <i r="2">
      <x v="780"/>
    </i>
    <i r="2">
      <x v="533"/>
    </i>
    <i r="2">
      <x v="782"/>
    </i>
    <i r="2">
      <x v="783"/>
    </i>
    <i r="2">
      <x v="698"/>
    </i>
    <i r="2">
      <x v="781"/>
    </i>
    <i r="2">
      <x v="70"/>
    </i>
    <i r="2">
      <x v="325"/>
    </i>
    <i r="2">
      <x v="784"/>
    </i>
    <i r="2">
      <x v="415"/>
    </i>
    <i r="2">
      <x v="444"/>
    </i>
    <i r="2">
      <x v="191"/>
    </i>
    <i r="2">
      <x v="42"/>
    </i>
    <i r="2">
      <x v="779"/>
    </i>
    <i r="2">
      <x v="778"/>
    </i>
    <i r="2">
      <x v="697"/>
    </i>
    <i r="1">
      <x v="18"/>
    </i>
    <i r="2">
      <x v="282"/>
    </i>
    <i r="1">
      <x v="24"/>
    </i>
    <i r="2">
      <x v="757"/>
    </i>
    <i r="2">
      <x v="458"/>
    </i>
    <i r="2">
      <x v="653"/>
    </i>
    <i r="2">
      <x v="602"/>
    </i>
    <i r="2">
      <x v="463"/>
    </i>
    <i r="2">
      <x v="758"/>
    </i>
    <i r="2">
      <x v="657"/>
    </i>
    <i r="2">
      <x v="818"/>
    </i>
    <i r="2">
      <x v="25"/>
    </i>
    <i r="2">
      <x v="656"/>
    </i>
    <i r="2">
      <x v="654"/>
    </i>
    <i r="1">
      <x v="13"/>
    </i>
    <i r="2">
      <x v="324"/>
    </i>
    <i r="2">
      <x v="585"/>
    </i>
    <i r="2">
      <x v="234"/>
    </i>
    <i r="2">
      <x v="578"/>
    </i>
    <i r="2">
      <x v="330"/>
    </i>
    <i r="2">
      <x v="704"/>
    </i>
    <i r="2">
      <x v="702"/>
    </i>
    <i r="2">
      <x v="711"/>
    </i>
    <i r="2">
      <x v="791"/>
    </i>
    <i r="2">
      <x v="141"/>
    </i>
    <i r="2">
      <x v="95"/>
    </i>
    <i r="2">
      <x v="712"/>
    </i>
    <i r="2">
      <x v="432"/>
    </i>
    <i r="2">
      <x v="417"/>
    </i>
    <i r="2">
      <x v="792"/>
    </i>
    <i r="2">
      <x v="284"/>
    </i>
    <i r="2">
      <x v="700"/>
    </i>
    <i r="1">
      <x v="79"/>
    </i>
    <i r="2">
      <x v="81"/>
    </i>
    <i r="2">
      <x v="178"/>
    </i>
    <i r="2">
      <x v="453"/>
    </i>
    <i r="2">
      <x v="454"/>
    </i>
    <i r="2">
      <x v="343"/>
    </i>
    <i r="2">
      <x v="139"/>
    </i>
    <i r="2">
      <x v="811"/>
    </i>
    <i r="2">
      <x v="746"/>
    </i>
    <i r="1">
      <x v="25"/>
    </i>
    <i r="2">
      <x v="87"/>
    </i>
    <i r="2">
      <x v="38"/>
    </i>
    <i r="2">
      <x v="648"/>
    </i>
    <i r="2">
      <x v="752"/>
    </i>
    <i r="2">
      <x v="813"/>
    </i>
    <i r="2">
      <x v="814"/>
    </i>
    <i r="2">
      <x v="753"/>
    </i>
    <i r="2">
      <x v="812"/>
    </i>
    <i r="2">
      <x v="658"/>
    </i>
    <i r="2">
      <x v="759"/>
    </i>
    <i r="1">
      <x v="26"/>
    </i>
    <i r="2">
      <x v="650"/>
    </i>
    <i r="2">
      <x v="261"/>
    </i>
    <i r="2">
      <x v="570"/>
    </i>
    <i r="2">
      <x v="756"/>
    </i>
    <i r="2">
      <x v="243"/>
    </i>
    <i r="2">
      <x v="651"/>
    </i>
    <i r="2">
      <x v="754"/>
    </i>
    <i r="2">
      <x v="471"/>
    </i>
    <i r="2">
      <x v="755"/>
    </i>
    <i r="2">
      <x v="817"/>
    </i>
    <i r="2">
      <x v="815"/>
    </i>
    <i r="1">
      <x v="104"/>
    </i>
    <i r="2">
      <x v="719"/>
    </i>
    <i r="2">
      <x v="218"/>
    </i>
    <i r="2">
      <x v="129"/>
    </i>
    <i r="2">
      <x v="796"/>
    </i>
    <i r="2">
      <x v="252"/>
    </i>
    <i r="2">
      <x v="836"/>
    </i>
    <i r="2">
      <x v="720"/>
    </i>
    <i r="2">
      <x v="724"/>
    </i>
    <i r="2">
      <x v="356"/>
    </i>
    <i r="1">
      <x v="91"/>
    </i>
    <i r="2">
      <x v="585"/>
    </i>
    <i r="2">
      <x v="58"/>
    </i>
    <i r="2">
      <x v="558"/>
    </i>
    <i r="2">
      <x v="192"/>
    </i>
    <i r="2">
      <x v="787"/>
    </i>
    <i r="2">
      <x v="336"/>
    </i>
    <i r="2">
      <x v="706"/>
    </i>
    <i r="2">
      <x v="704"/>
    </i>
    <i r="2">
      <x v="703"/>
    </i>
    <i r="1">
      <x v="94"/>
    </i>
    <i r="2">
      <x v="98"/>
    </i>
    <i r="2">
      <x v="65"/>
    </i>
    <i r="2">
      <x v="443"/>
    </i>
    <i r="2">
      <x v="330"/>
    </i>
    <i r="2">
      <x v="709"/>
    </i>
    <i r="2">
      <x v="789"/>
    </i>
    <i r="2">
      <x v="33"/>
    </i>
    <i r="2">
      <x v="710"/>
    </i>
    <i r="2">
      <x v="577"/>
    </i>
    <i r="2">
      <x v="169"/>
    </i>
    <i r="2">
      <x v="362"/>
    </i>
    <i r="1">
      <x v="64"/>
    </i>
    <i r="2">
      <x v="807"/>
    </i>
    <i r="2">
      <x v="315"/>
    </i>
    <i r="2">
      <x v="156"/>
    </i>
    <i r="2">
      <x v="18"/>
    </i>
    <i r="2">
      <x v="718"/>
    </i>
    <i r="2">
      <x v="737"/>
    </i>
    <i r="2">
      <x v="736"/>
    </i>
    <i r="2">
      <x v="413"/>
    </i>
    <i r="2">
      <x v="232"/>
    </i>
    <i r="2">
      <x v="333"/>
    </i>
    <i r="1">
      <x v="36"/>
    </i>
    <i r="2">
      <x v="262"/>
    </i>
    <i r="2">
      <x v="259"/>
    </i>
    <i r="2">
      <x v="582"/>
    </i>
    <i r="2">
      <x v="778"/>
    </i>
    <i r="2">
      <x v="481"/>
    </i>
    <i r="2">
      <x v="779"/>
    </i>
    <i r="2">
      <x v="696"/>
    </i>
    <i r="2">
      <x v="822"/>
    </i>
    <i r="2">
      <x v="821"/>
    </i>
    <i r="2">
      <x v="120"/>
    </i>
    <i r="2">
      <x v="533"/>
    </i>
    <i r="1">
      <x v="11"/>
    </i>
    <i r="2">
      <x v="394"/>
    </i>
    <i r="2">
      <x v="178"/>
    </i>
    <i r="2">
      <x v="499"/>
    </i>
    <i r="2">
      <x v="145"/>
    </i>
    <i r="2">
      <x v="352"/>
    </i>
    <i r="2">
      <x v="215"/>
    </i>
    <i r="2">
      <x v="322"/>
    </i>
    <i r="2">
      <x v="555"/>
    </i>
    <i r="2">
      <x v="206"/>
    </i>
    <i r="2">
      <x v="81"/>
    </i>
    <i r="2">
      <x v="748"/>
    </i>
    <i r="2">
      <x v="747"/>
    </i>
    <i r="2">
      <x v="320"/>
    </i>
    <i r="2">
      <x v="751"/>
    </i>
    <i r="2">
      <x v="749"/>
    </i>
    <i r="1">
      <x v="17"/>
    </i>
    <i r="2">
      <x v="434"/>
    </i>
    <i r="2">
      <x v="626"/>
    </i>
    <i r="2">
      <x v="168"/>
    </i>
    <i r="1">
      <x v="59"/>
    </i>
    <i r="2">
      <x v="476"/>
    </i>
    <i r="2">
      <x v="532"/>
    </i>
    <i r="2">
      <x v="144"/>
    </i>
    <i r="2">
      <x v="300"/>
    </i>
    <i r="2">
      <x v="105"/>
    </i>
    <i r="1">
      <x v="77"/>
    </i>
    <i r="2">
      <x v="270"/>
    </i>
    <i r="2">
      <x v="563"/>
    </i>
    <i r="2">
      <x v="214"/>
    </i>
    <i r="2">
      <x v="430"/>
    </i>
    <i r="1">
      <x v="8"/>
    </i>
    <i r="2">
      <x v="519"/>
    </i>
    <i r="2">
      <x v="277"/>
    </i>
    <i r="2">
      <x v="216"/>
    </i>
    <i r="2">
      <x v="46"/>
    </i>
    <i r="2">
      <x v="102"/>
    </i>
    <i r="2">
      <x v="237"/>
    </i>
    <i r="2">
      <x v="806"/>
    </i>
    <i r="2">
      <x v="211"/>
    </i>
    <i r="2">
      <x v="388"/>
    </i>
    <i r="2">
      <x v="271"/>
    </i>
    <i r="2">
      <x v="801"/>
    </i>
    <i r="2">
      <x v="734"/>
    </i>
    <i r="2">
      <x v="735"/>
    </i>
    <i r="1">
      <x v="100"/>
    </i>
    <i r="2">
      <x v="478"/>
    </i>
    <i r="2">
      <x v="797"/>
    </i>
    <i r="2">
      <x v="359"/>
    </i>
    <i r="2">
      <x v="247"/>
    </i>
    <i r="2">
      <x v="299"/>
    </i>
    <i r="2">
      <x v="714"/>
    </i>
    <i r="2">
      <x v="369"/>
    </i>
    <i r="1">
      <x v="10"/>
    </i>
    <i r="2">
      <x v="67"/>
    </i>
    <i r="2">
      <x v="513"/>
    </i>
    <i r="2">
      <x v="484"/>
    </i>
    <i r="2">
      <x v="39"/>
    </i>
    <i r="2">
      <x v="74"/>
    </i>
    <i r="1">
      <x v="53"/>
    </i>
    <i r="2">
      <x v="392"/>
    </i>
    <i r="2">
      <x v="460"/>
    </i>
    <i r="2">
      <x v="135"/>
    </i>
    <i r="2">
      <x v="799"/>
    </i>
    <i r="2">
      <x v="200"/>
    </i>
    <i r="2">
      <x v="271"/>
    </i>
    <i r="2">
      <x v="402"/>
    </i>
    <i r="2">
      <x v="237"/>
    </i>
    <i r="2">
      <x v="226"/>
    </i>
    <i r="1">
      <x v="71"/>
    </i>
    <i r="2">
      <x v="131"/>
    </i>
    <i r="2">
      <x v="742"/>
    </i>
    <i r="2">
      <x v="552"/>
    </i>
    <i r="2">
      <x v="596"/>
    </i>
    <i r="2">
      <x v="614"/>
    </i>
    <i r="2">
      <x v="743"/>
    </i>
    <i r="1">
      <x v="5"/>
    </i>
    <i r="2">
      <x v="666"/>
    </i>
    <i r="2">
      <x v="670"/>
    </i>
    <i r="2">
      <x v="62"/>
    </i>
    <i r="2">
      <x v="669"/>
    </i>
    <i r="2">
      <x v="764"/>
    </i>
    <i r="2">
      <x v="29"/>
    </i>
    <i r="2">
      <x v="765"/>
    </i>
    <i r="2">
      <x v="672"/>
    </i>
    <i r="2">
      <x v="766"/>
    </i>
    <i r="2">
      <x v="668"/>
    </i>
    <i r="2">
      <x v="667"/>
    </i>
    <i r="2">
      <x v="763"/>
    </i>
    <i r="2">
      <x v="191"/>
    </i>
    <i r="1">
      <x v="75"/>
    </i>
    <i r="2">
      <x v="457"/>
    </i>
    <i r="2">
      <x v="10"/>
    </i>
    <i r="2">
      <x v="114"/>
    </i>
    <i r="1">
      <x v="29"/>
    </i>
    <i r="2">
      <x v="4"/>
    </i>
    <i r="2">
      <x v="337"/>
    </i>
    <i r="2">
      <x v="762"/>
    </i>
    <i r="2">
      <x v="668"/>
    </i>
    <i r="2">
      <x v="763"/>
    </i>
    <i r="1">
      <x v="58"/>
    </i>
    <i r="2">
      <x v="731"/>
    </i>
    <i r="2">
      <x v="475"/>
    </i>
    <i r="2">
      <x v="26"/>
    </i>
    <i r="2">
      <x v="589"/>
    </i>
    <i r="2">
      <x v="35"/>
    </i>
    <i r="2">
      <x v="824"/>
    </i>
    <i r="2">
      <x v="216"/>
    </i>
    <i r="1">
      <x v="27"/>
    </i>
    <i r="2">
      <x v="669"/>
    </i>
    <i r="2">
      <x v="671"/>
    </i>
    <i r="2">
      <x v="670"/>
    </i>
    <i r="2">
      <x v="765"/>
    </i>
    <i r="2">
      <x v="819"/>
    </i>
    <i r="1">
      <x v="9"/>
    </i>
    <i r="2">
      <x v="44"/>
    </i>
    <i r="2">
      <x v="298"/>
    </i>
    <i r="2">
      <x v="592"/>
    </i>
    <i r="2">
      <x v="482"/>
    </i>
    <i r="2">
      <x v="739"/>
    </i>
    <i r="2">
      <x v="333"/>
    </i>
    <i r="2">
      <x v="518"/>
    </i>
    <i r="2">
      <x v="741"/>
    </i>
    <i r="2">
      <x v="740"/>
    </i>
    <i r="2">
      <x v="595"/>
    </i>
    <i r="2">
      <x v="132"/>
    </i>
    <i r="1">
      <x v="87"/>
    </i>
    <i r="2">
      <x v="23"/>
    </i>
    <i r="2">
      <x v="258"/>
    </i>
    <i r="2">
      <x v="324"/>
    </i>
    <i r="2">
      <x v="141"/>
    </i>
    <i r="2">
      <x v="785"/>
    </i>
    <i r="2">
      <x v="711"/>
    </i>
    <i r="2">
      <x v="575"/>
    </i>
    <i r="2">
      <x v="700"/>
    </i>
    <i r="1">
      <x v="93"/>
    </i>
    <i r="2">
      <x v="788"/>
    </i>
    <i r="2">
      <x v="432"/>
    </i>
    <i r="2">
      <x v="587"/>
    </i>
    <i r="2">
      <x v="121"/>
    </i>
    <i r="2">
      <x v="162"/>
    </i>
    <i r="2">
      <x v="125"/>
    </i>
    <i r="2">
      <x v="80"/>
    </i>
    <i r="2">
      <x v="708"/>
    </i>
    <i r="2">
      <x v="382"/>
    </i>
    <i r="1">
      <x v="52"/>
    </i>
    <i r="2">
      <x v="732"/>
    </i>
    <i r="2">
      <x v="806"/>
    </i>
    <i r="2">
      <x v="733"/>
    </i>
    <i r="2">
      <x v="8"/>
    </i>
    <i r="2">
      <x v="616"/>
    </i>
    <i r="2">
      <x v="339"/>
    </i>
    <i r="2">
      <x v="228"/>
    </i>
    <i r="1">
      <x v="69"/>
    </i>
    <i r="2">
      <x v="474"/>
    </i>
    <i r="2">
      <x v="140"/>
    </i>
    <i r="2">
      <x v="264"/>
    </i>
    <i r="2">
      <x v="745"/>
    </i>
    <i r="2">
      <x v="148"/>
    </i>
    <i r="2">
      <x v="143"/>
    </i>
    <i r="1">
      <x v="86"/>
    </i>
    <i r="2">
      <x v="15"/>
    </i>
    <i r="2">
      <x v="13"/>
    </i>
    <i r="2">
      <x v="455"/>
    </i>
    <i r="2">
      <x v="160"/>
    </i>
    <i r="2">
      <x v="167"/>
    </i>
    <i r="2">
      <x v="590"/>
    </i>
    <i r="2">
      <x v="412"/>
    </i>
    <i r="2">
      <x v="224"/>
    </i>
    <i r="2">
      <x v="151"/>
    </i>
    <i r="1">
      <x v="76"/>
    </i>
    <i r="2">
      <x v="435"/>
    </i>
    <i r="2">
      <x v="215"/>
    </i>
    <i r="2">
      <x v="487"/>
    </i>
    <i r="2">
      <x v="456"/>
    </i>
    <i r="2">
      <x v="101"/>
    </i>
    <i r="1">
      <x v="124"/>
    </i>
    <i r="2">
      <x v="15"/>
    </i>
    <i r="2">
      <x v="590"/>
    </i>
    <i r="2">
      <x v="834"/>
    </i>
    <i r="2">
      <x v="577"/>
    </i>
    <i r="2">
      <x v="833"/>
    </i>
    <i r="2">
      <x v="160"/>
    </i>
    <i r="2">
      <x v="13"/>
    </i>
    <i r="2">
      <x v="224"/>
    </i>
    <i r="2">
      <x v="455"/>
    </i>
    <i r="2">
      <x v="412"/>
    </i>
    <i r="1">
      <x v="121"/>
    </i>
    <i r="2">
      <x v="771"/>
    </i>
    <i r="2">
      <x v="493"/>
    </i>
    <i r="2">
      <x v="41"/>
    </i>
    <i r="2">
      <x v="213"/>
    </i>
    <i r="2">
      <x v="565"/>
    </i>
    <i r="2">
      <x v="313"/>
    </i>
    <i r="2">
      <x v="383"/>
    </i>
    <i r="2">
      <x v="774"/>
    </i>
    <i r="2">
      <x v="209"/>
    </i>
    <i r="1">
      <x v="33"/>
    </i>
    <i r="2">
      <x v="556"/>
    </i>
    <i r="2">
      <x v="680"/>
    </i>
    <i r="2">
      <x v="172"/>
    </i>
    <i r="2">
      <x v="684"/>
    </i>
    <i r="2">
      <x v="681"/>
    </i>
    <i r="2">
      <x v="840"/>
    </i>
    <i r="2">
      <x v="242"/>
    </i>
    <i r="2">
      <x v="682"/>
    </i>
    <i r="2">
      <x v="683"/>
    </i>
    <i r="1">
      <x v="66"/>
    </i>
    <i r="2">
      <x v="1"/>
    </i>
    <i r="2">
      <x v="738"/>
    </i>
    <i r="2">
      <x v="501"/>
    </i>
    <i r="2">
      <x v="825"/>
    </i>
    <i r="2">
      <x v="826"/>
    </i>
    <i r="2">
      <x v="739"/>
    </i>
    <i r="1">
      <x v="72"/>
    </i>
    <i r="2">
      <x v="488"/>
    </i>
    <i r="2">
      <x v="75"/>
    </i>
    <i r="2">
      <x v="419"/>
    </i>
    <i r="2">
      <x v="828"/>
    </i>
    <i r="2">
      <x v="294"/>
    </i>
    <i r="1">
      <x v="78"/>
    </i>
    <i r="2">
      <x v="499"/>
    </i>
    <i r="2">
      <x v="206"/>
    </i>
    <i r="2">
      <x v="322"/>
    </i>
    <i r="2">
      <x v="509"/>
    </i>
    <i r="2">
      <x v="810"/>
    </i>
    <i r="1">
      <x v="54"/>
    </i>
    <i r="2">
      <x v="519"/>
    </i>
    <i r="2">
      <x v="800"/>
    </i>
    <i r="2">
      <x v="470"/>
    </i>
    <i r="2">
      <x v="613"/>
    </i>
    <i r="2">
      <x v="726"/>
    </i>
    <i r="1">
      <x v="73"/>
    </i>
    <i r="2">
      <x v="420"/>
    </i>
    <i r="2">
      <x v="314"/>
    </i>
    <i r="2">
      <x v="399"/>
    </i>
    <i r="2">
      <x v="36"/>
    </i>
    <i r="2">
      <x v="479"/>
    </i>
    <i r="2">
      <x v="830"/>
    </i>
    <i r="2">
      <x v="246"/>
    </i>
    <i r="1">
      <x v="55"/>
    </i>
    <i r="2">
      <x v="257"/>
    </i>
    <i r="2">
      <x v="801"/>
    </i>
    <i r="2">
      <x v="802"/>
    </i>
    <i r="2">
      <x v="289"/>
    </i>
    <i r="1">
      <x v="56"/>
    </i>
    <i r="2">
      <x v="269"/>
    </i>
    <i r="2">
      <x v="804"/>
    </i>
    <i r="2">
      <x v="729"/>
    </i>
    <i r="2">
      <x v="560"/>
    </i>
    <i r="2">
      <x v="539"/>
    </i>
    <i r="2">
      <x v="730"/>
    </i>
    <i r="1">
      <x v="74"/>
    </i>
    <i r="2">
      <x v="513"/>
    </i>
    <i r="2">
      <x v="486"/>
    </i>
    <i r="1">
      <x v="2"/>
    </i>
    <i r="2">
      <x v="525"/>
    </i>
    <i r="2">
      <x v="138"/>
    </i>
    <i r="2">
      <x v="147"/>
    </i>
    <i r="2">
      <x v="638"/>
    </i>
    <i r="2">
      <x v="126"/>
    </i>
    <i r="2">
      <x v="639"/>
    </i>
    <i r="2">
      <x v="559"/>
    </i>
    <i r="1">
      <x v="15"/>
    </i>
    <i r="2">
      <x v="629"/>
    </i>
    <i r="2">
      <x v="630"/>
    </i>
    <i r="2">
      <x v="631"/>
    </i>
    <i r="1">
      <x v="61"/>
    </i>
    <i r="2">
      <x v="132"/>
    </i>
    <i r="2">
      <x v="592"/>
    </i>
    <i r="2">
      <x v="124"/>
    </i>
    <i r="2">
      <x v="837"/>
    </i>
    <i r="1">
      <x v="3"/>
    </i>
    <i r="2">
      <x v="517"/>
    </i>
    <i r="2">
      <x v="394"/>
    </i>
    <i r="2">
      <x v="555"/>
    </i>
    <i r="2">
      <x v="146"/>
    </i>
    <i r="2">
      <x v="178"/>
    </i>
    <i r="2">
      <x v="278"/>
    </i>
    <i r="2">
      <x v="145"/>
    </i>
    <i r="2">
      <x v="643"/>
    </i>
    <i r="2">
      <x v="645"/>
    </i>
    <i r="2">
      <x v="346"/>
    </i>
    <i r="2">
      <x v="377"/>
    </i>
    <i r="1">
      <x v="20"/>
    </i>
    <i r="2">
      <x v="467"/>
    </i>
    <i r="2">
      <x v="512"/>
    </i>
    <i r="1">
      <x v="123"/>
    </i>
    <i r="2">
      <x v="98"/>
    </i>
    <i r="2">
      <x v="587"/>
    </i>
    <i r="2">
      <x v="65"/>
    </i>
    <i r="2">
      <x v="169"/>
    </i>
    <i r="1">
      <x v="34"/>
    </i>
    <i r="2">
      <x v="685"/>
    </i>
    <i r="2">
      <x v="840"/>
    </i>
    <i r="2">
      <x v="363"/>
    </i>
    <i r="2">
      <x v="172"/>
    </i>
    <i r="2">
      <x v="242"/>
    </i>
    <i r="1">
      <x v="122"/>
    </i>
    <i r="2">
      <x v="58"/>
    </i>
    <i r="2">
      <x v="831"/>
    </i>
    <i r="2">
      <x v="336"/>
    </i>
    <i r="2">
      <x v="382"/>
    </i>
    <i r="2">
      <x v="832"/>
    </i>
    <i r="2">
      <x v="708"/>
    </i>
    <i r="2">
      <x v="604"/>
    </i>
    <i r="1">
      <x v="57"/>
    </i>
    <i r="2">
      <x v="805"/>
    </i>
    <i r="2">
      <x v="286"/>
    </i>
    <i r="2">
      <x v="211"/>
    </i>
    <i r="1">
      <x v="16"/>
    </i>
    <i r="2">
      <x v="530"/>
    </i>
    <i r="2">
      <x v="275"/>
    </i>
    <i r="2">
      <x v="628"/>
    </i>
    <i r="1">
      <x v="97"/>
    </i>
    <i r="2">
      <x v="714"/>
    </i>
    <i r="2">
      <x v="299"/>
    </i>
    <i r="2">
      <x v="715"/>
    </i>
    <i r="1">
      <x v="115"/>
    </i>
    <i r="2">
      <x v="147"/>
    </i>
    <i r="2">
      <x v="439"/>
    </i>
    <i r="2">
      <x v="627"/>
    </i>
    <i r="1">
      <x v="95"/>
    </i>
    <i r="2">
      <x v="491"/>
    </i>
    <i r="2">
      <x v="594"/>
    </i>
    <i r="2">
      <x v="55"/>
    </i>
    <i r="1">
      <x v="116"/>
    </i>
    <i r="2">
      <x v="516"/>
    </i>
    <i r="2">
      <x v="380"/>
    </i>
    <i r="2">
      <x v="306"/>
    </i>
    <i r="1">
      <x v="70"/>
    </i>
    <i r="2">
      <x v="223"/>
    </i>
    <i r="2">
      <x v="809"/>
    </i>
    <i r="2">
      <x v="827"/>
    </i>
    <i r="1">
      <x v="107"/>
    </i>
    <i r="2">
      <x v="348"/>
    </i>
    <i r="2">
      <x v="360"/>
    </i>
    <i r="2">
      <x v="399"/>
    </i>
    <i r="1">
      <x v="113"/>
    </i>
    <i r="2">
      <x v="343"/>
    </i>
    <i r="2">
      <x v="322"/>
    </i>
    <i r="2">
      <x v="180"/>
    </i>
    <i r="1">
      <x v="125"/>
    </i>
    <i r="2">
      <x v="278"/>
    </i>
    <i r="2">
      <x v="180"/>
    </i>
    <i r="2">
      <x v="346"/>
    </i>
    <i r="2">
      <x v="647"/>
    </i>
    <i r="2">
      <x v="646"/>
    </i>
    <i r="1">
      <x v="39"/>
    </i>
    <i r="2">
      <x v="64"/>
    </i>
    <i r="2">
      <x v="697"/>
    </i>
    <i r="2">
      <x v="541"/>
    </i>
    <i r="2">
      <x v="85"/>
    </i>
    <i r="2">
      <x v="698"/>
    </i>
    <i r="2">
      <x v="444"/>
    </i>
    <i r="1">
      <x v="28"/>
    </i>
    <i r="2">
      <x v="666"/>
    </i>
    <i r="2">
      <x v="667"/>
    </i>
    <i r="1">
      <x v="119"/>
    </i>
    <i r="2">
      <x v="154"/>
    </i>
    <i r="1">
      <x v="117"/>
    </i>
    <i r="2">
      <x v="107"/>
    </i>
    <i r="1">
      <x v="105"/>
    </i>
    <i r="2">
      <x v="123"/>
    </i>
    <i r="1">
      <x v="38"/>
    </i>
    <i r="2">
      <x v="698"/>
    </i>
    <i r="2">
      <x v="541"/>
    </i>
    <i r="2">
      <x v="446"/>
    </i>
    <i r="2">
      <x v="70"/>
    </i>
    <i r="2">
      <x v="697"/>
    </i>
    <i r="2">
      <x v="85"/>
    </i>
    <i r="2">
      <x v="64"/>
    </i>
    <i r="2">
      <x v="235"/>
    </i>
    <i>
      <x v="1"/>
    </i>
    <i r="1">
      <x v="122"/>
    </i>
    <i r="2">
      <x v="20"/>
    </i>
    <i r="2">
      <x v="707"/>
    </i>
    <i r="2">
      <x v="152"/>
    </i>
    <i r="2">
      <x v="842"/>
    </i>
    <i r="2">
      <x v="304"/>
    </i>
    <i r="1">
      <x v="56"/>
    </i>
    <i r="2">
      <x v="728"/>
    </i>
    <i r="2">
      <x v="803"/>
    </i>
    <i r="2">
      <x v="545"/>
    </i>
    <i r="2">
      <x v="550"/>
    </i>
    <i r="1">
      <x v="36"/>
    </i>
    <i r="2">
      <x v="309"/>
    </i>
    <i r="2">
      <x v="695"/>
    </i>
    <i r="1">
      <x v="93"/>
    </i>
    <i r="2">
      <x v="707"/>
    </i>
    <i r="2">
      <x v="20"/>
    </i>
    <i r="1">
      <x v="102"/>
    </i>
    <i r="2">
      <x v="171"/>
    </i>
    <i r="2">
      <x v="835"/>
    </i>
    <i r="1">
      <x v="61"/>
    </i>
    <i r="2">
      <x v="490"/>
    </i>
    <i r="2">
      <x v="227"/>
    </i>
    <i r="2">
      <x v="423"/>
    </i>
    <i r="1">
      <x v="119"/>
    </i>
    <i r="2">
      <x v="473"/>
    </i>
    <i r="2">
      <x v="641"/>
    </i>
    <i r="1">
      <x v="66"/>
    </i>
    <i r="2">
      <x v="272"/>
    </i>
    <i r="1">
      <x v="55"/>
    </i>
    <i r="2">
      <x v="727"/>
    </i>
    <i r="2">
      <x v="426"/>
    </i>
    <i r="1">
      <x v="3"/>
    </i>
    <i r="2">
      <x v="640"/>
    </i>
    <i r="2">
      <x v="473"/>
    </i>
    <i r="2">
      <x v="644"/>
    </i>
    <i r="1">
      <x v="68"/>
    </i>
    <i r="2">
      <x v="843"/>
    </i>
    <i r="2">
      <x v="844"/>
    </i>
    <i r="2">
      <x v="846"/>
    </i>
    <i r="1">
      <x v="78"/>
    </i>
    <i r="2">
      <x v="170"/>
    </i>
    <i r="1">
      <x v="116"/>
    </i>
    <i r="2">
      <x v="632"/>
    </i>
    <i r="2">
      <x v="280"/>
    </i>
    <i r="2">
      <x v="633"/>
    </i>
    <i r="2">
      <x v="634"/>
    </i>
    <i r="1">
      <x v="9"/>
    </i>
    <i r="2">
      <x v="227"/>
    </i>
    <i r="2">
      <x v="490"/>
    </i>
    <i r="1">
      <x v="72"/>
    </i>
    <i r="2">
      <x v="90"/>
    </i>
    <i r="2">
      <x v="744"/>
    </i>
    <i r="2">
      <x v="829"/>
    </i>
    <i r="1">
      <x v="53"/>
    </i>
    <i r="2">
      <x v="496"/>
    </i>
    <i r="1">
      <x v="39"/>
    </i>
    <i r="2">
      <x v="19"/>
    </i>
    <i r="1">
      <x v="13"/>
    </i>
    <i r="2">
      <x v="790"/>
    </i>
    <i r="2">
      <x v="794"/>
    </i>
    <i r="2">
      <x v="53"/>
    </i>
    <i r="2">
      <x v="713"/>
    </i>
    <i r="2">
      <x v="793"/>
    </i>
    <i r="1">
      <x v="52"/>
    </i>
    <i r="2">
      <x v="106"/>
    </i>
    <i r="1">
      <x v="88"/>
    </i>
    <i r="2">
      <x v="701"/>
    </i>
    <i r="2">
      <x v="841"/>
    </i>
    <i r="2">
      <x v="542"/>
    </i>
    <i r="1">
      <x v="69"/>
    </i>
    <i r="2">
      <x v="69"/>
    </i>
    <i r="1">
      <x v="54"/>
    </i>
    <i r="2">
      <x v="83"/>
    </i>
    <i r="1">
      <x v="95"/>
    </i>
    <i r="2">
      <x v="91"/>
    </i>
    <i r="1">
      <x v="71"/>
    </i>
    <i r="2">
      <x v="14"/>
    </i>
    <i r="1">
      <x v="14"/>
    </i>
    <i r="2">
      <x v="79"/>
    </i>
    <i r="2">
      <x v="312"/>
    </i>
    <i r="1">
      <x v="25"/>
    </i>
    <i r="2">
      <x v="649"/>
    </i>
    <i r="1">
      <x v="91"/>
    </i>
    <i r="2">
      <x v="53"/>
    </i>
    <i r="2">
      <x v="705"/>
    </i>
    <i r="1">
      <x v="2"/>
    </i>
    <i r="2">
      <x v="637"/>
    </i>
    <i r="2">
      <x v="285"/>
    </i>
    <i r="2">
      <x v="636"/>
    </i>
    <i r="1">
      <x v="94"/>
    </i>
    <i r="2">
      <x v="564"/>
    </i>
    <i r="1">
      <x v="64"/>
    </i>
    <i r="2">
      <x v="838"/>
    </i>
    <i r="2">
      <x v="171"/>
    </i>
    <i r="2">
      <x v="835"/>
    </i>
    <i r="2">
      <x v="312"/>
    </i>
    <i r="1">
      <x v="118"/>
    </i>
    <i r="2">
      <x v="640"/>
    </i>
    <i r="1">
      <x v="4"/>
    </i>
    <i r="2">
      <x v="649"/>
    </i>
    <i r="1">
      <x v="117"/>
    </i>
    <i r="2">
      <x v="302"/>
    </i>
    <i r="2">
      <x v="635"/>
    </i>
    <i r="1">
      <x v="105"/>
    </i>
    <i r="2">
      <x v="636"/>
    </i>
    <i r="1">
      <x v="79"/>
    </i>
    <i r="2">
      <x v="273"/>
    </i>
    <i r="1">
      <x v="31"/>
    </i>
    <i r="2">
      <x v="673"/>
    </i>
    <i r="1">
      <x v="10"/>
    </i>
    <i r="2">
      <x v="301"/>
    </i>
    <i r="2">
      <x v="69"/>
    </i>
    <i r="2">
      <x v="323"/>
    </i>
    <i r="2">
      <x v="267"/>
    </i>
    <i r="1">
      <x v="74"/>
    </i>
    <i r="2">
      <x v="425"/>
    </i>
    <i r="2">
      <x v="635"/>
    </i>
    <i r="1">
      <x v="33"/>
    </i>
    <i r="2">
      <x v="839"/>
    </i>
    <i r="1">
      <x v="34"/>
    </i>
    <i r="2">
      <x v="839"/>
    </i>
    <i r="1">
      <x v="24"/>
    </i>
    <i r="2">
      <x v="655"/>
    </i>
    <i r="1">
      <x v="26"/>
    </i>
    <i r="2">
      <x v="652"/>
    </i>
    <i r="2">
      <x v="816"/>
    </i>
    <i r="1">
      <x v="35"/>
    </i>
    <i r="2">
      <x v="686"/>
    </i>
    <i r="1">
      <x v="18"/>
    </i>
    <i r="2">
      <x v="551"/>
    </i>
    <i r="1">
      <x v="38"/>
    </i>
    <i r="2">
      <x v="19"/>
    </i>
    <i r="1">
      <x v="32"/>
    </i>
    <i r="2">
      <x v="673"/>
    </i>
    <i r="1">
      <x v="73"/>
    </i>
    <i r="2">
      <x v="431"/>
    </i>
    <i r="1">
      <x v="11"/>
    </i>
    <i r="2">
      <x v="750"/>
    </i>
    <i r="1">
      <x v="7"/>
    </i>
    <i r="2">
      <x v="699"/>
    </i>
    <i r="1">
      <x v="6"/>
    </i>
    <i r="2">
      <x v="691"/>
    </i>
    <i>
      <x/>
    </i>
    <i r="1">
      <x v="114"/>
    </i>
    <i r="2">
      <x/>
    </i>
    <i t="grand">
      <x/>
    </i>
  </rowItems>
  <colFields count="1">
    <field x="0"/>
  </colFields>
  <colItems count="10">
    <i>
      <x v="9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 t="grand">
      <x/>
    </i>
  </colItems>
  <dataFields count="1">
    <dataField name="Összeg / Minősítési pont" fld="12" baseField="0" baseItem="0" numFmtId="3"/>
  </dataFields>
  <formats count="30">
    <format dxfId="37">
      <pivotArea dataOnly="0" labelOnly="1" fieldPosition="0">
        <references count="1">
          <reference field="0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36">
      <pivotArea dataOnly="0" labelOnly="1" fieldPosition="0">
        <references count="1">
          <reference field="0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35">
      <pivotArea dataOnly="0" labelOnly="1" fieldPosition="0">
        <references count="1">
          <reference field="0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34">
      <pivotArea dataOnly="0" labelOnly="1" fieldPosition="0">
        <references count="1">
          <reference field="0" count="1">
            <x v="8"/>
          </reference>
        </references>
      </pivotArea>
    </format>
    <format dxfId="33">
      <pivotArea dataOnly="0" labelOnly="1" fieldPosition="0">
        <references count="1">
          <reference field="0" count="1">
            <x v="8"/>
          </reference>
        </references>
      </pivotArea>
    </format>
    <format dxfId="32">
      <pivotArea dataOnly="0" labelOnly="1" fieldPosition="0">
        <references count="1">
          <reference field="0" count="1">
            <x v="8"/>
          </reference>
        </references>
      </pivotArea>
    </format>
    <format dxfId="31">
      <pivotArea dataOnly="0" labelOnly="1" grandCol="1" outline="0" fieldPosition="0"/>
    </format>
    <format dxfId="30">
      <pivotArea outline="0" collapsedLevelsAreSubtotals="1" fieldPosition="0"/>
    </format>
    <format dxfId="29">
      <pivotArea dataOnly="0" labelOnly="1" fieldPosition="0">
        <references count="1">
          <reference field="0" count="9">
            <x v="0"/>
            <x v="1"/>
            <x v="2"/>
            <x v="3"/>
            <x v="4"/>
            <x v="5"/>
            <x v="6"/>
            <x v="7"/>
            <x v="8"/>
          </reference>
        </references>
      </pivotArea>
    </format>
    <format dxfId="28">
      <pivotArea dataOnly="0" labelOnly="1" fieldPosition="0">
        <references count="1">
          <reference field="0" count="9">
            <x v="0"/>
            <x v="1"/>
            <x v="2"/>
            <x v="3"/>
            <x v="4"/>
            <x v="5"/>
            <x v="6"/>
            <x v="7"/>
            <x v="8"/>
          </reference>
        </references>
      </pivotArea>
    </format>
    <format dxfId="27">
      <pivotArea dataOnly="0" labelOnly="1" fieldPosition="0">
        <references count="1">
          <reference field="0" count="9">
            <x v="0"/>
            <x v="1"/>
            <x v="2"/>
            <x v="3"/>
            <x v="4"/>
            <x v="5"/>
            <x v="6"/>
            <x v="7"/>
            <x v="8"/>
          </reference>
        </references>
      </pivotArea>
    </format>
    <format dxfId="26">
      <pivotArea dataOnly="0" labelOnly="1" fieldPosition="0">
        <references count="1">
          <reference field="0" count="9">
            <x v="0"/>
            <x v="1"/>
            <x v="2"/>
            <x v="3"/>
            <x v="4"/>
            <x v="5"/>
            <x v="6"/>
            <x v="7"/>
            <x v="8"/>
          </reference>
        </references>
      </pivotArea>
    </format>
    <format dxfId="25">
      <pivotArea grandCol="1" outline="0" collapsedLevelsAreSubtotals="1" fieldPosition="0"/>
    </format>
    <format dxfId="24">
      <pivotArea grandCol="1" outline="0" collapsedLevelsAreSubtotals="1" fieldPosition="0"/>
    </format>
    <format dxfId="23">
      <pivotArea dataOnly="0" labelOnly="1" grandCol="1" outline="0" fieldPosition="0"/>
    </format>
    <format dxfId="22">
      <pivotArea outline="0" collapsedLevelsAreSubtotals="1" fieldPosition="0"/>
    </format>
    <format dxfId="21">
      <pivotArea grandCol="1" outline="0" collapsedLevelsAreSubtotals="1" fieldPosition="0"/>
    </format>
    <format dxfId="20">
      <pivotArea type="topRight" dataOnly="0" labelOnly="1" outline="0" offset="J1" fieldPosition="0"/>
    </format>
    <format dxfId="19">
      <pivotArea dataOnly="0" labelOnly="1" grandCol="1" outline="0" fieldPosition="0"/>
    </format>
    <format dxfId="18">
      <pivotArea dataOnly="0" labelOnly="1" fieldPosition="0">
        <references count="1">
          <reference field="0" count="1">
            <x v="10"/>
          </reference>
        </references>
      </pivotArea>
    </format>
    <format dxfId="17">
      <pivotArea dataOnly="0" labelOnly="1" fieldPosition="0">
        <references count="1">
          <reference field="0" count="1">
            <x v="11"/>
          </reference>
        </references>
      </pivotArea>
    </format>
    <format dxfId="16">
      <pivotArea field="17" type="button" dataOnly="0" labelOnly="1" outline="0" axis="axisRow" fieldPosition="0"/>
    </format>
    <format dxfId="15">
      <pivotArea dataOnly="0" labelOnly="1" fieldPosition="0">
        <references count="1">
          <reference field="0" count="0"/>
        </references>
      </pivotArea>
    </format>
    <format dxfId="14">
      <pivotArea dataOnly="0" labelOnly="1" grandCol="1" outline="0" fieldPosition="0"/>
    </format>
    <format dxfId="13">
      <pivotArea field="17" type="button" dataOnly="0" labelOnly="1" outline="0" axis="axisRow" fieldPosition="0"/>
    </format>
    <format dxfId="12">
      <pivotArea dataOnly="0" labelOnly="1" fieldPosition="0">
        <references count="1">
          <reference field="0" count="0"/>
        </references>
      </pivotArea>
    </format>
    <format dxfId="11">
      <pivotArea dataOnly="0" labelOnly="1" grandCol="1" outline="0" fieldPosition="0"/>
    </format>
    <format dxfId="10">
      <pivotArea field="17" type="button" dataOnly="0" labelOnly="1" outline="0" axis="axisRow" fieldPosition="0"/>
    </format>
    <format dxfId="9">
      <pivotArea dataOnly="0" labelOnly="1" fieldPosition="0">
        <references count="1">
          <reference field="0" count="0"/>
        </references>
      </pivotArea>
    </format>
    <format dxfId="8">
      <pivotArea dataOnly="0" labelOnly="1" grandCol="1" outline="0" fieldPosition="0"/>
    </format>
  </formats>
  <pivotTableStyleInfo name="PivotStyleDark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name="Kimutatás3" cacheId="3" applyNumberFormats="0" applyBorderFormats="0" applyFontFormats="0" applyPatternFormats="0" applyAlignmentFormats="0" applyWidthHeightFormats="1" dataCaption="Értékek" updatedVersion="8" minRefreshableVersion="3" useAutoFormatting="1" itemPrintTitles="1" createdVersion="8" indent="0" outline="1" outlineData="1" multipleFieldFilters="0" rowHeaderCaption="Versenyző neve - klubja">
  <location ref="A2:B578" firstHeaderRow="1" firstDataRow="1" firstDataCol="1"/>
  <pivotFields count="8">
    <pivotField dataField="1" showAll="0"/>
    <pivotField showAll="0"/>
    <pivotField showAll="0"/>
    <pivotField showAll="0"/>
    <pivotField axis="axisRow" showAll="0" sortType="descending">
      <items count="1043">
        <item m="1" x="875"/>
        <item x="529"/>
        <item x="428"/>
        <item x="473"/>
        <item m="1" x="572"/>
        <item x="234"/>
        <item m="1" x="888"/>
        <item m="1" x="957"/>
        <item m="1" x="1013"/>
        <item x="375"/>
        <item x="34"/>
        <item m="1" x="927"/>
        <item m="1" x="899"/>
        <item x="162"/>
        <item m="1" x="645"/>
        <item m="1" x="917"/>
        <item x="117"/>
        <item x="58"/>
        <item m="1" x="1014"/>
        <item m="1" x="1034"/>
        <item m="1" x="692"/>
        <item m="1" x="697"/>
        <item x="451"/>
        <item m="1" x="879"/>
        <item m="1" x="995"/>
        <item m="1" x="604"/>
        <item m="1" x="885"/>
        <item m="1" x="949"/>
        <item m="1" x="1028"/>
        <item m="1" x="721"/>
        <item m="1" x="608"/>
        <item x="11"/>
        <item x="158"/>
        <item x="444"/>
        <item m="1" x="1026"/>
        <item m="1" x="565"/>
        <item x="6"/>
        <item x="376"/>
        <item m="1" x="745"/>
        <item m="1" x="605"/>
        <item x="29"/>
        <item m="1" x="923"/>
        <item m="1" x="698"/>
        <item m="1" x="932"/>
        <item m="1" x="689"/>
        <item m="1" x="866"/>
        <item x="415"/>
        <item x="54"/>
        <item m="1" x="1016"/>
        <item x="14"/>
        <item m="1" x="1004"/>
        <item x="460"/>
        <item x="38"/>
        <item m="1" x="1007"/>
        <item x="527"/>
        <item m="1" x="793"/>
        <item m="1" x="617"/>
        <item m="1" x="688"/>
        <item x="255"/>
        <item m="1" x="596"/>
        <item x="284"/>
        <item x="99"/>
        <item x="47"/>
        <item m="1" x="905"/>
        <item m="1" x="788"/>
        <item m="1" x="919"/>
        <item x="211"/>
        <item m="1" x="921"/>
        <item x="248"/>
        <item x="555"/>
        <item x="454"/>
        <item x="278"/>
        <item x="461"/>
        <item m="1" x="869"/>
        <item m="1" x="1029"/>
        <item m="1" x="996"/>
        <item x="275"/>
        <item m="1" x="940"/>
        <item m="1" x="1027"/>
        <item x="262"/>
        <item x="493"/>
        <item x="405"/>
        <item m="1" x="985"/>
        <item m="1" x="861"/>
        <item x="257"/>
        <item x="237"/>
        <item m="1" x="909"/>
        <item x="463"/>
        <item m="1" x="983"/>
        <item m="1" x="947"/>
        <item x="364"/>
        <item m="1" x="835"/>
        <item m="1" x="1025"/>
        <item m="1" x="682"/>
        <item x="151"/>
        <item x="412"/>
        <item x="480"/>
        <item m="1" x="976"/>
        <item m="1" x="962"/>
        <item x="386"/>
        <item m="1" x="935"/>
        <item m="1" x="891"/>
        <item x="132"/>
        <item m="1" x="799"/>
        <item m="1" x="654"/>
        <item x="330"/>
        <item m="1" x="956"/>
        <item x="359"/>
        <item m="1" x="668"/>
        <item x="148"/>
        <item x="392"/>
        <item m="1" x="967"/>
        <item m="1" x="1031"/>
        <item m="1" x="926"/>
        <item x="4"/>
        <item m="1" x="862"/>
        <item m="1" x="595"/>
        <item x="470"/>
        <item x="0"/>
        <item x="169"/>
        <item m="1" x="1032"/>
        <item x="178"/>
        <item x="281"/>
        <item x="462"/>
        <item x="557"/>
        <item m="1" x="860"/>
        <item x="552"/>
        <item m="1" x="632"/>
        <item x="358"/>
        <item m="1" x="981"/>
        <item x="179"/>
        <item m="1" x="988"/>
        <item x="32"/>
        <item m="1" x="987"/>
        <item m="1" x="929"/>
        <item m="1" x="625"/>
        <item m="1" x="902"/>
        <item x="401"/>
        <item m="1" x="699"/>
        <item x="510"/>
        <item m="1" x="677"/>
        <item m="1" x="567"/>
        <item x="28"/>
        <item m="1" x="854"/>
        <item m="1" x="906"/>
        <item m="1" x="887"/>
        <item m="1" x="561"/>
        <item m="1" x="986"/>
        <item m="1" x="873"/>
        <item m="1" x="907"/>
        <item x="49"/>
        <item x="55"/>
        <item x="223"/>
        <item x="124"/>
        <item m="1" x="982"/>
        <item m="1" x="989"/>
        <item x="41"/>
        <item m="1" x="751"/>
        <item m="1" x="640"/>
        <item x="348"/>
        <item x="174"/>
        <item m="1" x="990"/>
        <item x="15"/>
        <item m="1" x="944"/>
        <item m="1" x="574"/>
        <item x="59"/>
        <item x="253"/>
        <item m="1" x="655"/>
        <item x="331"/>
        <item m="1" x="974"/>
        <item m="1" x="609"/>
        <item x="333"/>
        <item x="100"/>
        <item m="1" x="889"/>
        <item x="159"/>
        <item x="113"/>
        <item m="1" x="644"/>
        <item x="140"/>
        <item m="1" x="903"/>
        <item m="1" x="1011"/>
        <item m="1" x="886"/>
        <item m="1" x="870"/>
        <item m="1" x="874"/>
        <item x="212"/>
        <item m="1" x="1005"/>
        <item m="1" x="894"/>
        <item m="1" x="931"/>
        <item m="1" x="695"/>
        <item x="506"/>
        <item m="1" x="984"/>
        <item m="1" x="859"/>
        <item m="1" x="708"/>
        <item m="1" x="1003"/>
        <item x="288"/>
        <item m="1" x="898"/>
        <item m="1" x="912"/>
        <item m="1" x="953"/>
        <item x="138"/>
        <item x="26"/>
        <item x="61"/>
        <item m="1" x="672"/>
        <item m="1" x="973"/>
        <item m="1" x="970"/>
        <item m="1" x="842"/>
        <item x="51"/>
        <item m="1" x="803"/>
        <item m="1" x="1022"/>
        <item x="243"/>
        <item m="1" x="562"/>
        <item x="165"/>
        <item m="1" x="884"/>
        <item x="441"/>
        <item m="1" x="570"/>
        <item m="1" x="577"/>
        <item m="1" x="1002"/>
        <item m="1" x="997"/>
        <item m="1" x="924"/>
        <item m="1" x="941"/>
        <item m="1" x="863"/>
        <item m="1" x="946"/>
        <item x="357"/>
        <item x="374"/>
        <item m="1" x="882"/>
        <item x="52"/>
        <item x="322"/>
        <item m="1" x="954"/>
        <item x="332"/>
        <item m="1" x="937"/>
        <item m="1" x="900"/>
        <item m="1" x="914"/>
        <item m="1" x="948"/>
        <item m="1" x="910"/>
        <item x="458"/>
        <item x="340"/>
        <item x="341"/>
        <item m="1" x="621"/>
        <item m="1" x="592"/>
        <item x="16"/>
        <item m="1" x="883"/>
        <item m="1" x="1015"/>
        <item m="1" x="971"/>
        <item m="1" x="966"/>
        <item x="468"/>
        <item m="1" x="913"/>
        <item x="406"/>
        <item x="218"/>
        <item x="390"/>
        <item x="105"/>
        <item m="1" x="951"/>
        <item m="1" x="881"/>
        <item m="1" x="977"/>
        <item m="1" x="858"/>
        <item m="1" x="994"/>
        <item m="1" x="963"/>
        <item x="425"/>
        <item m="1" x="872"/>
        <item x="378"/>
        <item x="9"/>
        <item m="1" x="960"/>
        <item m="1" x="968"/>
        <item m="1" x="1012"/>
        <item m="1" x="690"/>
        <item m="1" x="855"/>
        <item m="1" x="1020"/>
        <item m="1" x="628"/>
        <item x="39"/>
        <item x="435"/>
        <item x="7"/>
        <item m="1" x="579"/>
        <item m="1" x="993"/>
        <item x="225"/>
        <item m="1" x="933"/>
        <item x="230"/>
        <item m="1" x="575"/>
        <item x="396"/>
        <item x="465"/>
        <item m="1" x="1019"/>
        <item x="546"/>
        <item x="373"/>
        <item x="419"/>
        <item m="1" x="669"/>
        <item m="1" x="714"/>
        <item m="1" x="633"/>
        <item x="216"/>
        <item m="1" x="865"/>
        <item x="45"/>
        <item x="213"/>
        <item x="121"/>
        <item m="1" x="769"/>
        <item m="1" x="980"/>
        <item m="1" x="979"/>
        <item m="1" x="893"/>
        <item x="436"/>
        <item x="365"/>
        <item m="1" x="1024"/>
        <item x="188"/>
        <item m="1" x="1040"/>
        <item m="1" x="896"/>
        <item x="292"/>
        <item m="1" x="961"/>
        <item m="1" x="709"/>
        <item m="1" x="878"/>
        <item x="508"/>
        <item x="502"/>
        <item x="62"/>
        <item m="1" x="1000"/>
        <item x="449"/>
        <item m="1" x="597"/>
        <item m="1" x="959"/>
        <item x="104"/>
        <item x="403"/>
        <item m="1" x="1035"/>
        <item m="1" x="1033"/>
        <item x="239"/>
        <item m="1" x="1001"/>
        <item m="1" x="911"/>
        <item x="277"/>
        <item x="280"/>
        <item m="1" x="938"/>
        <item x="335"/>
        <item x="427"/>
        <item x="432"/>
        <item x="409"/>
        <item m="1" x="943"/>
        <item m="1" x="934"/>
        <item m="1" x="857"/>
        <item m="1" x="767"/>
        <item x="474"/>
        <item x="220"/>
        <item m="1" x="897"/>
        <item x="324"/>
        <item x="31"/>
        <item x="509"/>
        <item m="1" x="1018"/>
        <item x="442"/>
        <item m="1" x="710"/>
        <item m="1" x="918"/>
        <item x="40"/>
        <item m="1" x="880"/>
        <item m="1" x="1017"/>
        <item m="1" x="618"/>
        <item m="1" x="649"/>
        <item m="1" x="864"/>
        <item x="53"/>
        <item x="56"/>
        <item x="198"/>
        <item m="1" x="930"/>
        <item x="184"/>
        <item x="380"/>
        <item x="353"/>
        <item m="1" x="964"/>
        <item x="2"/>
        <item x="387"/>
        <item m="1" x="920"/>
        <item m="1" x="853"/>
        <item m="1" x="1041"/>
        <item m="1" x="826"/>
        <item m="1" x="871"/>
        <item m="1" x="589"/>
        <item x="498"/>
        <item x="152"/>
        <item x="329"/>
        <item x="383"/>
        <item x="177"/>
        <item m="1" x="916"/>
        <item m="1" x="841"/>
        <item m="1" x="904"/>
        <item m="1" x="876"/>
        <item m="1" x="1010"/>
        <item m="1" x="582"/>
        <item m="1" x="928"/>
        <item x="251"/>
        <item m="1" x="1006"/>
        <item m="1" x="1008"/>
        <item x="44"/>
        <item x="550"/>
        <item m="1" x="877"/>
        <item x="464"/>
        <item x="122"/>
        <item m="1" x="999"/>
        <item x="3"/>
        <item x="57"/>
        <item x="60"/>
        <item m="1" x="991"/>
        <item x="517"/>
        <item x="293"/>
        <item x="526"/>
        <item m="1" x="950"/>
        <item m="1" x="922"/>
        <item x="156"/>
        <item x="282"/>
        <item x="146"/>
        <item x="413"/>
        <item m="1" x="955"/>
        <item x="249"/>
        <item m="1" x="939"/>
        <item m="1" x="895"/>
        <item x="452"/>
        <item x="318"/>
        <item x="207"/>
        <item x="111"/>
        <item x="33"/>
        <item x="500"/>
        <item m="1" x="978"/>
        <item x="25"/>
        <item m="1" x="975"/>
        <item m="1" x="685"/>
        <item x="503"/>
        <item x="362"/>
        <item m="1" x="772"/>
        <item m="1" x="622"/>
        <item x="481"/>
        <item x="404"/>
        <item x="337"/>
        <item x="21"/>
        <item x="244"/>
        <item x="471"/>
        <item m="1" x="819"/>
        <item x="389"/>
        <item m="1" x="965"/>
        <item x="394"/>
        <item m="1" x="638"/>
        <item m="1" x="936"/>
        <item m="1" x="676"/>
        <item x="110"/>
        <item m="1" x="656"/>
        <item m="1" x="1030"/>
        <item x="227"/>
        <item x="477"/>
        <item m="1" x="722"/>
        <item x="320"/>
        <item m="1" x="942"/>
        <item x="456"/>
        <item x="482"/>
        <item x="128"/>
        <item x="319"/>
        <item x="360"/>
        <item m="1" x="1009"/>
        <item x="466"/>
        <item m="1" x="890"/>
        <item x="263"/>
        <item x="391"/>
        <item m="1" x="952"/>
        <item x="145"/>
        <item m="1" x="901"/>
        <item x="48"/>
        <item m="1" x="925"/>
        <item m="1" x="650"/>
        <item m="1" x="915"/>
        <item m="1" x="958"/>
        <item m="1" x="868"/>
        <item m="1" x="992"/>
        <item x="214"/>
        <item m="1" x="1023"/>
        <item x="1"/>
        <item m="1" x="856"/>
        <item x="497"/>
        <item x="434"/>
        <item x="447"/>
        <item m="1" x="770"/>
        <item m="1" x="969"/>
        <item x="467"/>
        <item m="1" x="908"/>
        <item x="12"/>
        <item x="459"/>
        <item x="200"/>
        <item x="183"/>
        <item x="50"/>
        <item m="1" x="726"/>
        <item m="1" x="972"/>
        <item m="1" x="613"/>
        <item m="1" x="867"/>
        <item m="1" x="945"/>
        <item x="372"/>
        <item x="433"/>
        <item x="505"/>
        <item x="199"/>
        <item x="176"/>
        <item m="1" x="833"/>
        <item x="388"/>
        <item x="133"/>
        <item x="479"/>
        <item m="1" x="750"/>
        <item m="1" x="1021"/>
        <item x="101"/>
        <item m="1" x="892"/>
        <item x="514"/>
        <item m="1" x="998"/>
        <item x="560"/>
        <item m="1" x="1036"/>
        <item x="457"/>
        <item x="455"/>
        <item m="1" x="849"/>
        <item m="1" x="715"/>
        <item x="13"/>
        <item m="1" x="1037"/>
        <item x="64"/>
        <item m="1" x="658"/>
        <item x="37"/>
        <item m="1" x="1038"/>
        <item m="1" x="1039"/>
        <item m="1" x="563"/>
        <item m="1" x="564"/>
        <item m="1" x="566"/>
        <item x="279"/>
        <item m="1" x="569"/>
        <item x="283"/>
        <item m="1" x="571"/>
        <item m="1" x="573"/>
        <item x="22"/>
        <item m="1" x="576"/>
        <item m="1" x="578"/>
        <item x="10"/>
        <item m="1" x="580"/>
        <item m="1" x="581"/>
        <item m="1" x="583"/>
        <item m="1" x="584"/>
        <item m="1" x="585"/>
        <item m="1" x="586"/>
        <item m="1" x="587"/>
        <item m="1" x="588"/>
        <item x="18"/>
        <item m="1" x="590"/>
        <item m="1" x="591"/>
        <item x="42"/>
        <item m="1" x="593"/>
        <item m="1" x="594"/>
        <item x="559"/>
        <item x="469"/>
        <item x="30"/>
        <item m="1" x="598"/>
        <item m="1" x="599"/>
        <item m="1" x="600"/>
        <item m="1" x="601"/>
        <item x="448"/>
        <item m="1" x="602"/>
        <item m="1" x="603"/>
        <item m="1" x="606"/>
        <item m="1" x="607"/>
        <item x="295"/>
        <item x="304"/>
        <item x="328"/>
        <item m="1" x="610"/>
        <item x="298"/>
        <item x="307"/>
        <item x="343"/>
        <item x="299"/>
        <item x="356"/>
        <item m="1" x="611"/>
        <item x="312"/>
        <item x="369"/>
        <item x="548"/>
        <item x="336"/>
        <item m="1" x="614"/>
        <item x="339"/>
        <item x="379"/>
        <item x="349"/>
        <item x="345"/>
        <item x="334"/>
        <item m="1" x="615"/>
        <item x="501"/>
        <item x="381"/>
        <item m="1" x="616"/>
        <item x="504"/>
        <item x="361"/>
        <item x="408"/>
        <item x="217"/>
        <item m="1" x="619"/>
        <item m="1" x="620"/>
        <item m="1" x="623"/>
        <item m="1" x="624"/>
        <item x="385"/>
        <item m="1" x="626"/>
        <item x="430"/>
        <item x="429"/>
        <item m="1" x="627"/>
        <item m="1" x="629"/>
        <item m="1" x="630"/>
        <item m="1" x="631"/>
        <item x="400"/>
        <item m="1" x="634"/>
        <item x="438"/>
        <item m="1" x="635"/>
        <item x="411"/>
        <item m="1" x="636"/>
        <item x="417"/>
        <item x="422"/>
        <item x="511"/>
        <item m="1" x="637"/>
        <item m="1" x="639"/>
        <item x="520"/>
        <item m="1" x="641"/>
        <item m="1" x="642"/>
        <item x="525"/>
        <item m="1" x="643"/>
        <item x="437"/>
        <item m="1" x="646"/>
        <item m="1" x="647"/>
        <item x="446"/>
        <item m="1" x="648"/>
        <item m="1" x="651"/>
        <item x="523"/>
        <item m="1" x="652"/>
        <item m="1" x="653"/>
        <item x="472"/>
        <item m="1" x="657"/>
        <item x="476"/>
        <item x="67"/>
        <item m="1" x="659"/>
        <item m="1" x="660"/>
        <item x="114"/>
        <item x="112"/>
        <item m="1" x="661"/>
        <item x="77"/>
        <item x="491"/>
        <item x="80"/>
        <item m="1" x="662"/>
        <item m="1" x="663"/>
        <item m="1" x="664"/>
        <item m="1" x="665"/>
        <item x="155"/>
        <item x="91"/>
        <item m="1" x="666"/>
        <item m="1" x="667"/>
        <item x="147"/>
        <item x="96"/>
        <item x="97"/>
        <item m="1" x="850"/>
        <item x="530"/>
        <item m="1" x="671"/>
        <item x="175"/>
        <item m="1" x="673"/>
        <item m="1" x="674"/>
        <item x="554"/>
        <item x="144"/>
        <item m="1" x="675"/>
        <item x="202"/>
        <item x="195"/>
        <item x="150"/>
        <item m="1" x="678"/>
        <item m="1" x="679"/>
        <item m="1" x="851"/>
        <item x="163"/>
        <item m="1" x="681"/>
        <item x="171"/>
        <item m="1" x="683"/>
        <item x="233"/>
        <item x="236"/>
        <item m="1" x="684"/>
        <item x="513"/>
        <item m="1" x="686"/>
        <item m="1" x="687"/>
        <item x="259"/>
        <item x="209"/>
        <item m="1" x="691"/>
        <item x="258"/>
        <item x="197"/>
        <item m="1" x="693"/>
        <item m="1" x="694"/>
        <item x="201"/>
        <item x="224"/>
        <item x="229"/>
        <item x="226"/>
        <item m="1" x="696"/>
        <item x="522"/>
        <item x="271"/>
        <item x="245"/>
        <item m="1" x="700"/>
        <item x="286"/>
        <item m="1" x="701"/>
        <item m="1" x="702"/>
        <item x="260"/>
        <item m="1" x="703"/>
        <item m="1" x="704"/>
        <item m="1" x="705"/>
        <item x="291"/>
        <item m="1" x="706"/>
        <item m="1" x="707"/>
        <item m="1" x="711"/>
        <item m="1" x="712"/>
        <item m="1" x="713"/>
        <item x="27"/>
        <item x="35"/>
        <item m="1" x="716"/>
        <item m="1" x="717"/>
        <item m="1" x="718"/>
        <item m="1" x="719"/>
        <item m="1" x="720"/>
        <item x="276"/>
        <item m="1" x="723"/>
        <item x="285"/>
        <item m="1" x="724"/>
        <item m="1" x="725"/>
        <item m="1" x="612"/>
        <item m="1" x="727"/>
        <item m="1" x="728"/>
        <item m="1" x="729"/>
        <item m="1" x="730"/>
        <item x="540"/>
        <item x="541"/>
        <item x="551"/>
        <item m="1" x="731"/>
        <item x="544"/>
        <item x="125"/>
        <item x="545"/>
        <item m="1" x="732"/>
        <item x="142"/>
        <item m="1" x="733"/>
        <item m="1" x="734"/>
        <item m="1" x="852"/>
        <item m="1" x="736"/>
        <item x="431"/>
        <item m="1" x="737"/>
        <item m="1" x="738"/>
        <item m="1" x="739"/>
        <item x="261"/>
        <item x="440"/>
        <item x="254"/>
        <item m="1" x="740"/>
        <item x="325"/>
        <item m="1" x="741"/>
        <item x="136"/>
        <item m="1" x="742"/>
        <item m="1" x="743"/>
        <item x="306"/>
        <item x="354"/>
        <item m="1" x="744"/>
        <item x="153"/>
        <item x="191"/>
        <item m="1" x="746"/>
        <item x="342"/>
        <item x="352"/>
        <item m="1" x="747"/>
        <item x="180"/>
        <item x="185"/>
        <item m="1" x="748"/>
        <item m="1" x="749"/>
        <item x="507"/>
        <item m="1" x="752"/>
        <item x="182"/>
        <item x="242"/>
        <item m="1" x="753"/>
        <item m="1" x="754"/>
        <item m="1" x="755"/>
        <item x="219"/>
        <item m="1" x="757"/>
        <item m="1" x="758"/>
        <item m="1" x="759"/>
        <item m="1" x="760"/>
        <item m="1" x="761"/>
        <item m="1" x="762"/>
        <item x="453"/>
        <item m="1" x="763"/>
        <item m="1" x="764"/>
        <item m="1" x="765"/>
        <item m="1" x="766"/>
        <item x="273"/>
        <item m="1" x="768"/>
        <item m="1" x="771"/>
        <item x="528"/>
        <item x="196"/>
        <item m="1" x="773"/>
        <item m="1" x="848"/>
        <item m="1" x="776"/>
        <item m="1" x="777"/>
        <item m="1" x="778"/>
        <item m="1" x="779"/>
        <item m="1" x="780"/>
        <item m="1" x="781"/>
        <item m="1" x="782"/>
        <item m="1" x="783"/>
        <item m="1" x="784"/>
        <item m="1" x="785"/>
        <item m="1" x="786"/>
        <item m="1" x="787"/>
        <item m="1" x="789"/>
        <item m="1" x="790"/>
        <item m="1" x="791"/>
        <item m="1" x="792"/>
        <item m="1" x="794"/>
        <item m="1" x="795"/>
        <item m="1" x="796"/>
        <item m="1" x="797"/>
        <item m="1" x="798"/>
        <item m="1" x="800"/>
        <item m="1" x="801"/>
        <item m="1" x="802"/>
        <item m="1" x="804"/>
        <item m="1" x="805"/>
        <item m="1" x="806"/>
        <item m="1" x="807"/>
        <item m="1" x="568"/>
        <item m="1" x="670"/>
        <item m="1" x="680"/>
        <item m="1" x="735"/>
        <item m="1" x="756"/>
        <item m="1" x="774"/>
        <item m="1" x="847"/>
        <item x="46"/>
        <item m="1" x="775"/>
        <item x="558"/>
        <item m="1" x="808"/>
        <item m="1" x="809"/>
        <item m="1" x="810"/>
        <item x="109"/>
        <item m="1" x="811"/>
        <item m="1" x="812"/>
        <item x="301"/>
        <item m="1" x="813"/>
        <item m="1" x="814"/>
        <item m="1" x="815"/>
        <item m="1" x="816"/>
        <item m="1" x="817"/>
        <item x="187"/>
        <item m="1" x="818"/>
        <item x="494"/>
        <item m="1" x="820"/>
        <item m="1" x="821"/>
        <item m="1" x="822"/>
        <item x="172"/>
        <item m="1" x="823"/>
        <item m="1" x="824"/>
        <item x="250"/>
        <item m="1" x="825"/>
        <item x="210"/>
        <item x="264"/>
        <item x="268"/>
        <item m="1" x="827"/>
        <item m="1" x="828"/>
        <item x="321"/>
        <item m="1" x="829"/>
        <item x="74"/>
        <item m="1" x="830"/>
        <item x="532"/>
        <item m="1" x="831"/>
        <item m="1" x="832"/>
        <item m="1" x="834"/>
        <item x="445"/>
        <item m="1" x="836"/>
        <item x="418"/>
        <item x="269"/>
        <item m="1" x="837"/>
        <item m="1" x="838"/>
        <item m="1" x="839"/>
        <item m="1" x="840"/>
        <item m="1" x="843"/>
        <item m="1" x="844"/>
        <item m="1" x="845"/>
        <item m="1" x="846"/>
        <item x="5"/>
        <item x="8"/>
        <item x="17"/>
        <item x="19"/>
        <item x="20"/>
        <item x="23"/>
        <item x="24"/>
        <item x="36"/>
        <item x="43"/>
        <item x="63"/>
        <item x="65"/>
        <item x="66"/>
        <item x="68"/>
        <item x="69"/>
        <item x="70"/>
        <item x="71"/>
        <item x="72"/>
        <item x="73"/>
        <item x="75"/>
        <item x="76"/>
        <item x="78"/>
        <item x="79"/>
        <item x="81"/>
        <item x="82"/>
        <item x="83"/>
        <item x="84"/>
        <item x="85"/>
        <item x="86"/>
        <item x="87"/>
        <item x="88"/>
        <item x="89"/>
        <item x="90"/>
        <item x="92"/>
        <item x="93"/>
        <item x="94"/>
        <item x="95"/>
        <item x="98"/>
        <item x="102"/>
        <item x="103"/>
        <item x="106"/>
        <item x="107"/>
        <item x="108"/>
        <item x="115"/>
        <item x="116"/>
        <item x="118"/>
        <item x="119"/>
        <item x="120"/>
        <item x="123"/>
        <item x="126"/>
        <item x="127"/>
        <item x="129"/>
        <item x="130"/>
        <item x="131"/>
        <item x="134"/>
        <item x="135"/>
        <item x="137"/>
        <item x="139"/>
        <item x="141"/>
        <item x="143"/>
        <item x="149"/>
        <item x="154"/>
        <item x="157"/>
        <item x="160"/>
        <item x="161"/>
        <item x="164"/>
        <item x="166"/>
        <item x="167"/>
        <item x="168"/>
        <item x="170"/>
        <item x="173"/>
        <item x="181"/>
        <item x="186"/>
        <item x="189"/>
        <item x="190"/>
        <item x="192"/>
        <item x="193"/>
        <item x="194"/>
        <item x="203"/>
        <item x="204"/>
        <item x="205"/>
        <item x="206"/>
        <item x="208"/>
        <item x="215"/>
        <item x="221"/>
        <item x="222"/>
        <item x="228"/>
        <item x="231"/>
        <item x="232"/>
        <item x="235"/>
        <item x="238"/>
        <item x="240"/>
        <item x="241"/>
        <item x="246"/>
        <item x="247"/>
        <item x="252"/>
        <item x="256"/>
        <item x="265"/>
        <item x="266"/>
        <item x="267"/>
        <item x="270"/>
        <item x="272"/>
        <item x="274"/>
        <item x="287"/>
        <item x="289"/>
        <item x="290"/>
        <item x="294"/>
        <item x="296"/>
        <item x="297"/>
        <item x="300"/>
        <item x="302"/>
        <item x="303"/>
        <item x="305"/>
        <item x="308"/>
        <item x="309"/>
        <item x="310"/>
        <item x="311"/>
        <item x="313"/>
        <item x="314"/>
        <item x="315"/>
        <item x="316"/>
        <item x="317"/>
        <item x="323"/>
        <item x="326"/>
        <item x="327"/>
        <item x="338"/>
        <item x="344"/>
        <item x="346"/>
        <item x="347"/>
        <item x="350"/>
        <item x="351"/>
        <item x="355"/>
        <item x="363"/>
        <item x="366"/>
        <item x="367"/>
        <item x="368"/>
        <item x="370"/>
        <item x="371"/>
        <item x="377"/>
        <item x="382"/>
        <item x="384"/>
        <item x="393"/>
        <item x="395"/>
        <item x="397"/>
        <item x="398"/>
        <item x="399"/>
        <item x="402"/>
        <item x="407"/>
        <item x="410"/>
        <item x="414"/>
        <item x="416"/>
        <item x="420"/>
        <item x="421"/>
        <item x="423"/>
        <item x="424"/>
        <item x="426"/>
        <item x="439"/>
        <item x="443"/>
        <item x="450"/>
        <item x="475"/>
        <item x="478"/>
        <item x="483"/>
        <item x="484"/>
        <item x="485"/>
        <item x="486"/>
        <item x="487"/>
        <item x="488"/>
        <item x="489"/>
        <item x="490"/>
        <item x="492"/>
        <item x="495"/>
        <item x="496"/>
        <item x="499"/>
        <item x="512"/>
        <item x="515"/>
        <item x="516"/>
        <item x="518"/>
        <item x="519"/>
        <item x="521"/>
        <item x="524"/>
        <item x="531"/>
        <item x="533"/>
        <item x="534"/>
        <item x="535"/>
        <item x="536"/>
        <item x="537"/>
        <item x="538"/>
        <item x="539"/>
        <item x="542"/>
        <item x="543"/>
        <item x="547"/>
        <item x="549"/>
        <item x="553"/>
        <item x="556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Row" showAll="0">
      <items count="4">
        <item x="0"/>
        <item x="1"/>
        <item x="2"/>
        <item t="default"/>
      </items>
    </pivotField>
    <pivotField showAll="0"/>
    <pivotField axis="axisRow" showAll="0">
      <items count="5">
        <item x="0"/>
        <item x="1"/>
        <item h="1" x="2"/>
        <item h="1" m="1" x="3"/>
        <item t="default"/>
      </items>
    </pivotField>
  </pivotFields>
  <rowFields count="3">
    <field x="5"/>
    <field x="7"/>
    <field x="4"/>
  </rowFields>
  <rowItems count="576">
    <i>
      <x/>
    </i>
    <i r="1">
      <x/>
    </i>
    <i r="2">
      <x v="257"/>
    </i>
    <i r="2">
      <x v="265"/>
    </i>
    <i r="2">
      <x v="445"/>
    </i>
    <i r="2">
      <x v="118"/>
    </i>
    <i r="2">
      <x v="285"/>
    </i>
    <i r="2">
      <x v="150"/>
    </i>
    <i r="2">
      <x v="498"/>
    </i>
    <i r="2">
      <x v="527"/>
    </i>
    <i r="2">
      <x v="156"/>
    </i>
    <i r="2">
      <x v="380"/>
    </i>
    <i r="2">
      <x v="31"/>
    </i>
    <i r="2">
      <x v="40"/>
    </i>
    <i r="2">
      <x v="36"/>
    </i>
    <i r="2">
      <x v="463"/>
    </i>
    <i r="2">
      <x v="454"/>
    </i>
    <i r="2">
      <x v="798"/>
    </i>
    <i r="2">
      <x v="47"/>
    </i>
    <i r="2">
      <x v="529"/>
    </i>
    <i r="2">
      <x v="494"/>
    </i>
    <i r="2">
      <x v="49"/>
    </i>
    <i r="2">
      <x v="351"/>
    </i>
    <i r="2">
      <x v="198"/>
    </i>
    <i r="2">
      <x v="467"/>
    </i>
    <i r="2">
      <x v="414"/>
    </i>
    <i r="2">
      <x v="374"/>
    </i>
    <i r="2">
      <x v="62"/>
    </i>
    <i r="2">
      <x v="204"/>
    </i>
    <i r="2">
      <x v="114"/>
    </i>
    <i r="2">
      <x v="267"/>
    </i>
    <i r="2">
      <x v="162"/>
    </i>
    <i r="2">
      <x v="151"/>
    </i>
    <i r="2">
      <x v="681"/>
    </i>
    <i r="2">
      <x v="223"/>
    </i>
    <i r="2">
      <x v="343"/>
    </i>
    <i r="2">
      <x v="199"/>
    </i>
    <i r="2">
      <x v="17"/>
    </i>
    <i r="2">
      <x v="381"/>
    </i>
    <i r="2">
      <x v="344"/>
    </i>
    <i r="2">
      <x v="237"/>
    </i>
    <i r="2">
      <x v="132"/>
    </i>
    <i r="2">
      <x v="401"/>
    </i>
    <i r="2">
      <x v="856"/>
    </i>
    <i r="2">
      <x v="849"/>
    </i>
    <i r="2">
      <x v="860"/>
    </i>
    <i r="2">
      <x v="404"/>
    </i>
    <i r="2">
      <x v="142"/>
    </i>
    <i r="2">
      <x v="304"/>
    </i>
    <i r="2">
      <x v="52"/>
    </i>
    <i r="2">
      <x v="850"/>
    </i>
    <i r="2">
      <x v="496"/>
    </i>
    <i r="2">
      <x v="859"/>
    </i>
    <i r="2">
      <x v="10"/>
    </i>
    <i r="2">
      <x v="165"/>
    </i>
    <i r="2">
      <x v="382"/>
    </i>
    <i r="1">
      <x v="1"/>
    </i>
    <i r="2">
      <x v="51"/>
    </i>
    <i r="2">
      <x v="960"/>
    </i>
    <i r="2">
      <x v="435"/>
    </i>
    <i r="2">
      <x v="32"/>
    </i>
    <i r="2">
      <x v="334"/>
    </i>
    <i r="2">
      <x v="310"/>
    </i>
    <i r="2">
      <x v="61"/>
    </i>
    <i r="2">
      <x v="46"/>
    </i>
    <i r="2">
      <x v="197"/>
    </i>
    <i r="2">
      <x v="348"/>
    </i>
    <i r="2">
      <x v="171"/>
    </i>
    <i r="2">
      <x v="418"/>
    </i>
    <i r="2">
      <x v="344"/>
    </i>
    <i r="2">
      <x v="96"/>
    </i>
    <i r="2">
      <x v="105"/>
    </i>
    <i r="2">
      <x v="604"/>
    </i>
    <i r="2">
      <x v="84"/>
    </i>
    <i r="2">
      <x v="929"/>
    </i>
    <i r="2">
      <x v="539"/>
    </i>
    <i r="2">
      <x v="3"/>
    </i>
    <i r="2">
      <x v="882"/>
    </i>
    <i r="2">
      <x v="70"/>
    </i>
    <i r="2">
      <x v="642"/>
    </i>
    <i r="2">
      <x v="81"/>
    </i>
    <i r="2">
      <x v="153"/>
    </i>
    <i r="2">
      <x v="398"/>
    </i>
    <i r="2">
      <x v="1004"/>
    </i>
    <i r="2">
      <x v="399"/>
    </i>
    <i r="2">
      <x v="221"/>
    </i>
    <i r="2">
      <x v="477"/>
    </i>
    <i r="2">
      <x v="438"/>
    </i>
    <i r="2">
      <x v="481"/>
    </i>
    <i r="2">
      <x v="428"/>
    </i>
    <i r="2">
      <x v="441"/>
    </i>
    <i r="2">
      <x v="60"/>
    </i>
    <i r="2">
      <x v="1005"/>
    </i>
    <i r="2">
      <x v="394"/>
    </i>
    <i r="2">
      <x v="319"/>
    </i>
    <i r="2">
      <x v="16"/>
    </i>
    <i r="2">
      <x v="412"/>
    </i>
    <i r="2">
      <x v="486"/>
    </i>
    <i r="2">
      <x v="939"/>
    </i>
    <i r="2">
      <x v="316"/>
    </i>
    <i r="2">
      <x v="558"/>
    </i>
    <i r="2">
      <x v="361"/>
    </i>
    <i r="2">
      <x v="863"/>
    </i>
    <i r="2">
      <x v="698"/>
    </i>
    <i r="2">
      <x v="434"/>
    </i>
    <i r="2">
      <x v="152"/>
    </i>
    <i r="2">
      <x v="473"/>
    </i>
    <i r="2">
      <x v="279"/>
    </i>
    <i r="2">
      <x v="564"/>
    </i>
    <i r="2">
      <x v="883"/>
    </i>
    <i r="2">
      <x v="879"/>
    </i>
    <i r="2">
      <x v="94"/>
    </i>
    <i r="2">
      <x v="345"/>
    </i>
    <i r="2">
      <x v="128"/>
    </i>
    <i r="2">
      <x v="424"/>
    </i>
    <i r="2">
      <x v="924"/>
    </i>
    <i r="2">
      <x v="234"/>
    </i>
    <i r="2">
      <x v="944"/>
    </i>
    <i r="2">
      <x v="897"/>
    </i>
    <i r="2">
      <x v="37"/>
    </i>
    <i r="2">
      <x v="121"/>
    </i>
    <i r="2">
      <x v="272"/>
    </i>
    <i r="2">
      <x v="579"/>
    </i>
    <i r="2">
      <x v="822"/>
    </i>
    <i r="2">
      <x v="716"/>
    </i>
    <i r="2">
      <x v="490"/>
    </i>
    <i r="2">
      <x v="549"/>
    </i>
    <i r="2">
      <x v="607"/>
    </i>
    <i r="2">
      <x v="724"/>
    </i>
    <i r="2">
      <x v="739"/>
    </i>
    <i r="2">
      <x v="557"/>
    </i>
    <i r="2">
      <x v="117"/>
    </i>
    <i r="2">
      <x v="226"/>
    </i>
    <i r="2">
      <x v="172"/>
    </i>
    <i r="2">
      <x v="621"/>
    </i>
    <i r="2">
      <x v="293"/>
    </i>
    <i r="2">
      <x v="159"/>
    </i>
    <i r="2">
      <x v="397"/>
    </i>
    <i r="2">
      <x v="151"/>
    </i>
    <i r="2">
      <x v="458"/>
    </i>
    <i r="2">
      <x v="66"/>
    </i>
    <i r="2">
      <x v="107"/>
    </i>
    <i r="2">
      <x v="476"/>
    </i>
    <i r="2">
      <x v="543"/>
    </i>
    <i r="2">
      <x v="22"/>
    </i>
    <i r="2">
      <x v="807"/>
    </i>
    <i r="2">
      <x v="309"/>
    </i>
    <i r="2">
      <x v="819"/>
    </i>
    <i r="2">
      <x v="174"/>
    </i>
    <i r="2">
      <x v="278"/>
    </i>
    <i r="2">
      <x v="95"/>
    </i>
    <i r="2">
      <x v="555"/>
    </i>
    <i r="2">
      <x v="947"/>
    </i>
    <i r="2">
      <x v="866"/>
    </i>
    <i r="2">
      <x v="703"/>
    </i>
    <i r="2">
      <x v="87"/>
    </i>
    <i r="2">
      <x v="13"/>
    </i>
    <i r="2">
      <x v="606"/>
    </i>
    <i r="2">
      <x v="938"/>
    </i>
    <i r="2">
      <x v="861"/>
    </i>
    <i r="2">
      <x v="986"/>
    </i>
    <i r="2">
      <x v="72"/>
    </i>
    <i r="2">
      <x v="884"/>
    </i>
    <i r="2">
      <x v="327"/>
    </i>
    <i r="2">
      <x v="955"/>
    </i>
    <i r="2">
      <x v="390"/>
    </i>
    <i r="2">
      <x v="831"/>
    </i>
    <i r="2">
      <x v="392"/>
    </i>
    <i r="2">
      <x v="283"/>
    </i>
    <i r="2">
      <x v="400"/>
    </i>
    <i r="2">
      <x v="893"/>
    </i>
    <i r="2">
      <x v="546"/>
    </i>
    <i r="2">
      <x v="295"/>
    </i>
    <i r="2">
      <x v="232"/>
    </i>
    <i r="2">
      <x v="976"/>
    </i>
    <i r="2">
      <x v="988"/>
    </i>
    <i r="2">
      <x v="995"/>
    </i>
    <i r="2">
      <x v="598"/>
    </i>
    <i r="2">
      <x v="85"/>
    </i>
    <i r="2">
      <x v="968"/>
    </i>
    <i r="2">
      <x v="430"/>
    </i>
    <i r="2">
      <x v="479"/>
    </i>
    <i r="2">
      <x v="33"/>
    </i>
    <i r="2">
      <x v="266"/>
    </i>
    <i r="2">
      <x v="90"/>
    </i>
    <i r="2">
      <x v="274"/>
    </i>
    <i r="2">
      <x v="998"/>
    </i>
    <i r="2">
      <x v="628"/>
    </i>
    <i r="2">
      <x v="321"/>
    </i>
    <i r="2">
      <x v="999"/>
    </i>
    <i r="2">
      <x v="244"/>
    </i>
    <i r="2">
      <x v="540"/>
    </i>
    <i r="2">
      <x v="1003"/>
    </i>
    <i r="2">
      <x v="313"/>
    </i>
    <i r="2">
      <x v="110"/>
    </i>
    <i r="2">
      <x v="330"/>
    </i>
    <i r="2">
      <x v="177"/>
    </i>
    <i r="2">
      <x v="277"/>
    </i>
    <i r="2">
      <x v="965"/>
    </i>
    <i r="2">
      <x v="223"/>
    </i>
    <i r="2">
      <x v="702"/>
    </i>
    <i r="2">
      <x v="363"/>
    </i>
    <i r="2">
      <x v="760"/>
    </i>
    <i r="2">
      <x v="71"/>
    </i>
    <i r="2">
      <x v="815"/>
    </i>
    <i r="2">
      <x v="901"/>
    </i>
    <i r="2">
      <x v="1002"/>
    </i>
    <i r="2">
      <x v="636"/>
    </i>
    <i r="2">
      <x v="306"/>
    </i>
    <i r="2">
      <x v="671"/>
    </i>
    <i r="2">
      <x v="384"/>
    </i>
    <i r="2">
      <x v="928"/>
    </i>
    <i r="2">
      <x v="286"/>
    </i>
    <i r="2">
      <x v="371"/>
    </i>
    <i r="2">
      <x v="829"/>
    </i>
    <i r="2">
      <x v="956"/>
    </i>
    <i r="2">
      <x v="80"/>
    </i>
    <i r="2">
      <x v="401"/>
    </i>
    <i r="2">
      <x v="58"/>
    </i>
    <i r="2">
      <x v="254"/>
    </i>
    <i r="2">
      <x v="652"/>
    </i>
    <i r="2">
      <x v="881"/>
    </i>
    <i r="2">
      <x v="408"/>
    </i>
    <i r="2">
      <x v="800"/>
    </i>
    <i r="2">
      <x v="656"/>
    </i>
    <i r="2">
      <x v="415"/>
    </i>
    <i r="2">
      <x v="275"/>
    </i>
    <i r="2">
      <x v="183"/>
    </i>
    <i r="2">
      <x v="573"/>
    </i>
    <i r="2">
      <x v="484"/>
    </i>
    <i r="2">
      <x v="837"/>
    </i>
    <i r="2">
      <x v="544"/>
    </i>
    <i r="2">
      <x v="457"/>
    </i>
    <i r="2">
      <x v="552"/>
    </i>
    <i r="2">
      <x v="317"/>
    </i>
    <i r="2">
      <x v="432"/>
    </i>
    <i r="2">
      <x v="547"/>
    </i>
    <i r="2">
      <x v="461"/>
    </i>
    <i r="2">
      <x v="2"/>
    </i>
    <i r="2">
      <x v="99"/>
    </i>
    <i r="2">
      <x v="76"/>
    </i>
    <i r="2">
      <x v="615"/>
    </i>
    <i r="2">
      <x v="360"/>
    </i>
    <i r="2">
      <x v="382"/>
    </i>
    <i r="2">
      <x v="940"/>
    </i>
    <i r="2">
      <x v="626"/>
    </i>
    <i r="2">
      <x v="826"/>
    </i>
    <i r="2">
      <x v="962"/>
    </i>
    <i r="2">
      <x v="362"/>
    </i>
    <i r="2">
      <x v="970"/>
    </i>
    <i r="2">
      <x v="69"/>
    </i>
    <i r="2">
      <x v="980"/>
    </i>
    <i r="2">
      <x v="891"/>
    </i>
    <i r="2">
      <x v="193"/>
    </i>
    <i r="2">
      <x v="912"/>
    </i>
    <i r="2">
      <x v="699"/>
    </i>
    <i r="2">
      <x v="959"/>
    </i>
    <i r="2">
      <x v="452"/>
    </i>
    <i r="2">
      <x v="1028"/>
    </i>
    <i r="2">
      <x v="119"/>
    </i>
    <i r="2">
      <x v="975"/>
    </i>
    <i r="2">
      <x v="630"/>
    </i>
    <i r="2">
      <x v="997"/>
    </i>
    <i r="2">
      <x v="655"/>
    </i>
    <i r="2">
      <x v="704"/>
    </i>
    <i r="2">
      <x v="137"/>
    </i>
    <i r="2">
      <x v="491"/>
    </i>
    <i r="2">
      <x v="322"/>
    </i>
    <i r="2">
      <x v="220"/>
    </i>
    <i r="2">
      <x v="864"/>
    </i>
    <i r="2">
      <x v="899"/>
    </i>
    <i r="2">
      <x v="987"/>
    </i>
    <i r="2">
      <x v="905"/>
    </i>
    <i r="2">
      <x v="625"/>
    </i>
    <i r="2">
      <x v="574"/>
    </i>
    <i r="2">
      <x v="967"/>
    </i>
    <i r="2">
      <x v="919"/>
    </i>
    <i r="2">
      <x v="874"/>
    </i>
    <i r="2">
      <x v="420"/>
    </i>
    <i r="2">
      <x v="246"/>
    </i>
    <i r="2">
      <x v="377"/>
    </i>
    <i r="2">
      <x v="352"/>
    </i>
    <i r="2">
      <x v="950"/>
    </i>
    <i r="2">
      <x v="443"/>
    </i>
    <i r="2">
      <x v="209"/>
    </i>
    <i r="2">
      <x v="1037"/>
    </i>
    <i r="2">
      <x v="79"/>
    </i>
    <i r="2">
      <x v="931"/>
    </i>
    <i r="2">
      <x v="585"/>
    </i>
    <i r="2">
      <x v="896"/>
    </i>
    <i r="2">
      <x v="1021"/>
    </i>
    <i r="2">
      <x v="480"/>
    </i>
    <i r="2">
      <x v="168"/>
    </i>
    <i r="2">
      <x v="740"/>
    </i>
    <i r="2">
      <x v="389"/>
    </i>
    <i r="2">
      <x v="474"/>
    </i>
    <i r="2">
      <x v="54"/>
    </i>
    <i r="2">
      <x v="504"/>
    </i>
    <i r="2">
      <x v="413"/>
    </i>
    <i r="2">
      <x v="142"/>
    </i>
    <i r="2">
      <x v="885"/>
    </i>
    <i r="2">
      <x v="1006"/>
    </i>
    <i r="2">
      <x v="102"/>
    </i>
    <i r="2">
      <x v="204"/>
    </i>
    <i r="2">
      <x v="1041"/>
    </i>
    <i r="2">
      <x v="840"/>
    </i>
    <i r="2">
      <x v="966"/>
    </i>
    <i r="2">
      <x v="464"/>
    </i>
    <i r="2">
      <x v="871"/>
    </i>
    <i r="2">
      <x v="545"/>
    </i>
    <i r="2">
      <x v="1030"/>
    </i>
    <i r="2">
      <x v="466"/>
    </i>
    <i r="2">
      <x v="130"/>
    </i>
    <i r="2">
      <x v="759"/>
    </i>
    <i r="2">
      <x v="391"/>
    </i>
    <i r="2">
      <x v="894"/>
    </i>
    <i r="2">
      <x v="1010"/>
    </i>
    <i r="2">
      <x v="207"/>
    </i>
    <i r="2">
      <x v="661"/>
    </i>
    <i r="2">
      <x v="595"/>
    </i>
    <i r="2">
      <x v="610"/>
    </i>
    <i r="2">
      <x v="900"/>
    </i>
    <i r="2">
      <x v="867"/>
    </i>
    <i r="2">
      <x v="902"/>
    </i>
    <i r="2">
      <x v="994"/>
    </i>
    <i r="2">
      <x v="332"/>
    </i>
    <i r="2">
      <x v="1000"/>
    </i>
    <i r="2">
      <x v="907"/>
    </i>
    <i r="2">
      <x v="1007"/>
    </i>
    <i r="2">
      <x v="270"/>
    </i>
    <i r="2">
      <x v="17"/>
    </i>
    <i r="2">
      <x v="914"/>
    </i>
    <i r="2">
      <x v="1033"/>
    </i>
    <i r="2">
      <x v="813"/>
    </i>
    <i r="2">
      <x v="839"/>
    </i>
    <i r="2">
      <x v="921"/>
    </i>
    <i r="2">
      <x v="668"/>
    </i>
    <i r="2">
      <x v="9"/>
    </i>
    <i r="2">
      <x v="571"/>
    </i>
    <i r="2">
      <x v="292"/>
    </i>
    <i r="2">
      <x v="978"/>
    </i>
    <i r="2">
      <x v="930"/>
    </i>
    <i r="2">
      <x v="981"/>
    </i>
    <i r="2">
      <x v="233"/>
    </i>
    <i r="2">
      <x v="990"/>
    </i>
    <i r="2">
      <x v="936"/>
    </i>
    <i r="2">
      <x v="872"/>
    </i>
    <i r="2">
      <x v="166"/>
    </i>
    <i r="2">
      <x v="175"/>
    </i>
    <i r="2">
      <x v="824"/>
    </i>
    <i r="2">
      <x v="877"/>
    </i>
    <i r="2">
      <x v="943"/>
    </i>
    <i r="2">
      <x v="256"/>
    </i>
    <i r="2">
      <x v="948"/>
    </i>
    <i r="2">
      <x v="1008"/>
    </i>
    <i r="2">
      <x v="1"/>
    </i>
    <i r="2">
      <x v="1011"/>
    </i>
    <i r="2">
      <x v="5"/>
    </i>
    <i r="2">
      <x v="727"/>
    </i>
    <i r="2">
      <x v="957"/>
    </i>
    <i r="2">
      <x v="1031"/>
    </i>
    <i r="2">
      <x v="402"/>
    </i>
    <i r="2">
      <x v="737"/>
    </i>
    <i r="2">
      <x v="961"/>
    </i>
    <i r="2">
      <x v="411"/>
    </i>
    <i r="2">
      <x v="440"/>
    </i>
    <i r="2">
      <x v="534"/>
    </i>
    <i r="2">
      <x v="969"/>
    </i>
    <i r="2">
      <x v="320"/>
    </i>
    <i r="2">
      <x v="984"/>
    </i>
    <i r="2">
      <x v="719"/>
    </i>
    <i r="2">
      <x v="247"/>
    </i>
    <i r="2">
      <x v="160"/>
    </i>
    <i r="2">
      <x v="977"/>
    </i>
    <i r="2">
      <x v="908"/>
    </i>
    <i r="2">
      <x v="983"/>
    </i>
    <i r="2">
      <x v="211"/>
    </i>
    <i r="2">
      <x v="659"/>
    </i>
    <i r="2">
      <x v="611"/>
    </i>
    <i r="2">
      <x v="666"/>
    </i>
    <i r="2">
      <x v="224"/>
    </i>
    <i r="2">
      <x v="465"/>
    </i>
    <i r="2">
      <x v="436"/>
    </i>
    <i r="2">
      <x v="982"/>
    </i>
    <i r="2">
      <x v="952"/>
    </i>
    <i r="2">
      <x v="953"/>
    </i>
    <i r="2">
      <x v="904"/>
    </i>
    <i r="2">
      <x v="1025"/>
    </i>
    <i r="2">
      <x v="328"/>
    </i>
    <i r="2">
      <x v="918"/>
    </i>
    <i r="2">
      <x v="407"/>
    </i>
    <i r="2">
      <x v="556"/>
    </i>
    <i r="2">
      <x v="873"/>
    </i>
    <i r="2">
      <x v="920"/>
    </i>
    <i r="2">
      <x v="1017"/>
    </i>
    <i r="2">
      <x v="601"/>
    </i>
    <i r="2">
      <x v="972"/>
    </i>
    <i r="2">
      <x v="922"/>
    </i>
    <i r="2">
      <x v="892"/>
    </i>
    <i r="2">
      <x v="287"/>
    </i>
    <i r="2">
      <x v="734"/>
    </i>
    <i r="2">
      <x v="925"/>
    </i>
    <i r="2">
      <x v="303"/>
    </i>
    <i r="2">
      <x v="926"/>
    </i>
    <i r="2">
      <x v="1012"/>
    </i>
    <i r="2">
      <x v="927"/>
    </i>
    <i r="2">
      <x v="593"/>
    </i>
    <i r="2">
      <x v="895"/>
    </i>
    <i r="2">
      <x v="910"/>
    </i>
    <i r="2">
      <x v="744"/>
    </i>
    <i r="2">
      <x v="974"/>
    </i>
    <i r="2">
      <x v="613"/>
    </i>
    <i r="2">
      <x v="649"/>
    </i>
    <i r="2">
      <x v="614"/>
    </i>
    <i r="2">
      <x v="913"/>
    </i>
    <i r="2">
      <x v="932"/>
    </i>
    <i r="2">
      <x v="349"/>
    </i>
    <i r="2">
      <x v="933"/>
    </i>
    <i r="2">
      <x v="991"/>
    </i>
    <i r="2">
      <x v="721"/>
    </i>
    <i r="2">
      <x v="875"/>
    </i>
    <i r="2">
      <x v="937"/>
    </i>
    <i r="2">
      <x v="590"/>
    </i>
    <i r="2">
      <x v="620"/>
    </i>
    <i r="2">
      <x v="880"/>
    </i>
    <i r="2">
      <x v="109"/>
    </i>
    <i r="2">
      <x v="1015"/>
    </i>
    <i r="2">
      <x v="560"/>
    </i>
    <i r="2">
      <x v="1019"/>
    </i>
    <i r="2">
      <x v="941"/>
    </i>
    <i r="2">
      <x v="1023"/>
    </i>
    <i r="2">
      <x v="942"/>
    </i>
    <i r="2">
      <x v="139"/>
    </i>
    <i r="2">
      <x v="624"/>
    </i>
    <i r="2">
      <x v="971"/>
    </i>
    <i r="2">
      <x v="427"/>
    </i>
    <i r="2">
      <x v="973"/>
    </i>
    <i r="2">
      <x v="945"/>
    </i>
    <i r="2">
      <x v="647"/>
    </i>
    <i r="2">
      <x v="946"/>
    </i>
    <i r="2">
      <x v="725"/>
    </i>
    <i r="2">
      <x v="298"/>
    </i>
    <i r="2">
      <x v="979"/>
    </i>
    <i r="2">
      <x v="563"/>
    </i>
    <i r="2">
      <x v="359"/>
    </i>
    <i r="2">
      <x v="475"/>
    </i>
    <i r="2">
      <x v="541"/>
    </i>
    <i r="2">
      <x v="951"/>
    </i>
    <i r="2">
      <x v="985"/>
    </i>
    <i r="2">
      <x v="731"/>
    </i>
    <i r="2">
      <x v="583"/>
    </i>
    <i r="2">
      <x v="870"/>
    </i>
    <i r="2">
      <x v="869"/>
    </i>
    <i r="2">
      <x v="728"/>
    </i>
    <i r="2">
      <x v="916"/>
    </i>
    <i r="2">
      <x v="550"/>
    </i>
    <i r="2">
      <x v="996"/>
    </i>
    <i r="2">
      <x v="954"/>
    </i>
    <i r="2">
      <x v="730"/>
    </i>
    <i r="2">
      <x v="122"/>
    </i>
    <i r="2">
      <x v="890"/>
    </i>
    <i r="2">
      <x v="347"/>
    </i>
    <i r="2">
      <x v="876"/>
    </i>
    <i r="2">
      <x v="188"/>
    </i>
    <i r="2">
      <x v="456"/>
    </i>
    <i r="2">
      <x v="958"/>
    </i>
    <i r="2">
      <x v="878"/>
    </i>
    <i r="2">
      <x v="825"/>
    </i>
    <i r="2">
      <x v="1009"/>
    </i>
    <i r="2">
      <x v="302"/>
    </i>
    <i r="2">
      <x v="675"/>
    </i>
    <i r="2">
      <x v="378"/>
    </i>
    <i r="2">
      <x v="1014"/>
    </i>
    <i r="2">
      <x v="416"/>
    </i>
    <i r="2">
      <x v="1016"/>
    </i>
    <i r="2">
      <x v="1034"/>
    </i>
    <i r="2">
      <x v="1018"/>
    </i>
    <i r="2">
      <x v="889"/>
    </i>
    <i r="2">
      <x v="1020"/>
    </i>
    <i r="2">
      <x v="386"/>
    </i>
    <i r="2">
      <x v="1022"/>
    </i>
    <i r="2">
      <x v="833"/>
    </i>
    <i r="2">
      <x v="1024"/>
    </i>
    <i r="2">
      <x v="638"/>
    </i>
    <i r="2">
      <x v="1027"/>
    </i>
    <i r="2">
      <x v="433"/>
    </i>
    <i r="2">
      <x v="1029"/>
    </i>
    <i r="2">
      <x v="554"/>
    </i>
    <i r="2">
      <x v="245"/>
    </i>
    <i r="2">
      <x v="887"/>
    </i>
    <i r="2">
      <x v="633"/>
    </i>
    <i r="2">
      <x v="888"/>
    </i>
    <i r="2">
      <x v="963"/>
    </i>
    <i r="2">
      <x v="964"/>
    </i>
    <i r="2">
      <x v="804"/>
    </i>
    <i>
      <x v="1"/>
    </i>
    <i r="1">
      <x/>
    </i>
    <i r="2">
      <x v="524"/>
    </i>
    <i r="2">
      <x v="337"/>
    </i>
    <i r="2">
      <x v="857"/>
    </i>
    <i r="2">
      <x v="851"/>
    </i>
    <i r="2">
      <x v="331"/>
    </i>
    <i r="2">
      <x v="521"/>
    </i>
    <i r="2">
      <x v="855"/>
    </i>
    <i r="2">
      <x v="509"/>
    </i>
    <i r="2">
      <x v="852"/>
    </i>
    <i r="2">
      <x v="858"/>
    </i>
    <i r="2">
      <x v="512"/>
    </i>
    <i r="2">
      <x v="853"/>
    </i>
    <i r="2">
      <x v="854"/>
    </i>
    <i r="2">
      <x v="682"/>
    </i>
    <i r="1">
      <x v="1"/>
    </i>
    <i r="2">
      <x v="644"/>
    </i>
    <i r="2">
      <x v="637"/>
    </i>
    <i r="2">
      <x v="917"/>
    </i>
    <i r="2">
      <x v="706"/>
    </i>
    <i r="2">
      <x v="68"/>
    </i>
    <i r="2">
      <x v="717"/>
    </i>
    <i r="2">
      <x v="715"/>
    </i>
    <i r="2">
      <x v="906"/>
    </i>
    <i r="2">
      <x v="506"/>
    </i>
    <i r="2">
      <x v="935"/>
    </i>
    <i r="2">
      <x v="126"/>
    </i>
    <i r="2">
      <x v="660"/>
    </i>
    <i r="2">
      <x v="634"/>
    </i>
    <i r="2">
      <x v="756"/>
    </i>
    <i r="2">
      <x v="934"/>
    </i>
    <i r="2">
      <x v="862"/>
    </i>
    <i r="2">
      <x v="1001"/>
    </i>
    <i r="2">
      <x v="711"/>
    </i>
    <i r="2">
      <x v="662"/>
    </i>
    <i r="2">
      <x v="375"/>
    </i>
    <i r="2">
      <x v="561"/>
    </i>
    <i r="2">
      <x v="653"/>
    </i>
    <i r="2">
      <x v="665"/>
    </i>
    <i r="2">
      <x v="911"/>
    </i>
    <i r="2">
      <x v="751"/>
    </i>
    <i r="2">
      <x v="949"/>
    </i>
    <i r="2">
      <x v="1036"/>
    </i>
    <i r="2">
      <x v="989"/>
    </i>
    <i r="2">
      <x v="587"/>
    </i>
    <i r="2">
      <x v="646"/>
    </i>
    <i r="2">
      <x v="1039"/>
    </i>
    <i r="2">
      <x v="733"/>
    </i>
    <i r="2">
      <x v="586"/>
    </i>
    <i r="2">
      <x v="566"/>
    </i>
    <i r="2">
      <x v="886"/>
    </i>
    <i r="2">
      <x v="581"/>
    </i>
    <i r="2">
      <x v="690"/>
    </i>
    <i r="2">
      <x v="123"/>
    </i>
    <i r="2">
      <x v="1032"/>
    </i>
    <i r="2">
      <x v="898"/>
    </i>
    <i r="2">
      <x v="1035"/>
    </i>
    <i r="2">
      <x v="700"/>
    </i>
    <i r="2">
      <x v="865"/>
    </i>
    <i r="2">
      <x v="1038"/>
    </i>
    <i r="2">
      <x v="1040"/>
    </i>
    <i r="2">
      <x v="993"/>
    </i>
    <i r="2">
      <x v="868"/>
    </i>
    <i r="2">
      <x v="565"/>
    </i>
    <i r="2">
      <x v="242"/>
    </i>
    <i r="2">
      <x v="1026"/>
    </i>
    <i r="2">
      <x v="551"/>
    </i>
    <i r="2">
      <x v="688"/>
    </i>
    <i r="2">
      <x v="664"/>
    </i>
    <i r="2">
      <x v="385"/>
    </i>
    <i r="2">
      <x v="124"/>
    </i>
    <i r="2">
      <x v="903"/>
    </i>
    <i r="2">
      <x v="992"/>
    </i>
    <i r="2">
      <x v="909"/>
    </i>
    <i r="2">
      <x v="854"/>
    </i>
    <i r="2">
      <x v="915"/>
    </i>
    <i r="2">
      <x v="923"/>
    </i>
    <i r="2">
      <x v="528"/>
    </i>
    <i r="2">
      <x v="1013"/>
    </i>
    <i t="grand">
      <x/>
    </i>
  </rowItems>
  <colItems count="1">
    <i/>
  </colItems>
  <dataFields count="1">
    <dataField name="Összeg / Minősítési pont" fld="0" baseField="0" baseItem="0" numFmtId="3"/>
  </dataFields>
  <formats count="8">
    <format dxfId="7">
      <pivotArea collapsedLevelsAreSubtotals="1" fieldPosition="0">
        <references count="2">
          <reference field="4" count="4">
            <x v="6"/>
            <x v="18"/>
            <x v="48"/>
            <x v="239"/>
          </reference>
          <reference field="7" count="1" selected="0">
            <x v="1"/>
          </reference>
        </references>
      </pivotArea>
    </format>
    <format dxfId="6">
      <pivotArea outline="0" collapsedLevelsAreSubtotals="1" fieldPosition="0"/>
    </format>
    <format dxfId="5">
      <pivotArea dataOnly="0" labelOnly="1" outline="0" axis="axisValues" fieldPosition="0"/>
    </format>
    <format dxfId="4">
      <pivotArea field="5" type="button" dataOnly="0" labelOnly="1" outline="0" axis="axisRow" fieldPosition="0"/>
    </format>
    <format dxfId="3">
      <pivotArea dataOnly="0" labelOnly="1" outline="0" axis="axisValues" fieldPosition="0"/>
    </format>
    <format dxfId="2">
      <pivotArea dataOnly="0" labelOnly="1" outline="0" axis="axisValues" fieldPosition="0"/>
    </format>
    <format dxfId="1">
      <pivotArea field="5" type="button" dataOnly="0" labelOnly="1" outline="0" axis="axisRow" fieldPosition="0"/>
    </format>
    <format dxfId="0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name="Kimutatás1" cacheId="0" applyNumberFormats="0" applyBorderFormats="0" applyFontFormats="0" applyPatternFormats="0" applyAlignmentFormats="0" applyWidthHeightFormats="1" dataCaption="Értékek" updatedVersion="8" minRefreshableVersion="3" useAutoFormatting="1" itemPrintTitles="1" createdVersion="8" indent="0" outline="1" outlineData="1" multipleFieldFilters="0">
  <location ref="E7:F82" firstHeaderRow="1" firstDataRow="1" firstDataCol="1"/>
  <pivotFields count="2">
    <pivotField axis="axisRow" showAll="0">
      <items count="75">
        <item x="12"/>
        <item x="11"/>
        <item x="29"/>
        <item x="33"/>
        <item x="39"/>
        <item x="44"/>
        <item x="62"/>
        <item x="68"/>
        <item x="24"/>
        <item x="25"/>
        <item x="51"/>
        <item x="56"/>
        <item x="4"/>
        <item x="0"/>
        <item x="1"/>
        <item x="2"/>
        <item x="3"/>
        <item x="10"/>
        <item x="6"/>
        <item x="7"/>
        <item x="8"/>
        <item x="9"/>
        <item x="28"/>
        <item x="71"/>
        <item x="26"/>
        <item x="27"/>
        <item x="32"/>
        <item x="30"/>
        <item x="31"/>
        <item x="38"/>
        <item x="72"/>
        <item x="34"/>
        <item x="35"/>
        <item x="36"/>
        <item x="37"/>
        <item x="42"/>
        <item x="40"/>
        <item x="41"/>
        <item x="43"/>
        <item x="61"/>
        <item x="57"/>
        <item x="58"/>
        <item x="59"/>
        <item x="69"/>
        <item x="60"/>
        <item x="70"/>
        <item x="67"/>
        <item x="63"/>
        <item x="64"/>
        <item x="65"/>
        <item x="66"/>
        <item x="18"/>
        <item x="13"/>
        <item x="14"/>
        <item x="15"/>
        <item x="16"/>
        <item x="17"/>
        <item x="23"/>
        <item x="19"/>
        <item x="20"/>
        <item x="21"/>
        <item x="22"/>
        <item x="5"/>
        <item x="49"/>
        <item x="45"/>
        <item x="46"/>
        <item x="47"/>
        <item x="73"/>
        <item x="48"/>
        <item x="50"/>
        <item x="55"/>
        <item x="52"/>
        <item x="53"/>
        <item x="54"/>
        <item t="default"/>
      </items>
    </pivotField>
    <pivotField dataField="1" showAll="0"/>
  </pivotFields>
  <rowFields count="1">
    <field x="0"/>
  </rowFields>
  <rowItems count="7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 t="grand">
      <x/>
    </i>
  </rowItems>
  <colItems count="1">
    <i/>
  </colItems>
  <dataFields count="1">
    <dataField name="Összeg / 1" fld="1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– 2022 té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pivotTable" Target="../pivotTables/pivotTable7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pivotTable" Target="../pivotTables/pivot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T1118"/>
  <sheetViews>
    <sheetView zoomScale="80" zoomScaleNormal="80" workbookViewId="0">
      <pane xSplit="1" ySplit="1" topLeftCell="B134" activePane="bottomRight" state="frozen"/>
      <selection pane="topRight" activeCell="B1" sqref="B1"/>
      <selection pane="bottomLeft" activeCell="A2" sqref="A2"/>
      <selection pane="bottomRight" activeCell="E153" sqref="E153"/>
    </sheetView>
  </sheetViews>
  <sheetFormatPr defaultRowHeight="14.4" x14ac:dyDescent="0.3"/>
  <cols>
    <col min="1" max="1" width="27" bestFit="1" customWidth="1"/>
    <col min="2" max="2" width="5.33203125" style="50" customWidth="1"/>
    <col min="3" max="3" width="4.33203125" customWidth="1"/>
    <col min="5" max="5" width="35.109375" customWidth="1"/>
    <col min="6" max="6" width="28.109375" customWidth="1"/>
    <col min="7" max="7" width="7.44140625" style="50" customWidth="1"/>
    <col min="8" max="8" width="24.109375" customWidth="1"/>
    <col min="9" max="9" width="7.44140625" style="50" customWidth="1"/>
    <col min="10" max="10" width="23" customWidth="1"/>
    <col min="11" max="11" width="18.21875" customWidth="1"/>
    <col min="12" max="12" width="5.44140625" customWidth="1"/>
    <col min="13" max="13" width="9.109375" customWidth="1"/>
    <col min="14" max="14" width="50.109375" customWidth="1"/>
    <col min="15" max="15" width="10" customWidth="1"/>
    <col min="16" max="16" width="10.77734375" customWidth="1"/>
    <col min="17" max="17" width="44" customWidth="1"/>
    <col min="18" max="18" width="11.88671875" customWidth="1"/>
    <col min="19" max="19" width="13.77734375" customWidth="1"/>
    <col min="20" max="20" width="11.109375" customWidth="1"/>
  </cols>
  <sheetData>
    <row r="1" spans="1:20" s="88" customFormat="1" ht="28.35" customHeight="1" x14ac:dyDescent="0.3">
      <c r="A1" s="88" t="s">
        <v>124</v>
      </c>
      <c r="B1" s="88" t="s">
        <v>405</v>
      </c>
      <c r="C1" s="88" t="s">
        <v>125</v>
      </c>
      <c r="D1" s="88" t="s">
        <v>0</v>
      </c>
      <c r="E1" s="88" t="s">
        <v>464</v>
      </c>
      <c r="F1" s="88" t="s">
        <v>483</v>
      </c>
      <c r="G1" s="89" t="s">
        <v>1</v>
      </c>
      <c r="H1" s="88" t="s">
        <v>2</v>
      </c>
      <c r="I1" s="89" t="s">
        <v>3</v>
      </c>
      <c r="J1" s="88" t="s">
        <v>4</v>
      </c>
      <c r="K1" s="88" t="s">
        <v>5</v>
      </c>
      <c r="L1" s="88" t="s">
        <v>6</v>
      </c>
      <c r="M1" s="88" t="s">
        <v>152</v>
      </c>
      <c r="N1" s="88" t="s">
        <v>153</v>
      </c>
      <c r="O1" s="88" t="s">
        <v>242</v>
      </c>
      <c r="P1" s="88" t="s">
        <v>241</v>
      </c>
      <c r="Q1" s="88" t="s">
        <v>407</v>
      </c>
      <c r="R1" s="88" t="s">
        <v>557</v>
      </c>
      <c r="S1" s="88" t="s">
        <v>635</v>
      </c>
      <c r="T1" s="88" t="s">
        <v>643</v>
      </c>
    </row>
    <row r="2" spans="1:20" x14ac:dyDescent="0.3">
      <c r="A2" t="s">
        <v>155</v>
      </c>
      <c r="B2" s="50" t="s">
        <v>157</v>
      </c>
      <c r="C2">
        <v>34</v>
      </c>
      <c r="D2" t="s">
        <v>7</v>
      </c>
      <c r="E2" t="s">
        <v>76</v>
      </c>
      <c r="F2" t="s">
        <v>485</v>
      </c>
      <c r="G2" s="50">
        <v>2</v>
      </c>
      <c r="H2" t="s">
        <v>43</v>
      </c>
      <c r="I2" s="50">
        <v>1</v>
      </c>
      <c r="J2" t="s">
        <v>77</v>
      </c>
      <c r="K2" t="s">
        <v>51</v>
      </c>
      <c r="L2" t="s">
        <v>12</v>
      </c>
      <c r="M2">
        <v>6</v>
      </c>
      <c r="O2" t="s">
        <v>243</v>
      </c>
      <c r="P2" s="78">
        <v>45353</v>
      </c>
      <c r="Q2" t="str">
        <f>J2&amp;" - "&amp;K2</f>
        <v>Soltész Szabolcs - Kisvárda KKDOSC</v>
      </c>
      <c r="R2" t="s">
        <v>636</v>
      </c>
      <c r="S2" t="s">
        <v>636</v>
      </c>
      <c r="T2" t="s">
        <v>644</v>
      </c>
    </row>
    <row r="3" spans="1:20" x14ac:dyDescent="0.3">
      <c r="A3" t="s">
        <v>155</v>
      </c>
      <c r="B3" s="50" t="s">
        <v>157</v>
      </c>
      <c r="C3">
        <v>35</v>
      </c>
      <c r="D3" t="s">
        <v>7</v>
      </c>
      <c r="E3" t="s">
        <v>76</v>
      </c>
      <c r="F3" t="s">
        <v>485</v>
      </c>
      <c r="G3" s="50">
        <v>2</v>
      </c>
      <c r="H3" t="s">
        <v>43</v>
      </c>
      <c r="I3" s="50">
        <v>2</v>
      </c>
      <c r="J3" t="s">
        <v>78</v>
      </c>
      <c r="K3" t="s">
        <v>79</v>
      </c>
      <c r="L3" t="s">
        <v>12</v>
      </c>
      <c r="M3">
        <v>0</v>
      </c>
      <c r="O3" t="s">
        <v>243</v>
      </c>
      <c r="P3" s="78">
        <v>45353</v>
      </c>
      <c r="Q3" t="str">
        <f t="shared" ref="Q3:Q66" si="0">J3&amp;" - "&amp;K3</f>
        <v>Rintaro Watanabe - Ippon KKSE</v>
      </c>
      <c r="R3" t="s">
        <v>636</v>
      </c>
      <c r="S3" t="s">
        <v>636</v>
      </c>
      <c r="T3" t="s">
        <v>644</v>
      </c>
    </row>
    <row r="4" spans="1:20" x14ac:dyDescent="0.3">
      <c r="A4" t="s">
        <v>155</v>
      </c>
      <c r="B4" s="50" t="s">
        <v>157</v>
      </c>
      <c r="C4">
        <v>36</v>
      </c>
      <c r="D4" t="s">
        <v>7</v>
      </c>
      <c r="E4" t="s">
        <v>80</v>
      </c>
      <c r="F4" t="s">
        <v>484</v>
      </c>
      <c r="G4" s="50">
        <v>4</v>
      </c>
      <c r="H4" t="s">
        <v>58</v>
      </c>
      <c r="I4" s="50">
        <v>1</v>
      </c>
      <c r="J4" t="s">
        <v>81</v>
      </c>
      <c r="K4" t="s">
        <v>82</v>
      </c>
      <c r="L4" t="s">
        <v>12</v>
      </c>
      <c r="M4">
        <v>12</v>
      </c>
      <c r="O4" t="s">
        <v>243</v>
      </c>
      <c r="P4" s="78">
        <v>45353</v>
      </c>
      <c r="Q4" t="str">
        <f t="shared" si="0"/>
        <v>Karczub Zalán - Bátor KSE</v>
      </c>
      <c r="R4" t="s">
        <v>636</v>
      </c>
      <c r="S4" t="s">
        <v>636</v>
      </c>
      <c r="T4" t="s">
        <v>644</v>
      </c>
    </row>
    <row r="5" spans="1:20" x14ac:dyDescent="0.3">
      <c r="A5" t="s">
        <v>155</v>
      </c>
      <c r="B5" s="50" t="s">
        <v>157</v>
      </c>
      <c r="C5">
        <v>37</v>
      </c>
      <c r="D5" t="s">
        <v>7</v>
      </c>
      <c r="E5" t="s">
        <v>80</v>
      </c>
      <c r="F5" t="s">
        <v>484</v>
      </c>
      <c r="G5" s="50">
        <v>4</v>
      </c>
      <c r="H5" t="s">
        <v>58</v>
      </c>
      <c r="I5" s="50">
        <v>2</v>
      </c>
      <c r="J5" t="s">
        <v>83</v>
      </c>
      <c r="K5" t="s">
        <v>16</v>
      </c>
      <c r="L5" t="s">
        <v>12</v>
      </c>
      <c r="M5">
        <v>9</v>
      </c>
      <c r="O5" t="s">
        <v>243</v>
      </c>
      <c r="P5" s="78">
        <v>45353</v>
      </c>
      <c r="Q5" t="str">
        <f t="shared" si="0"/>
        <v>Gagna Patrik - Nozomu Dojo</v>
      </c>
      <c r="R5" t="s">
        <v>636</v>
      </c>
      <c r="S5" t="s">
        <v>636</v>
      </c>
      <c r="T5" t="s">
        <v>644</v>
      </c>
    </row>
    <row r="6" spans="1:20" x14ac:dyDescent="0.3">
      <c r="A6" t="s">
        <v>155</v>
      </c>
      <c r="B6" s="50" t="s">
        <v>157</v>
      </c>
      <c r="C6">
        <v>38</v>
      </c>
      <c r="D6" t="s">
        <v>7</v>
      </c>
      <c r="E6" t="s">
        <v>80</v>
      </c>
      <c r="F6" t="s">
        <v>484</v>
      </c>
      <c r="G6" s="50">
        <v>4</v>
      </c>
      <c r="H6" t="s">
        <v>58</v>
      </c>
      <c r="I6" s="50">
        <v>3</v>
      </c>
      <c r="J6" t="s">
        <v>84</v>
      </c>
      <c r="K6" t="s">
        <v>65</v>
      </c>
      <c r="L6" t="s">
        <v>12</v>
      </c>
      <c r="M6">
        <v>6</v>
      </c>
      <c r="O6" t="s">
        <v>243</v>
      </c>
      <c r="P6" s="78">
        <v>45353</v>
      </c>
      <c r="Q6" t="str">
        <f t="shared" si="0"/>
        <v>Ludszky Tamás - Főnix Dojo</v>
      </c>
      <c r="R6" t="s">
        <v>636</v>
      </c>
      <c r="S6" t="s">
        <v>636</v>
      </c>
      <c r="T6" t="s">
        <v>644</v>
      </c>
    </row>
    <row r="7" spans="1:20" x14ac:dyDescent="0.3">
      <c r="A7" t="s">
        <v>155</v>
      </c>
      <c r="B7" s="50" t="s">
        <v>157</v>
      </c>
      <c r="C7">
        <v>39</v>
      </c>
      <c r="D7" t="s">
        <v>7</v>
      </c>
      <c r="E7" t="s">
        <v>85</v>
      </c>
      <c r="F7" t="s">
        <v>487</v>
      </c>
      <c r="G7" s="50">
        <v>4</v>
      </c>
      <c r="H7" t="s">
        <v>58</v>
      </c>
      <c r="I7" s="50">
        <v>1</v>
      </c>
      <c r="J7" t="s">
        <v>86</v>
      </c>
      <c r="K7" t="s">
        <v>87</v>
      </c>
      <c r="L7" t="s">
        <v>12</v>
      </c>
      <c r="M7">
        <v>12</v>
      </c>
      <c r="O7" t="s">
        <v>243</v>
      </c>
      <c r="P7" s="78">
        <v>45353</v>
      </c>
      <c r="Q7" t="str">
        <f t="shared" si="0"/>
        <v>Fekete Gergely - Victory</v>
      </c>
      <c r="R7" t="s">
        <v>636</v>
      </c>
      <c r="S7" t="s">
        <v>636</v>
      </c>
      <c r="T7" t="s">
        <v>644</v>
      </c>
    </row>
    <row r="8" spans="1:20" x14ac:dyDescent="0.3">
      <c r="A8" t="s">
        <v>155</v>
      </c>
      <c r="B8" s="50" t="s">
        <v>157</v>
      </c>
      <c r="C8">
        <v>40</v>
      </c>
      <c r="D8" t="s">
        <v>7</v>
      </c>
      <c r="E8" t="s">
        <v>85</v>
      </c>
      <c r="F8" t="s">
        <v>487</v>
      </c>
      <c r="G8" s="50">
        <v>4</v>
      </c>
      <c r="H8" t="s">
        <v>58</v>
      </c>
      <c r="I8" s="50">
        <v>2</v>
      </c>
      <c r="J8" t="s">
        <v>88</v>
      </c>
      <c r="K8" t="s">
        <v>51</v>
      </c>
      <c r="L8" t="s">
        <v>12</v>
      </c>
      <c r="M8">
        <v>9</v>
      </c>
      <c r="O8" t="s">
        <v>243</v>
      </c>
      <c r="P8" s="78">
        <v>45353</v>
      </c>
      <c r="Q8" t="str">
        <f t="shared" si="0"/>
        <v>Rétfalvi Tamás - Kisvárda KKDOSC</v>
      </c>
      <c r="R8" t="s">
        <v>636</v>
      </c>
      <c r="S8" t="s">
        <v>636</v>
      </c>
      <c r="T8" t="s">
        <v>644</v>
      </c>
    </row>
    <row r="9" spans="1:20" x14ac:dyDescent="0.3">
      <c r="A9" t="s">
        <v>155</v>
      </c>
      <c r="B9" s="50" t="s">
        <v>157</v>
      </c>
      <c r="C9">
        <v>41</v>
      </c>
      <c r="D9" t="s">
        <v>7</v>
      </c>
      <c r="E9" t="s">
        <v>85</v>
      </c>
      <c r="F9" t="s">
        <v>487</v>
      </c>
      <c r="G9" s="50">
        <v>4</v>
      </c>
      <c r="H9" t="s">
        <v>58</v>
      </c>
      <c r="I9" s="50">
        <v>3</v>
      </c>
      <c r="J9" t="s">
        <v>89</v>
      </c>
      <c r="K9" t="s">
        <v>79</v>
      </c>
      <c r="L9" t="s">
        <v>12</v>
      </c>
      <c r="M9">
        <v>6</v>
      </c>
      <c r="O9" t="s">
        <v>243</v>
      </c>
      <c r="P9" s="78">
        <v>45353</v>
      </c>
      <c r="Q9" t="str">
        <f t="shared" si="0"/>
        <v>Gazi Dávid - Ippon KKSE</v>
      </c>
      <c r="R9" t="s">
        <v>636</v>
      </c>
      <c r="S9" t="s">
        <v>636</v>
      </c>
      <c r="T9" t="s">
        <v>644</v>
      </c>
    </row>
    <row r="10" spans="1:20" x14ac:dyDescent="0.3">
      <c r="A10" t="s">
        <v>155</v>
      </c>
      <c r="B10" s="50" t="s">
        <v>157</v>
      </c>
      <c r="C10">
        <v>41</v>
      </c>
      <c r="D10" t="s">
        <v>7</v>
      </c>
      <c r="E10" t="s">
        <v>85</v>
      </c>
      <c r="F10" t="s">
        <v>487</v>
      </c>
      <c r="G10" s="50">
        <v>4</v>
      </c>
      <c r="H10" t="s">
        <v>58</v>
      </c>
      <c r="I10" s="50">
        <v>3</v>
      </c>
      <c r="J10" t="s">
        <v>166</v>
      </c>
      <c r="K10" t="s">
        <v>167</v>
      </c>
      <c r="L10" t="s">
        <v>12</v>
      </c>
      <c r="M10">
        <v>5</v>
      </c>
      <c r="N10" t="s">
        <v>168</v>
      </c>
      <c r="O10" t="s">
        <v>243</v>
      </c>
      <c r="P10" s="78">
        <v>45353</v>
      </c>
      <c r="Q10" t="str">
        <f t="shared" si="0"/>
        <v>Lendvai László - Nagykátai Bushido SE</v>
      </c>
      <c r="R10" t="s">
        <v>636</v>
      </c>
      <c r="S10" t="s">
        <v>636</v>
      </c>
      <c r="T10" t="s">
        <v>644</v>
      </c>
    </row>
    <row r="11" spans="1:20" x14ac:dyDescent="0.3">
      <c r="A11" t="s">
        <v>155</v>
      </c>
      <c r="B11" s="50" t="s">
        <v>157</v>
      </c>
      <c r="C11">
        <v>42</v>
      </c>
      <c r="D11" t="s">
        <v>7</v>
      </c>
      <c r="E11" t="s">
        <v>90</v>
      </c>
      <c r="F11" t="s">
        <v>486</v>
      </c>
      <c r="G11" s="50">
        <v>4</v>
      </c>
      <c r="H11" t="s">
        <v>58</v>
      </c>
      <c r="I11" s="50">
        <v>1</v>
      </c>
      <c r="J11" t="s">
        <v>604</v>
      </c>
      <c r="K11" t="s">
        <v>79</v>
      </c>
      <c r="L11" t="s">
        <v>12</v>
      </c>
      <c r="M11">
        <v>12</v>
      </c>
      <c r="O11" t="s">
        <v>243</v>
      </c>
      <c r="P11" s="78">
        <v>45353</v>
      </c>
      <c r="Q11" t="str">
        <f t="shared" si="0"/>
        <v>Újvári Bálint - Ippon KKSE</v>
      </c>
      <c r="R11" t="s">
        <v>636</v>
      </c>
      <c r="S11" t="s">
        <v>636</v>
      </c>
      <c r="T11" t="s">
        <v>644</v>
      </c>
    </row>
    <row r="12" spans="1:20" x14ac:dyDescent="0.3">
      <c r="A12" t="s">
        <v>155</v>
      </c>
      <c r="B12" s="50" t="s">
        <v>157</v>
      </c>
      <c r="C12">
        <v>43</v>
      </c>
      <c r="D12" t="s">
        <v>7</v>
      </c>
      <c r="E12" t="s">
        <v>90</v>
      </c>
      <c r="F12" t="s">
        <v>486</v>
      </c>
      <c r="G12" s="50">
        <v>4</v>
      </c>
      <c r="H12" t="s">
        <v>58</v>
      </c>
      <c r="I12" s="50">
        <v>2</v>
      </c>
      <c r="J12" t="s">
        <v>91</v>
      </c>
      <c r="K12" t="s">
        <v>65</v>
      </c>
      <c r="L12" t="s">
        <v>12</v>
      </c>
      <c r="M12">
        <v>9</v>
      </c>
      <c r="O12" t="s">
        <v>243</v>
      </c>
      <c r="P12" s="78">
        <v>45353</v>
      </c>
      <c r="Q12" t="str">
        <f t="shared" si="0"/>
        <v>Ludszky Zsolt - Főnix Dojo</v>
      </c>
      <c r="R12" t="s">
        <v>636</v>
      </c>
      <c r="S12" t="s">
        <v>636</v>
      </c>
      <c r="T12" t="s">
        <v>644</v>
      </c>
    </row>
    <row r="13" spans="1:20" x14ac:dyDescent="0.3">
      <c r="A13" t="s">
        <v>155</v>
      </c>
      <c r="B13" s="50" t="s">
        <v>157</v>
      </c>
      <c r="C13">
        <v>44</v>
      </c>
      <c r="D13" t="s">
        <v>7</v>
      </c>
      <c r="E13" t="s">
        <v>90</v>
      </c>
      <c r="F13" t="s">
        <v>486</v>
      </c>
      <c r="G13" s="50">
        <v>4</v>
      </c>
      <c r="H13" t="s">
        <v>58</v>
      </c>
      <c r="I13" s="50">
        <v>3</v>
      </c>
      <c r="J13" t="s">
        <v>92</v>
      </c>
      <c r="K13" t="s">
        <v>35</v>
      </c>
      <c r="L13" t="s">
        <v>12</v>
      </c>
      <c r="M13">
        <v>6</v>
      </c>
      <c r="O13" t="s">
        <v>243</v>
      </c>
      <c r="P13" s="78">
        <v>45353</v>
      </c>
      <c r="Q13" t="str">
        <f t="shared" si="0"/>
        <v>Oláh Gergő - KHSE</v>
      </c>
      <c r="R13" t="s">
        <v>636</v>
      </c>
      <c r="S13" t="s">
        <v>636</v>
      </c>
      <c r="T13" t="s">
        <v>644</v>
      </c>
    </row>
    <row r="14" spans="1:20" x14ac:dyDescent="0.3">
      <c r="A14" t="s">
        <v>155</v>
      </c>
      <c r="B14" s="50" t="s">
        <v>157</v>
      </c>
      <c r="C14">
        <v>45</v>
      </c>
      <c r="D14" t="s">
        <v>7</v>
      </c>
      <c r="E14" t="s">
        <v>93</v>
      </c>
      <c r="F14" t="s">
        <v>488</v>
      </c>
      <c r="G14" s="50">
        <v>6</v>
      </c>
      <c r="H14" t="s">
        <v>94</v>
      </c>
      <c r="I14" s="50">
        <v>1</v>
      </c>
      <c r="J14" t="s">
        <v>95</v>
      </c>
      <c r="K14" t="s">
        <v>87</v>
      </c>
      <c r="L14" t="s">
        <v>12</v>
      </c>
      <c r="M14">
        <v>12</v>
      </c>
      <c r="O14" t="s">
        <v>243</v>
      </c>
      <c r="P14" s="78">
        <v>45353</v>
      </c>
      <c r="Q14" t="str">
        <f t="shared" si="0"/>
        <v>Lajtos Patrik - Victory</v>
      </c>
      <c r="R14" t="s">
        <v>636</v>
      </c>
      <c r="S14" t="s">
        <v>636</v>
      </c>
      <c r="T14" t="s">
        <v>644</v>
      </c>
    </row>
    <row r="15" spans="1:20" x14ac:dyDescent="0.3">
      <c r="A15" t="s">
        <v>155</v>
      </c>
      <c r="B15" s="50" t="s">
        <v>157</v>
      </c>
      <c r="C15">
        <v>46</v>
      </c>
      <c r="D15" t="s">
        <v>7</v>
      </c>
      <c r="E15" t="s">
        <v>93</v>
      </c>
      <c r="F15" t="s">
        <v>488</v>
      </c>
      <c r="G15" s="50">
        <v>6</v>
      </c>
      <c r="H15" t="s">
        <v>94</v>
      </c>
      <c r="I15" s="50">
        <v>2</v>
      </c>
      <c r="J15" t="s">
        <v>96</v>
      </c>
      <c r="K15" t="s">
        <v>35</v>
      </c>
      <c r="L15" t="s">
        <v>12</v>
      </c>
      <c r="M15">
        <v>9</v>
      </c>
      <c r="O15" t="s">
        <v>243</v>
      </c>
      <c r="P15" s="78">
        <v>45353</v>
      </c>
      <c r="Q15" t="str">
        <f t="shared" si="0"/>
        <v>Kukuly Attila - KHSE</v>
      </c>
      <c r="R15" t="s">
        <v>636</v>
      </c>
      <c r="S15" t="s">
        <v>636</v>
      </c>
      <c r="T15" t="s">
        <v>644</v>
      </c>
    </row>
    <row r="16" spans="1:20" x14ac:dyDescent="0.3">
      <c r="A16" t="s">
        <v>155</v>
      </c>
      <c r="B16" s="50" t="s">
        <v>157</v>
      </c>
      <c r="C16">
        <v>47</v>
      </c>
      <c r="D16" t="s">
        <v>7</v>
      </c>
      <c r="E16" t="s">
        <v>93</v>
      </c>
      <c r="F16" t="s">
        <v>488</v>
      </c>
      <c r="G16" s="50">
        <v>6</v>
      </c>
      <c r="H16" t="s">
        <v>94</v>
      </c>
      <c r="I16" s="50">
        <v>3</v>
      </c>
      <c r="J16" t="s">
        <v>97</v>
      </c>
      <c r="K16" t="s">
        <v>98</v>
      </c>
      <c r="L16" t="s">
        <v>12</v>
      </c>
      <c r="M16">
        <v>6</v>
      </c>
      <c r="O16" t="s">
        <v>243</v>
      </c>
      <c r="P16" s="78">
        <v>45353</v>
      </c>
      <c r="Q16" t="str">
        <f t="shared" si="0"/>
        <v xml:space="preserve">Sebestyén Miklós - TADASHII </v>
      </c>
      <c r="R16" t="s">
        <v>637</v>
      </c>
      <c r="S16" t="s">
        <v>170</v>
      </c>
      <c r="T16" t="s">
        <v>644</v>
      </c>
    </row>
    <row r="17" spans="1:20" s="80" customFormat="1" x14ac:dyDescent="0.3">
      <c r="A17" s="80" t="s">
        <v>155</v>
      </c>
      <c r="B17" s="81" t="s">
        <v>157</v>
      </c>
      <c r="C17" s="80">
        <v>48</v>
      </c>
      <c r="D17" s="80" t="s">
        <v>7</v>
      </c>
      <c r="E17" s="80" t="s">
        <v>99</v>
      </c>
      <c r="F17" s="80" t="s">
        <v>99</v>
      </c>
      <c r="G17" s="81">
        <v>5</v>
      </c>
      <c r="H17" s="80" t="s">
        <v>9</v>
      </c>
      <c r="I17" s="81">
        <v>1</v>
      </c>
      <c r="J17" s="80" t="s">
        <v>100</v>
      </c>
      <c r="K17" s="80" t="s">
        <v>98</v>
      </c>
      <c r="L17" s="80" t="s">
        <v>12</v>
      </c>
      <c r="M17" s="80">
        <v>0</v>
      </c>
      <c r="N17" s="80" t="s">
        <v>240</v>
      </c>
      <c r="O17" s="80" t="s">
        <v>243</v>
      </c>
      <c r="P17" s="82">
        <v>45353</v>
      </c>
      <c r="Q17" s="80" t="str">
        <f t="shared" si="0"/>
        <v xml:space="preserve">Horváth Zoltán - TADASHII </v>
      </c>
      <c r="R17" t="s">
        <v>637</v>
      </c>
      <c r="S17" t="s">
        <v>170</v>
      </c>
      <c r="T17" t="s">
        <v>644</v>
      </c>
    </row>
    <row r="18" spans="1:20" s="80" customFormat="1" x14ac:dyDescent="0.3">
      <c r="A18" s="80" t="s">
        <v>155</v>
      </c>
      <c r="B18" s="81" t="s">
        <v>157</v>
      </c>
      <c r="C18" s="80">
        <v>49</v>
      </c>
      <c r="D18" s="80" t="s">
        <v>7</v>
      </c>
      <c r="E18" s="80" t="s">
        <v>99</v>
      </c>
      <c r="F18" s="80" t="s">
        <v>99</v>
      </c>
      <c r="G18" s="81">
        <v>5</v>
      </c>
      <c r="H18" s="80" t="s">
        <v>9</v>
      </c>
      <c r="I18" s="81">
        <v>2</v>
      </c>
      <c r="J18" s="80" t="s">
        <v>101</v>
      </c>
      <c r="K18" s="80" t="s">
        <v>35</v>
      </c>
      <c r="L18" s="80" t="s">
        <v>12</v>
      </c>
      <c r="M18" s="80">
        <v>0</v>
      </c>
      <c r="N18" s="80" t="s">
        <v>240</v>
      </c>
      <c r="O18" s="80" t="s">
        <v>243</v>
      </c>
      <c r="P18" s="82">
        <v>45353</v>
      </c>
      <c r="Q18" s="80" t="str">
        <f t="shared" si="0"/>
        <v>Béres Sándor - KHSE</v>
      </c>
      <c r="R18" s="80" t="s">
        <v>636</v>
      </c>
      <c r="S18" s="80" t="s">
        <v>636</v>
      </c>
      <c r="T18" t="s">
        <v>644</v>
      </c>
    </row>
    <row r="19" spans="1:20" s="80" customFormat="1" x14ac:dyDescent="0.3">
      <c r="A19" s="80" t="s">
        <v>155</v>
      </c>
      <c r="B19" s="81" t="s">
        <v>157</v>
      </c>
      <c r="C19" s="80">
        <v>50</v>
      </c>
      <c r="D19" s="80" t="s">
        <v>7</v>
      </c>
      <c r="E19" s="80" t="s">
        <v>99</v>
      </c>
      <c r="F19" s="80" t="s">
        <v>99</v>
      </c>
      <c r="G19" s="81">
        <v>5</v>
      </c>
      <c r="H19" s="80" t="s">
        <v>9</v>
      </c>
      <c r="I19" s="81">
        <v>3</v>
      </c>
      <c r="J19" s="80" t="s">
        <v>102</v>
      </c>
      <c r="K19" s="80" t="s">
        <v>14</v>
      </c>
      <c r="L19" s="80" t="s">
        <v>12</v>
      </c>
      <c r="M19" s="80">
        <v>0</v>
      </c>
      <c r="N19" s="80" t="s">
        <v>240</v>
      </c>
      <c r="O19" s="80" t="s">
        <v>243</v>
      </c>
      <c r="P19" s="82">
        <v>45353</v>
      </c>
      <c r="Q19" s="80" t="str">
        <f t="shared" si="0"/>
        <v>Kollányi Miklós - Shogun</v>
      </c>
      <c r="R19" s="80" t="s">
        <v>636</v>
      </c>
      <c r="S19" s="80" t="s">
        <v>636</v>
      </c>
      <c r="T19" t="s">
        <v>644</v>
      </c>
    </row>
    <row r="20" spans="1:20" s="80" customFormat="1" x14ac:dyDescent="0.3">
      <c r="A20" s="80" t="s">
        <v>155</v>
      </c>
      <c r="B20" s="81" t="s">
        <v>157</v>
      </c>
      <c r="C20" s="80">
        <v>50</v>
      </c>
      <c r="D20" s="80" t="s">
        <v>7</v>
      </c>
      <c r="E20" s="80" t="s">
        <v>99</v>
      </c>
      <c r="F20" s="80" t="s">
        <v>99</v>
      </c>
      <c r="G20" s="81">
        <v>5</v>
      </c>
      <c r="H20" s="80" t="s">
        <v>9</v>
      </c>
      <c r="I20" s="81">
        <v>3</v>
      </c>
      <c r="J20" s="80" t="s">
        <v>171</v>
      </c>
      <c r="K20" s="80" t="s">
        <v>98</v>
      </c>
      <c r="L20" s="80" t="s">
        <v>12</v>
      </c>
      <c r="M20" s="80">
        <v>0</v>
      </c>
      <c r="N20" s="80" t="s">
        <v>240</v>
      </c>
      <c r="O20" s="80" t="s">
        <v>243</v>
      </c>
      <c r="P20" s="82">
        <v>45353</v>
      </c>
      <c r="Q20" s="80" t="str">
        <f t="shared" si="0"/>
        <v xml:space="preserve">Fránki Károly - TADASHII </v>
      </c>
      <c r="R20" t="s">
        <v>637</v>
      </c>
      <c r="S20" t="s">
        <v>170</v>
      </c>
      <c r="T20" t="s">
        <v>644</v>
      </c>
    </row>
    <row r="21" spans="1:20" x14ac:dyDescent="0.3">
      <c r="A21" t="s">
        <v>155</v>
      </c>
      <c r="B21" s="50" t="s">
        <v>157</v>
      </c>
      <c r="C21">
        <v>51</v>
      </c>
      <c r="D21" t="s">
        <v>7</v>
      </c>
      <c r="E21" t="s">
        <v>103</v>
      </c>
      <c r="F21" s="83" t="s">
        <v>489</v>
      </c>
      <c r="G21" s="50">
        <v>2</v>
      </c>
      <c r="H21" t="s">
        <v>43</v>
      </c>
      <c r="I21" s="50">
        <v>1</v>
      </c>
      <c r="J21" t="s">
        <v>104</v>
      </c>
      <c r="K21" t="s">
        <v>47</v>
      </c>
      <c r="L21" t="s">
        <v>12</v>
      </c>
      <c r="M21">
        <v>6</v>
      </c>
      <c r="O21" t="s">
        <v>243</v>
      </c>
      <c r="P21" s="78">
        <v>45353</v>
      </c>
      <c r="Q21" t="str">
        <f t="shared" si="0"/>
        <v>Nagy Nóra Bíborka - BHMSE</v>
      </c>
      <c r="R21" t="s">
        <v>636</v>
      </c>
      <c r="S21" t="s">
        <v>636</v>
      </c>
      <c r="T21" t="s">
        <v>644</v>
      </c>
    </row>
    <row r="22" spans="1:20" x14ac:dyDescent="0.3">
      <c r="A22" t="s">
        <v>155</v>
      </c>
      <c r="B22" s="50" t="s">
        <v>157</v>
      </c>
      <c r="C22">
        <v>52</v>
      </c>
      <c r="D22" t="s">
        <v>7</v>
      </c>
      <c r="E22" t="s">
        <v>103</v>
      </c>
      <c r="F22" s="83" t="s">
        <v>489</v>
      </c>
      <c r="G22" s="50">
        <v>2</v>
      </c>
      <c r="H22" t="s">
        <v>43</v>
      </c>
      <c r="I22" s="50">
        <v>2</v>
      </c>
      <c r="J22" t="s">
        <v>105</v>
      </c>
      <c r="K22" t="s">
        <v>82</v>
      </c>
      <c r="L22" t="s">
        <v>12</v>
      </c>
      <c r="M22">
        <v>0</v>
      </c>
      <c r="O22" t="s">
        <v>243</v>
      </c>
      <c r="P22" s="78">
        <v>45353</v>
      </c>
      <c r="Q22" t="str">
        <f t="shared" si="0"/>
        <v>Bihari Lili - Bátor KSE</v>
      </c>
      <c r="R22" t="s">
        <v>636</v>
      </c>
      <c r="S22" t="s">
        <v>636</v>
      </c>
      <c r="T22" t="s">
        <v>644</v>
      </c>
    </row>
    <row r="23" spans="1:20" x14ac:dyDescent="0.3">
      <c r="A23" t="s">
        <v>155</v>
      </c>
      <c r="B23" s="50" t="s">
        <v>157</v>
      </c>
      <c r="C23">
        <v>53</v>
      </c>
      <c r="D23" t="s">
        <v>7</v>
      </c>
      <c r="E23" t="s">
        <v>106</v>
      </c>
      <c r="F23" s="83" t="s">
        <v>490</v>
      </c>
      <c r="G23" s="50">
        <v>4</v>
      </c>
      <c r="H23" t="s">
        <v>58</v>
      </c>
      <c r="I23" s="50">
        <v>1</v>
      </c>
      <c r="J23" t="s">
        <v>107</v>
      </c>
      <c r="K23" t="s">
        <v>35</v>
      </c>
      <c r="L23" t="s">
        <v>12</v>
      </c>
      <c r="M23">
        <v>12</v>
      </c>
      <c r="O23" t="s">
        <v>243</v>
      </c>
      <c r="P23" s="78">
        <v>45353</v>
      </c>
      <c r="Q23" t="str">
        <f t="shared" si="0"/>
        <v>Litvák Lili - KHSE</v>
      </c>
      <c r="R23" t="s">
        <v>636</v>
      </c>
      <c r="S23" t="s">
        <v>636</v>
      </c>
      <c r="T23" t="s">
        <v>644</v>
      </c>
    </row>
    <row r="24" spans="1:20" x14ac:dyDescent="0.3">
      <c r="A24" t="s">
        <v>155</v>
      </c>
      <c r="B24" s="50" t="s">
        <v>157</v>
      </c>
      <c r="C24">
        <v>54</v>
      </c>
      <c r="D24" t="s">
        <v>7</v>
      </c>
      <c r="E24" t="s">
        <v>106</v>
      </c>
      <c r="F24" s="83" t="s">
        <v>490</v>
      </c>
      <c r="G24" s="50">
        <v>4</v>
      </c>
      <c r="H24" t="s">
        <v>58</v>
      </c>
      <c r="I24" s="50">
        <v>2</v>
      </c>
      <c r="J24" t="s">
        <v>108</v>
      </c>
      <c r="K24" t="s">
        <v>109</v>
      </c>
      <c r="L24" t="s">
        <v>12</v>
      </c>
      <c r="M24">
        <v>9</v>
      </c>
      <c r="O24" t="s">
        <v>243</v>
      </c>
      <c r="P24" s="78">
        <v>45353</v>
      </c>
      <c r="Q24" t="str">
        <f t="shared" si="0"/>
        <v>Csivincsik Adél - Tekeres SK</v>
      </c>
      <c r="R24" t="s">
        <v>637</v>
      </c>
      <c r="S24" t="s">
        <v>350</v>
      </c>
      <c r="T24" t="s">
        <v>644</v>
      </c>
    </row>
    <row r="25" spans="1:20" x14ac:dyDescent="0.3">
      <c r="A25" t="s">
        <v>155</v>
      </c>
      <c r="B25" s="50" t="s">
        <v>157</v>
      </c>
      <c r="C25">
        <v>55</v>
      </c>
      <c r="D25" t="s">
        <v>7</v>
      </c>
      <c r="E25" t="s">
        <v>106</v>
      </c>
      <c r="F25" s="83" t="s">
        <v>490</v>
      </c>
      <c r="G25" s="50">
        <v>4</v>
      </c>
      <c r="H25" t="s">
        <v>58</v>
      </c>
      <c r="I25" s="50">
        <v>3</v>
      </c>
      <c r="J25" t="s">
        <v>110</v>
      </c>
      <c r="K25" t="s">
        <v>35</v>
      </c>
      <c r="L25" t="s">
        <v>12</v>
      </c>
      <c r="M25">
        <v>6</v>
      </c>
      <c r="O25" t="s">
        <v>243</v>
      </c>
      <c r="P25" s="78">
        <v>45353</v>
      </c>
      <c r="Q25" t="str">
        <f t="shared" si="0"/>
        <v>Gyenge Judit - KHSE</v>
      </c>
      <c r="R25" t="s">
        <v>636</v>
      </c>
      <c r="S25" t="s">
        <v>636</v>
      </c>
      <c r="T25" t="s">
        <v>644</v>
      </c>
    </row>
    <row r="26" spans="1:20" x14ac:dyDescent="0.3">
      <c r="A26" t="s">
        <v>155</v>
      </c>
      <c r="B26" s="50" t="s">
        <v>157</v>
      </c>
      <c r="C26">
        <v>56</v>
      </c>
      <c r="D26" t="s">
        <v>7</v>
      </c>
      <c r="E26" t="s">
        <v>111</v>
      </c>
      <c r="F26" s="83" t="s">
        <v>491</v>
      </c>
      <c r="G26" s="50">
        <v>3</v>
      </c>
      <c r="H26" t="s">
        <v>49</v>
      </c>
      <c r="I26" s="50">
        <v>1</v>
      </c>
      <c r="J26" t="s">
        <v>112</v>
      </c>
      <c r="K26" t="s">
        <v>87</v>
      </c>
      <c r="L26" t="s">
        <v>12</v>
      </c>
      <c r="M26">
        <v>10</v>
      </c>
      <c r="O26" t="s">
        <v>243</v>
      </c>
      <c r="P26" s="78">
        <v>45353</v>
      </c>
      <c r="Q26" t="str">
        <f t="shared" si="0"/>
        <v>Mező Lili - Victory</v>
      </c>
      <c r="R26" t="s">
        <v>636</v>
      </c>
      <c r="S26" t="s">
        <v>636</v>
      </c>
      <c r="T26" t="s">
        <v>644</v>
      </c>
    </row>
    <row r="27" spans="1:20" x14ac:dyDescent="0.3">
      <c r="A27" t="s">
        <v>155</v>
      </c>
      <c r="B27" s="50" t="s">
        <v>157</v>
      </c>
      <c r="C27">
        <v>57</v>
      </c>
      <c r="D27" t="s">
        <v>7</v>
      </c>
      <c r="E27" t="s">
        <v>111</v>
      </c>
      <c r="F27" s="83" t="s">
        <v>491</v>
      </c>
      <c r="G27" s="50">
        <v>3</v>
      </c>
      <c r="H27" t="s">
        <v>49</v>
      </c>
      <c r="I27" s="50">
        <v>2</v>
      </c>
      <c r="J27" t="s">
        <v>113</v>
      </c>
      <c r="K27" t="s">
        <v>98</v>
      </c>
      <c r="L27" t="s">
        <v>12</v>
      </c>
      <c r="M27">
        <v>6</v>
      </c>
      <c r="O27" t="s">
        <v>243</v>
      </c>
      <c r="P27" s="78">
        <v>45353</v>
      </c>
      <c r="Q27" t="str">
        <f t="shared" si="0"/>
        <v xml:space="preserve">Polák Leila - TADASHII </v>
      </c>
      <c r="R27" t="s">
        <v>637</v>
      </c>
      <c r="S27" t="s">
        <v>170</v>
      </c>
      <c r="T27" t="s">
        <v>644</v>
      </c>
    </row>
    <row r="28" spans="1:20" x14ac:dyDescent="0.3">
      <c r="A28" t="s">
        <v>155</v>
      </c>
      <c r="B28" s="50" t="s">
        <v>157</v>
      </c>
      <c r="C28">
        <v>58</v>
      </c>
      <c r="D28" t="s">
        <v>7</v>
      </c>
      <c r="E28" t="s">
        <v>111</v>
      </c>
      <c r="F28" s="83" t="s">
        <v>491</v>
      </c>
      <c r="G28" s="50">
        <v>3</v>
      </c>
      <c r="H28" t="s">
        <v>49</v>
      </c>
      <c r="I28" s="50">
        <v>3</v>
      </c>
      <c r="J28" t="s">
        <v>114</v>
      </c>
      <c r="K28" t="s">
        <v>11</v>
      </c>
      <c r="L28" t="s">
        <v>12</v>
      </c>
      <c r="M28">
        <v>0</v>
      </c>
      <c r="N28" t="s">
        <v>158</v>
      </c>
      <c r="O28" t="s">
        <v>243</v>
      </c>
      <c r="P28" s="78">
        <v>45353</v>
      </c>
      <c r="Q28" t="str">
        <f t="shared" si="0"/>
        <v>Fehér Eszter - Spirit SE.</v>
      </c>
      <c r="R28" t="s">
        <v>636</v>
      </c>
      <c r="S28" t="s">
        <v>636</v>
      </c>
      <c r="T28" t="s">
        <v>644</v>
      </c>
    </row>
    <row r="29" spans="1:20" x14ac:dyDescent="0.3">
      <c r="A29" t="s">
        <v>155</v>
      </c>
      <c r="B29" s="50" t="s">
        <v>157</v>
      </c>
      <c r="C29">
        <v>59</v>
      </c>
      <c r="D29" t="s">
        <v>7</v>
      </c>
      <c r="E29" t="s">
        <v>115</v>
      </c>
      <c r="F29" s="83" t="s">
        <v>492</v>
      </c>
      <c r="G29" s="50">
        <v>4</v>
      </c>
      <c r="H29" t="s">
        <v>58</v>
      </c>
      <c r="I29" s="50">
        <v>1</v>
      </c>
      <c r="J29" t="s">
        <v>116</v>
      </c>
      <c r="K29" t="s">
        <v>117</v>
      </c>
      <c r="L29" t="s">
        <v>12</v>
      </c>
      <c r="M29">
        <v>12</v>
      </c>
      <c r="O29" t="s">
        <v>243</v>
      </c>
      <c r="P29" s="78">
        <v>45353</v>
      </c>
      <c r="Q29" t="str">
        <f t="shared" si="0"/>
        <v>Bóka Viktória - Griff SE</v>
      </c>
      <c r="R29" t="s">
        <v>636</v>
      </c>
      <c r="S29" t="s">
        <v>636</v>
      </c>
      <c r="T29" t="s">
        <v>644</v>
      </c>
    </row>
    <row r="30" spans="1:20" x14ac:dyDescent="0.3">
      <c r="A30" t="s">
        <v>155</v>
      </c>
      <c r="B30" s="50" t="s">
        <v>157</v>
      </c>
      <c r="C30">
        <v>60</v>
      </c>
      <c r="D30" t="s">
        <v>7</v>
      </c>
      <c r="E30" t="s">
        <v>115</v>
      </c>
      <c r="F30" s="83" t="s">
        <v>492</v>
      </c>
      <c r="G30" s="50">
        <v>4</v>
      </c>
      <c r="H30" t="s">
        <v>58</v>
      </c>
      <c r="I30" s="50">
        <v>2</v>
      </c>
      <c r="J30" t="s">
        <v>118</v>
      </c>
      <c r="K30" t="s">
        <v>82</v>
      </c>
      <c r="L30" t="s">
        <v>12</v>
      </c>
      <c r="M30">
        <v>9</v>
      </c>
      <c r="O30" t="s">
        <v>243</v>
      </c>
      <c r="P30" s="78">
        <v>45353</v>
      </c>
      <c r="Q30" t="str">
        <f t="shared" si="0"/>
        <v>Kerezsi Csenge - Bátor KSE</v>
      </c>
      <c r="R30" t="s">
        <v>636</v>
      </c>
      <c r="S30" t="s">
        <v>636</v>
      </c>
      <c r="T30" t="s">
        <v>644</v>
      </c>
    </row>
    <row r="31" spans="1:20" x14ac:dyDescent="0.3">
      <c r="A31" t="s">
        <v>155</v>
      </c>
      <c r="B31" s="50" t="s">
        <v>157</v>
      </c>
      <c r="C31">
        <v>61</v>
      </c>
      <c r="D31" t="s">
        <v>7</v>
      </c>
      <c r="E31" t="s">
        <v>115</v>
      </c>
      <c r="F31" s="83" t="s">
        <v>492</v>
      </c>
      <c r="G31" s="50">
        <v>4</v>
      </c>
      <c r="H31" t="s">
        <v>58</v>
      </c>
      <c r="I31" s="50">
        <v>3</v>
      </c>
      <c r="J31" t="s">
        <v>119</v>
      </c>
      <c r="K31" t="s">
        <v>35</v>
      </c>
      <c r="L31" t="s">
        <v>12</v>
      </c>
      <c r="M31">
        <v>6</v>
      </c>
      <c r="O31" t="s">
        <v>243</v>
      </c>
      <c r="P31" s="78">
        <v>45353</v>
      </c>
      <c r="Q31" t="str">
        <f t="shared" si="0"/>
        <v>Puskás Fruzsina - KHSE</v>
      </c>
      <c r="R31" t="s">
        <v>636</v>
      </c>
      <c r="S31" t="s">
        <v>636</v>
      </c>
      <c r="T31" t="s">
        <v>644</v>
      </c>
    </row>
    <row r="32" spans="1:20" x14ac:dyDescent="0.3">
      <c r="A32" t="s">
        <v>155</v>
      </c>
      <c r="B32" s="50" t="s">
        <v>157</v>
      </c>
      <c r="C32">
        <v>62</v>
      </c>
      <c r="D32" t="s">
        <v>7</v>
      </c>
      <c r="E32" t="s">
        <v>120</v>
      </c>
      <c r="F32" s="83" t="s">
        <v>493</v>
      </c>
      <c r="G32" s="50">
        <v>5</v>
      </c>
      <c r="H32" t="s">
        <v>9</v>
      </c>
      <c r="I32" s="50">
        <v>1</v>
      </c>
      <c r="J32" t="s">
        <v>121</v>
      </c>
      <c r="K32" t="s">
        <v>87</v>
      </c>
      <c r="L32" t="s">
        <v>12</v>
      </c>
      <c r="M32">
        <v>14</v>
      </c>
      <c r="O32" t="s">
        <v>243</v>
      </c>
      <c r="P32" s="78">
        <v>45353</v>
      </c>
      <c r="Q32" t="str">
        <f t="shared" si="0"/>
        <v>Tóth Csenge - Victory</v>
      </c>
      <c r="R32" t="s">
        <v>636</v>
      </c>
      <c r="S32" t="s">
        <v>636</v>
      </c>
      <c r="T32" t="s">
        <v>644</v>
      </c>
    </row>
    <row r="33" spans="1:20" x14ac:dyDescent="0.3">
      <c r="A33" t="s">
        <v>155</v>
      </c>
      <c r="B33" s="50" t="s">
        <v>157</v>
      </c>
      <c r="C33">
        <v>63</v>
      </c>
      <c r="D33" t="s">
        <v>7</v>
      </c>
      <c r="E33" t="s">
        <v>120</v>
      </c>
      <c r="F33" s="83" t="s">
        <v>493</v>
      </c>
      <c r="G33" s="50">
        <v>5</v>
      </c>
      <c r="H33" t="s">
        <v>9</v>
      </c>
      <c r="I33" s="50">
        <v>2</v>
      </c>
      <c r="J33" t="s">
        <v>122</v>
      </c>
      <c r="K33" t="s">
        <v>47</v>
      </c>
      <c r="L33" t="s">
        <v>12</v>
      </c>
      <c r="M33">
        <v>11</v>
      </c>
      <c r="O33" t="s">
        <v>243</v>
      </c>
      <c r="P33" s="78">
        <v>45353</v>
      </c>
      <c r="Q33" t="str">
        <f t="shared" si="0"/>
        <v>Gergely Henrietta - BHMSE</v>
      </c>
      <c r="R33" t="s">
        <v>636</v>
      </c>
      <c r="S33" t="s">
        <v>636</v>
      </c>
      <c r="T33" t="s">
        <v>644</v>
      </c>
    </row>
    <row r="34" spans="1:20" x14ac:dyDescent="0.3">
      <c r="A34" t="s">
        <v>155</v>
      </c>
      <c r="B34" s="50" t="s">
        <v>157</v>
      </c>
      <c r="C34">
        <v>64</v>
      </c>
      <c r="D34" t="s">
        <v>7</v>
      </c>
      <c r="E34" t="s">
        <v>120</v>
      </c>
      <c r="F34" s="83" t="s">
        <v>493</v>
      </c>
      <c r="G34" s="50">
        <v>5</v>
      </c>
      <c r="H34" t="s">
        <v>9</v>
      </c>
      <c r="I34" s="50">
        <v>3</v>
      </c>
      <c r="J34" t="s">
        <v>123</v>
      </c>
      <c r="K34" t="s">
        <v>35</v>
      </c>
      <c r="L34" t="s">
        <v>12</v>
      </c>
      <c r="M34">
        <v>8</v>
      </c>
      <c r="O34" t="s">
        <v>243</v>
      </c>
      <c r="P34" s="78">
        <v>45353</v>
      </c>
      <c r="Q34" t="str">
        <f t="shared" si="0"/>
        <v>Fejes Hanna - KHSE</v>
      </c>
      <c r="R34" t="s">
        <v>636</v>
      </c>
      <c r="S34" t="s">
        <v>636</v>
      </c>
      <c r="T34" t="s">
        <v>644</v>
      </c>
    </row>
    <row r="35" spans="1:20" x14ac:dyDescent="0.3">
      <c r="A35" t="s">
        <v>155</v>
      </c>
      <c r="B35" s="50" t="s">
        <v>157</v>
      </c>
      <c r="C35" s="79" t="s">
        <v>161</v>
      </c>
      <c r="D35" t="s">
        <v>7</v>
      </c>
      <c r="E35" t="s">
        <v>120</v>
      </c>
      <c r="F35" s="83" t="s">
        <v>493</v>
      </c>
      <c r="G35" s="50">
        <v>5</v>
      </c>
      <c r="H35" t="s">
        <v>9</v>
      </c>
      <c r="I35" s="50">
        <v>4</v>
      </c>
      <c r="J35" t="s">
        <v>159</v>
      </c>
      <c r="K35" t="s">
        <v>14</v>
      </c>
      <c r="L35" t="s">
        <v>12</v>
      </c>
      <c r="M35">
        <v>6</v>
      </c>
      <c r="N35" t="s">
        <v>172</v>
      </c>
      <c r="O35" t="s">
        <v>243</v>
      </c>
      <c r="P35" s="78">
        <v>45353</v>
      </c>
      <c r="Q35" t="str">
        <f t="shared" si="0"/>
        <v>Mészáros Mercédesz  - Shogun</v>
      </c>
      <c r="R35" t="s">
        <v>636</v>
      </c>
      <c r="S35" t="s">
        <v>636</v>
      </c>
      <c r="T35" t="s">
        <v>644</v>
      </c>
    </row>
    <row r="36" spans="1:20" x14ac:dyDescent="0.3">
      <c r="A36" t="s">
        <v>155</v>
      </c>
      <c r="B36" s="50" t="s">
        <v>157</v>
      </c>
      <c r="C36">
        <v>15</v>
      </c>
      <c r="D36" t="s">
        <v>126</v>
      </c>
      <c r="E36" t="s">
        <v>136</v>
      </c>
      <c r="F36" s="83" t="s">
        <v>494</v>
      </c>
      <c r="G36" s="50">
        <v>7</v>
      </c>
      <c r="H36" t="s">
        <v>137</v>
      </c>
      <c r="I36" s="50">
        <v>1</v>
      </c>
      <c r="J36" t="s">
        <v>113</v>
      </c>
      <c r="K36" t="s">
        <v>98</v>
      </c>
      <c r="L36" t="s">
        <v>12</v>
      </c>
      <c r="M36">
        <v>8</v>
      </c>
      <c r="N36" t="s">
        <v>239</v>
      </c>
      <c r="O36" t="s">
        <v>243</v>
      </c>
      <c r="P36" s="78">
        <v>45353</v>
      </c>
      <c r="Q36" t="str">
        <f t="shared" si="0"/>
        <v xml:space="preserve">Polák Leila - TADASHII </v>
      </c>
      <c r="R36" t="s">
        <v>637</v>
      </c>
      <c r="S36" t="s">
        <v>170</v>
      </c>
      <c r="T36" t="s">
        <v>644</v>
      </c>
    </row>
    <row r="37" spans="1:20" x14ac:dyDescent="0.3">
      <c r="A37" t="s">
        <v>155</v>
      </c>
      <c r="B37" s="50" t="s">
        <v>157</v>
      </c>
      <c r="C37">
        <v>16</v>
      </c>
      <c r="D37" t="s">
        <v>126</v>
      </c>
      <c r="E37" t="s">
        <v>136</v>
      </c>
      <c r="F37" s="83" t="s">
        <v>494</v>
      </c>
      <c r="G37" s="50">
        <v>7</v>
      </c>
      <c r="H37" t="s">
        <v>137</v>
      </c>
      <c r="I37" s="50">
        <v>2</v>
      </c>
      <c r="J37" t="s">
        <v>138</v>
      </c>
      <c r="K37" t="s">
        <v>14</v>
      </c>
      <c r="L37" t="s">
        <v>12</v>
      </c>
      <c r="M37">
        <v>6</v>
      </c>
      <c r="N37" t="s">
        <v>239</v>
      </c>
      <c r="O37" t="s">
        <v>243</v>
      </c>
      <c r="P37" s="78">
        <v>45353</v>
      </c>
      <c r="Q37" t="str">
        <f t="shared" si="0"/>
        <v>Balázs Panni - Shogun</v>
      </c>
      <c r="R37" t="s">
        <v>636</v>
      </c>
      <c r="S37" t="s">
        <v>636</v>
      </c>
      <c r="T37" t="s">
        <v>644</v>
      </c>
    </row>
    <row r="38" spans="1:20" x14ac:dyDescent="0.3">
      <c r="A38" t="s">
        <v>155</v>
      </c>
      <c r="B38" s="50" t="s">
        <v>157</v>
      </c>
      <c r="C38">
        <v>17</v>
      </c>
      <c r="D38" t="s">
        <v>126</v>
      </c>
      <c r="E38" t="s">
        <v>136</v>
      </c>
      <c r="F38" s="83" t="s">
        <v>494</v>
      </c>
      <c r="G38" s="50">
        <v>7</v>
      </c>
      <c r="H38" t="s">
        <v>137</v>
      </c>
      <c r="I38" s="50">
        <v>3</v>
      </c>
      <c r="J38" t="s">
        <v>139</v>
      </c>
      <c r="K38" t="s">
        <v>14</v>
      </c>
      <c r="L38" t="s">
        <v>12</v>
      </c>
      <c r="M38">
        <v>4</v>
      </c>
      <c r="N38" t="s">
        <v>239</v>
      </c>
      <c r="O38" t="s">
        <v>243</v>
      </c>
      <c r="P38" s="78">
        <v>45353</v>
      </c>
      <c r="Q38" t="str">
        <f t="shared" si="0"/>
        <v>Berencsi Tímea - Shogun</v>
      </c>
      <c r="R38" t="s">
        <v>636</v>
      </c>
      <c r="S38" t="s">
        <v>636</v>
      </c>
      <c r="T38" t="s">
        <v>644</v>
      </c>
    </row>
    <row r="39" spans="1:20" x14ac:dyDescent="0.3">
      <c r="A39" t="s">
        <v>155</v>
      </c>
      <c r="B39" s="50" t="s">
        <v>157</v>
      </c>
      <c r="C39">
        <v>18</v>
      </c>
      <c r="D39" t="s">
        <v>126</v>
      </c>
      <c r="E39" t="s">
        <v>136</v>
      </c>
      <c r="F39" s="83" t="s">
        <v>494</v>
      </c>
      <c r="G39" s="50">
        <v>7</v>
      </c>
      <c r="H39" t="s">
        <v>137</v>
      </c>
      <c r="I39" s="50">
        <v>4</v>
      </c>
      <c r="J39" t="s">
        <v>140</v>
      </c>
      <c r="K39" t="s">
        <v>14</v>
      </c>
      <c r="L39" t="s">
        <v>12</v>
      </c>
      <c r="M39">
        <v>3</v>
      </c>
      <c r="N39" t="s">
        <v>239</v>
      </c>
      <c r="O39" t="s">
        <v>243</v>
      </c>
      <c r="P39" s="78">
        <v>45353</v>
      </c>
      <c r="Q39" t="str">
        <f t="shared" si="0"/>
        <v>Sólyom Anna - Shogun</v>
      </c>
      <c r="R39" t="s">
        <v>636</v>
      </c>
      <c r="S39" t="s">
        <v>636</v>
      </c>
      <c r="T39" t="s">
        <v>644</v>
      </c>
    </row>
    <row r="40" spans="1:20" x14ac:dyDescent="0.3">
      <c r="A40" t="s">
        <v>155</v>
      </c>
      <c r="B40" s="50" t="s">
        <v>157</v>
      </c>
      <c r="C40">
        <v>19</v>
      </c>
      <c r="D40" t="s">
        <v>126</v>
      </c>
      <c r="E40" t="s">
        <v>136</v>
      </c>
      <c r="F40" s="83" t="s">
        <v>494</v>
      </c>
      <c r="G40" s="50">
        <v>7</v>
      </c>
      <c r="H40" t="s">
        <v>137</v>
      </c>
      <c r="I40" s="50">
        <v>5</v>
      </c>
      <c r="J40" t="s">
        <v>107</v>
      </c>
      <c r="K40" t="s">
        <v>35</v>
      </c>
      <c r="L40" t="s">
        <v>12</v>
      </c>
      <c r="M40">
        <v>0</v>
      </c>
      <c r="N40" t="s">
        <v>158</v>
      </c>
      <c r="O40" t="s">
        <v>243</v>
      </c>
      <c r="P40" s="78">
        <v>45353</v>
      </c>
      <c r="Q40" t="str">
        <f t="shared" si="0"/>
        <v>Litvák Lili - KHSE</v>
      </c>
      <c r="R40" t="s">
        <v>636</v>
      </c>
      <c r="S40" t="s">
        <v>636</v>
      </c>
      <c r="T40" t="s">
        <v>644</v>
      </c>
    </row>
    <row r="41" spans="1:20" x14ac:dyDescent="0.3">
      <c r="A41" t="s">
        <v>155</v>
      </c>
      <c r="B41" s="50" t="s">
        <v>157</v>
      </c>
      <c r="C41">
        <v>20</v>
      </c>
      <c r="D41" t="s">
        <v>126</v>
      </c>
      <c r="E41" t="s">
        <v>136</v>
      </c>
      <c r="F41" s="83" t="s">
        <v>494</v>
      </c>
      <c r="G41" s="50">
        <v>7</v>
      </c>
      <c r="H41" t="s">
        <v>137</v>
      </c>
      <c r="I41" s="50">
        <v>6</v>
      </c>
      <c r="J41" t="s">
        <v>141</v>
      </c>
      <c r="K41" t="s">
        <v>151</v>
      </c>
      <c r="L41" t="s">
        <v>12</v>
      </c>
      <c r="M41">
        <v>0</v>
      </c>
      <c r="N41" t="s">
        <v>158</v>
      </c>
      <c r="O41" t="s">
        <v>243</v>
      </c>
      <c r="P41" s="78">
        <v>45353</v>
      </c>
      <c r="Q41" t="str">
        <f t="shared" si="0"/>
        <v>Bánszki Eszter - KYO Fighter SE</v>
      </c>
      <c r="R41" t="s">
        <v>636</v>
      </c>
      <c r="S41" t="s">
        <v>636</v>
      </c>
      <c r="T41" t="s">
        <v>644</v>
      </c>
    </row>
    <row r="42" spans="1:20" x14ac:dyDescent="0.3">
      <c r="A42" t="s">
        <v>155</v>
      </c>
      <c r="B42" s="50" t="s">
        <v>157</v>
      </c>
      <c r="C42">
        <v>21</v>
      </c>
      <c r="D42" t="s">
        <v>126</v>
      </c>
      <c r="E42" t="s">
        <v>136</v>
      </c>
      <c r="F42" s="83" t="s">
        <v>494</v>
      </c>
      <c r="G42" s="50">
        <v>7</v>
      </c>
      <c r="H42" t="s">
        <v>137</v>
      </c>
      <c r="I42" s="50">
        <v>7</v>
      </c>
      <c r="J42" t="s">
        <v>142</v>
      </c>
      <c r="K42" t="s">
        <v>26</v>
      </c>
      <c r="L42" t="s">
        <v>12</v>
      </c>
      <c r="M42">
        <v>0</v>
      </c>
      <c r="N42" t="s">
        <v>158</v>
      </c>
      <c r="O42" t="s">
        <v>243</v>
      </c>
      <c r="P42" s="78">
        <v>45353</v>
      </c>
      <c r="Q42" t="str">
        <f t="shared" si="0"/>
        <v>Hardi Laura - Siófok KSE</v>
      </c>
      <c r="R42" t="s">
        <v>636</v>
      </c>
      <c r="S42" t="s">
        <v>636</v>
      </c>
      <c r="T42" t="s">
        <v>644</v>
      </c>
    </row>
    <row r="43" spans="1:20" x14ac:dyDescent="0.3">
      <c r="A43" t="s">
        <v>155</v>
      </c>
      <c r="B43" s="50" t="s">
        <v>157</v>
      </c>
      <c r="C43">
        <v>22</v>
      </c>
      <c r="D43" t="s">
        <v>126</v>
      </c>
      <c r="E43" t="s">
        <v>143</v>
      </c>
      <c r="F43" s="83" t="s">
        <v>495</v>
      </c>
      <c r="G43" s="50">
        <v>6</v>
      </c>
      <c r="H43" t="s">
        <v>137</v>
      </c>
      <c r="I43" s="50">
        <v>1</v>
      </c>
      <c r="J43" t="s">
        <v>144</v>
      </c>
      <c r="K43" t="s">
        <v>333</v>
      </c>
      <c r="L43" t="s">
        <v>12</v>
      </c>
      <c r="M43">
        <v>8</v>
      </c>
      <c r="O43" t="s">
        <v>243</v>
      </c>
      <c r="P43" s="78">
        <v>45353</v>
      </c>
      <c r="Q43" t="str">
        <f t="shared" si="0"/>
        <v xml:space="preserve">Vastag Adrián - Renmei se </v>
      </c>
      <c r="R43" t="s">
        <v>636</v>
      </c>
      <c r="S43" t="s">
        <v>636</v>
      </c>
      <c r="T43" t="s">
        <v>644</v>
      </c>
    </row>
    <row r="44" spans="1:20" x14ac:dyDescent="0.3">
      <c r="A44" t="s">
        <v>155</v>
      </c>
      <c r="B44" s="50" t="s">
        <v>157</v>
      </c>
      <c r="C44">
        <v>23</v>
      </c>
      <c r="D44" t="s">
        <v>126</v>
      </c>
      <c r="E44" t="s">
        <v>143</v>
      </c>
      <c r="F44" s="83" t="s">
        <v>495</v>
      </c>
      <c r="G44" s="50">
        <v>6</v>
      </c>
      <c r="H44" t="s">
        <v>137</v>
      </c>
      <c r="I44" s="50">
        <v>2</v>
      </c>
      <c r="J44" t="s">
        <v>145</v>
      </c>
      <c r="K44" t="s">
        <v>98</v>
      </c>
      <c r="L44" t="s">
        <v>12</v>
      </c>
      <c r="M44">
        <v>6</v>
      </c>
      <c r="O44" t="s">
        <v>243</v>
      </c>
      <c r="P44" s="78">
        <v>45353</v>
      </c>
      <c r="Q44" t="str">
        <f t="shared" si="0"/>
        <v xml:space="preserve">Pápai Balázs - TADASHII </v>
      </c>
      <c r="R44" t="s">
        <v>637</v>
      </c>
      <c r="S44" t="s">
        <v>170</v>
      </c>
      <c r="T44" t="s">
        <v>644</v>
      </c>
    </row>
    <row r="45" spans="1:20" x14ac:dyDescent="0.3">
      <c r="A45" t="s">
        <v>155</v>
      </c>
      <c r="B45" s="50" t="s">
        <v>157</v>
      </c>
      <c r="C45">
        <v>24</v>
      </c>
      <c r="D45" t="s">
        <v>126</v>
      </c>
      <c r="E45" t="s">
        <v>143</v>
      </c>
      <c r="F45" s="83" t="s">
        <v>495</v>
      </c>
      <c r="G45" s="50">
        <v>6</v>
      </c>
      <c r="H45" t="s">
        <v>137</v>
      </c>
      <c r="I45" s="50">
        <v>3</v>
      </c>
      <c r="J45" t="s">
        <v>77</v>
      </c>
      <c r="K45" t="s">
        <v>51</v>
      </c>
      <c r="L45" t="s">
        <v>12</v>
      </c>
      <c r="M45">
        <v>4</v>
      </c>
      <c r="O45" t="s">
        <v>243</v>
      </c>
      <c r="P45" s="78">
        <v>45353</v>
      </c>
      <c r="Q45" t="str">
        <f t="shared" si="0"/>
        <v>Soltész Szabolcs - Kisvárda KKDOSC</v>
      </c>
      <c r="R45" t="s">
        <v>636</v>
      </c>
      <c r="S45" t="s">
        <v>636</v>
      </c>
      <c r="T45" t="s">
        <v>644</v>
      </c>
    </row>
    <row r="46" spans="1:20" x14ac:dyDescent="0.3">
      <c r="A46" t="s">
        <v>155</v>
      </c>
      <c r="B46" s="50" t="s">
        <v>157</v>
      </c>
      <c r="C46">
        <v>25</v>
      </c>
      <c r="D46" t="s">
        <v>126</v>
      </c>
      <c r="E46" t="s">
        <v>143</v>
      </c>
      <c r="F46" s="83" t="s">
        <v>495</v>
      </c>
      <c r="G46" s="50">
        <v>6</v>
      </c>
      <c r="H46" t="s">
        <v>137</v>
      </c>
      <c r="I46" s="50">
        <v>4</v>
      </c>
      <c r="J46" t="s">
        <v>146</v>
      </c>
      <c r="K46" t="s">
        <v>98</v>
      </c>
      <c r="L46" t="s">
        <v>12</v>
      </c>
      <c r="M46">
        <v>0</v>
      </c>
      <c r="N46" t="s">
        <v>158</v>
      </c>
      <c r="O46" t="s">
        <v>243</v>
      </c>
      <c r="P46" s="78">
        <v>45353</v>
      </c>
      <c r="Q46" t="str">
        <f t="shared" si="0"/>
        <v xml:space="preserve">Tóth Péter - TADASHII </v>
      </c>
      <c r="R46" t="s">
        <v>637</v>
      </c>
      <c r="S46" t="s">
        <v>170</v>
      </c>
      <c r="T46" t="s">
        <v>644</v>
      </c>
    </row>
    <row r="47" spans="1:20" x14ac:dyDescent="0.3">
      <c r="A47" t="s">
        <v>155</v>
      </c>
      <c r="B47" s="50" t="s">
        <v>157</v>
      </c>
      <c r="C47">
        <v>26</v>
      </c>
      <c r="D47" t="s">
        <v>126</v>
      </c>
      <c r="E47" t="s">
        <v>143</v>
      </c>
      <c r="F47" s="83" t="s">
        <v>495</v>
      </c>
      <c r="G47" s="50">
        <v>6</v>
      </c>
      <c r="H47" t="s">
        <v>137</v>
      </c>
      <c r="I47" s="50">
        <v>5</v>
      </c>
      <c r="J47" t="s">
        <v>147</v>
      </c>
      <c r="K47" t="s">
        <v>39</v>
      </c>
      <c r="L47" t="s">
        <v>12</v>
      </c>
      <c r="M47">
        <v>0</v>
      </c>
      <c r="N47" t="s">
        <v>158</v>
      </c>
      <c r="O47" t="s">
        <v>243</v>
      </c>
      <c r="P47" s="78">
        <v>45353</v>
      </c>
      <c r="Q47" t="str">
        <f t="shared" si="0"/>
        <v>Bendiák Soma - Bendiák Dojo</v>
      </c>
      <c r="R47" t="s">
        <v>636</v>
      </c>
      <c r="S47" t="s">
        <v>636</v>
      </c>
      <c r="T47" t="s">
        <v>644</v>
      </c>
    </row>
    <row r="48" spans="1:20" x14ac:dyDescent="0.3">
      <c r="A48" t="s">
        <v>155</v>
      </c>
      <c r="B48" s="50" t="s">
        <v>157</v>
      </c>
      <c r="C48">
        <v>27</v>
      </c>
      <c r="D48" t="s">
        <v>126</v>
      </c>
      <c r="E48" t="s">
        <v>143</v>
      </c>
      <c r="F48" s="83" t="s">
        <v>495</v>
      </c>
      <c r="G48" s="50">
        <v>6</v>
      </c>
      <c r="H48" t="s">
        <v>137</v>
      </c>
      <c r="I48" s="50">
        <v>6</v>
      </c>
      <c r="J48" t="s">
        <v>148</v>
      </c>
      <c r="K48" t="s">
        <v>150</v>
      </c>
      <c r="L48" t="s">
        <v>12</v>
      </c>
      <c r="M48">
        <v>0</v>
      </c>
      <c r="N48" t="s">
        <v>158</v>
      </c>
      <c r="O48" t="s">
        <v>243</v>
      </c>
      <c r="P48" s="78">
        <v>45353</v>
      </c>
      <c r="Q48" t="str">
        <f t="shared" si="0"/>
        <v>Andrikó Antal - KSE Tarján</v>
      </c>
      <c r="R48" t="s">
        <v>636</v>
      </c>
      <c r="S48" t="s">
        <v>636</v>
      </c>
      <c r="T48" t="s">
        <v>644</v>
      </c>
    </row>
    <row r="49" spans="1:20" x14ac:dyDescent="0.3">
      <c r="A49" t="s">
        <v>156</v>
      </c>
      <c r="B49" s="50" t="s">
        <v>154</v>
      </c>
      <c r="C49">
        <v>1</v>
      </c>
      <c r="D49" t="s">
        <v>7</v>
      </c>
      <c r="E49" t="s">
        <v>8</v>
      </c>
      <c r="F49" s="83" t="s">
        <v>496</v>
      </c>
      <c r="G49" s="50">
        <v>5</v>
      </c>
      <c r="H49" t="s">
        <v>9</v>
      </c>
      <c r="I49" s="50">
        <v>1</v>
      </c>
      <c r="J49" t="s">
        <v>10</v>
      </c>
      <c r="K49" t="s">
        <v>11</v>
      </c>
      <c r="L49" t="s">
        <v>12</v>
      </c>
      <c r="M49">
        <v>10</v>
      </c>
      <c r="O49" t="s">
        <v>243</v>
      </c>
      <c r="P49" s="78">
        <v>45353</v>
      </c>
      <c r="Q49" t="str">
        <f t="shared" si="0"/>
        <v>Pető Zsombor Tamás - Spirit SE.</v>
      </c>
      <c r="R49" t="s">
        <v>636</v>
      </c>
      <c r="S49" t="s">
        <v>636</v>
      </c>
      <c r="T49" t="s">
        <v>645</v>
      </c>
    </row>
    <row r="50" spans="1:20" x14ac:dyDescent="0.3">
      <c r="A50" t="s">
        <v>156</v>
      </c>
      <c r="B50" s="50" t="s">
        <v>154</v>
      </c>
      <c r="C50">
        <v>2</v>
      </c>
      <c r="D50" t="s">
        <v>7</v>
      </c>
      <c r="E50" t="s">
        <v>8</v>
      </c>
      <c r="F50" s="83" t="s">
        <v>496</v>
      </c>
      <c r="G50" s="50">
        <v>5</v>
      </c>
      <c r="H50" t="s">
        <v>9</v>
      </c>
      <c r="I50" s="50">
        <v>2</v>
      </c>
      <c r="J50" t="s">
        <v>13</v>
      </c>
      <c r="K50" t="s">
        <v>14</v>
      </c>
      <c r="L50" t="s">
        <v>12</v>
      </c>
      <c r="M50">
        <v>8</v>
      </c>
      <c r="O50" t="s">
        <v>243</v>
      </c>
      <c r="P50" s="78">
        <v>45353</v>
      </c>
      <c r="Q50" t="str">
        <f t="shared" si="0"/>
        <v>Feczkó Zoltán - Shogun</v>
      </c>
      <c r="R50" t="s">
        <v>636</v>
      </c>
      <c r="S50" t="s">
        <v>636</v>
      </c>
      <c r="T50" t="s">
        <v>645</v>
      </c>
    </row>
    <row r="51" spans="1:20" s="80" customFormat="1" x14ac:dyDescent="0.3">
      <c r="A51" t="s">
        <v>156</v>
      </c>
      <c r="B51" s="50" t="s">
        <v>154</v>
      </c>
      <c r="C51">
        <v>3</v>
      </c>
      <c r="D51" t="s">
        <v>7</v>
      </c>
      <c r="E51" t="s">
        <v>8</v>
      </c>
      <c r="F51" s="83" t="s">
        <v>496</v>
      </c>
      <c r="G51" s="50">
        <v>5</v>
      </c>
      <c r="H51" t="s">
        <v>9</v>
      </c>
      <c r="I51" s="50">
        <v>3</v>
      </c>
      <c r="J51" t="s">
        <v>15</v>
      </c>
      <c r="K51" t="s">
        <v>16</v>
      </c>
      <c r="L51" t="s">
        <v>12</v>
      </c>
      <c r="M51">
        <v>6</v>
      </c>
      <c r="N51"/>
      <c r="O51" t="s">
        <v>243</v>
      </c>
      <c r="P51" s="78">
        <v>45353</v>
      </c>
      <c r="Q51" t="str">
        <f t="shared" si="0"/>
        <v>Breznyiczki Benedek - Nozomu Dojo</v>
      </c>
      <c r="R51" t="s">
        <v>636</v>
      </c>
      <c r="S51" t="s">
        <v>636</v>
      </c>
      <c r="T51" t="s">
        <v>645</v>
      </c>
    </row>
    <row r="52" spans="1:20" s="80" customFormat="1" x14ac:dyDescent="0.3">
      <c r="A52" t="s">
        <v>156</v>
      </c>
      <c r="B52" s="50" t="s">
        <v>154</v>
      </c>
      <c r="C52" s="79" t="s">
        <v>157</v>
      </c>
      <c r="D52" t="s">
        <v>7</v>
      </c>
      <c r="E52" t="s">
        <v>8</v>
      </c>
      <c r="F52" s="83" t="s">
        <v>496</v>
      </c>
      <c r="G52" s="50">
        <v>5</v>
      </c>
      <c r="H52" t="s">
        <v>9</v>
      </c>
      <c r="I52" s="50">
        <v>4</v>
      </c>
      <c r="J52" t="s">
        <v>162</v>
      </c>
      <c r="K52" t="s">
        <v>61</v>
      </c>
      <c r="L52" t="s">
        <v>12</v>
      </c>
      <c r="M52">
        <v>4</v>
      </c>
      <c r="N52" t="s">
        <v>160</v>
      </c>
      <c r="O52" t="s">
        <v>243</v>
      </c>
      <c r="P52" s="78">
        <v>45353</v>
      </c>
      <c r="Q52" t="str">
        <f t="shared" si="0"/>
        <v>Horváth László - Magna Dojo</v>
      </c>
      <c r="R52" t="s">
        <v>636</v>
      </c>
      <c r="S52" t="s">
        <v>636</v>
      </c>
      <c r="T52" t="s">
        <v>645</v>
      </c>
    </row>
    <row r="53" spans="1:20" s="80" customFormat="1" x14ac:dyDescent="0.3">
      <c r="A53" t="s">
        <v>156</v>
      </c>
      <c r="B53" s="50" t="s">
        <v>154</v>
      </c>
      <c r="C53">
        <v>4</v>
      </c>
      <c r="D53" t="s">
        <v>7</v>
      </c>
      <c r="E53" t="s">
        <v>17</v>
      </c>
      <c r="F53" s="83" t="s">
        <v>497</v>
      </c>
      <c r="G53" s="50">
        <v>8</v>
      </c>
      <c r="H53" t="s">
        <v>18</v>
      </c>
      <c r="I53" s="50">
        <v>1</v>
      </c>
      <c r="J53" t="s">
        <v>19</v>
      </c>
      <c r="K53" t="s">
        <v>14</v>
      </c>
      <c r="L53" t="s">
        <v>12</v>
      </c>
      <c r="M53">
        <v>8</v>
      </c>
      <c r="N53"/>
      <c r="O53" t="s">
        <v>243</v>
      </c>
      <c r="P53" s="78">
        <v>45353</v>
      </c>
      <c r="Q53" t="str">
        <f t="shared" si="0"/>
        <v>Szabó Bence - Shogun</v>
      </c>
      <c r="R53" t="s">
        <v>636</v>
      </c>
      <c r="S53" t="s">
        <v>636</v>
      </c>
      <c r="T53" t="s">
        <v>645</v>
      </c>
    </row>
    <row r="54" spans="1:20" s="80" customFormat="1" x14ac:dyDescent="0.3">
      <c r="A54" t="s">
        <v>156</v>
      </c>
      <c r="B54" s="50" t="s">
        <v>154</v>
      </c>
      <c r="C54">
        <v>5</v>
      </c>
      <c r="D54" t="s">
        <v>7</v>
      </c>
      <c r="E54" t="s">
        <v>17</v>
      </c>
      <c r="F54" s="83" t="s">
        <v>497</v>
      </c>
      <c r="G54" s="50">
        <v>8</v>
      </c>
      <c r="H54" t="s">
        <v>18</v>
      </c>
      <c r="I54" s="50">
        <v>2</v>
      </c>
      <c r="J54" t="s">
        <v>20</v>
      </c>
      <c r="K54" t="s">
        <v>14</v>
      </c>
      <c r="L54" t="s">
        <v>12</v>
      </c>
      <c r="M54">
        <v>6</v>
      </c>
      <c r="N54"/>
      <c r="O54" t="s">
        <v>243</v>
      </c>
      <c r="P54" s="78">
        <v>45353</v>
      </c>
      <c r="Q54" t="str">
        <f t="shared" si="0"/>
        <v>Makay Zétény - Shogun</v>
      </c>
      <c r="R54" t="s">
        <v>636</v>
      </c>
      <c r="S54" t="s">
        <v>636</v>
      </c>
      <c r="T54" t="s">
        <v>645</v>
      </c>
    </row>
    <row r="55" spans="1:20" x14ac:dyDescent="0.3">
      <c r="A55" t="s">
        <v>156</v>
      </c>
      <c r="B55" s="50" t="s">
        <v>154</v>
      </c>
      <c r="C55">
        <v>6</v>
      </c>
      <c r="D55" t="s">
        <v>7</v>
      </c>
      <c r="E55" t="s">
        <v>17</v>
      </c>
      <c r="F55" s="83" t="s">
        <v>497</v>
      </c>
      <c r="G55" s="50">
        <v>8</v>
      </c>
      <c r="H55" t="s">
        <v>18</v>
      </c>
      <c r="I55" s="50">
        <v>3</v>
      </c>
      <c r="J55" t="s">
        <v>21</v>
      </c>
      <c r="K55" t="s">
        <v>14</v>
      </c>
      <c r="L55" t="s">
        <v>12</v>
      </c>
      <c r="M55">
        <v>4</v>
      </c>
      <c r="O55" t="s">
        <v>243</v>
      </c>
      <c r="P55" s="78">
        <v>45353</v>
      </c>
      <c r="Q55" t="str">
        <f t="shared" si="0"/>
        <v>Pósán Zétény - Shogun</v>
      </c>
      <c r="R55" t="s">
        <v>636</v>
      </c>
      <c r="S55" t="s">
        <v>636</v>
      </c>
      <c r="T55" t="s">
        <v>645</v>
      </c>
    </row>
    <row r="56" spans="1:20" x14ac:dyDescent="0.3">
      <c r="A56" t="s">
        <v>156</v>
      </c>
      <c r="B56" s="50" t="s">
        <v>154</v>
      </c>
      <c r="C56">
        <v>7</v>
      </c>
      <c r="D56" t="s">
        <v>7</v>
      </c>
      <c r="E56" t="s">
        <v>17</v>
      </c>
      <c r="F56" s="83" t="s">
        <v>497</v>
      </c>
      <c r="G56" s="50">
        <v>8</v>
      </c>
      <c r="H56" t="s">
        <v>18</v>
      </c>
      <c r="I56" s="50">
        <v>3</v>
      </c>
      <c r="J56" t="s">
        <v>22</v>
      </c>
      <c r="K56" t="s">
        <v>23</v>
      </c>
      <c r="L56" t="s">
        <v>12</v>
      </c>
      <c r="M56">
        <v>4</v>
      </c>
      <c r="O56" t="s">
        <v>243</v>
      </c>
      <c r="P56" s="78">
        <v>45353</v>
      </c>
      <c r="Q56" t="str">
        <f t="shared" si="0"/>
        <v>Rozgics Dominik - Kemecse SE</v>
      </c>
      <c r="R56" t="s">
        <v>636</v>
      </c>
      <c r="S56" t="s">
        <v>636</v>
      </c>
      <c r="T56" t="s">
        <v>645</v>
      </c>
    </row>
    <row r="57" spans="1:20" x14ac:dyDescent="0.3">
      <c r="A57" t="s">
        <v>156</v>
      </c>
      <c r="B57" s="50" t="s">
        <v>154</v>
      </c>
      <c r="C57">
        <v>8</v>
      </c>
      <c r="D57" t="s">
        <v>7</v>
      </c>
      <c r="E57" t="s">
        <v>24</v>
      </c>
      <c r="F57" s="83" t="s">
        <v>498</v>
      </c>
      <c r="G57" s="50">
        <v>8</v>
      </c>
      <c r="H57" t="s">
        <v>18</v>
      </c>
      <c r="I57" s="50">
        <v>1</v>
      </c>
      <c r="J57" t="s">
        <v>25</v>
      </c>
      <c r="K57" t="s">
        <v>26</v>
      </c>
      <c r="L57" t="s">
        <v>12</v>
      </c>
      <c r="M57">
        <v>8</v>
      </c>
      <c r="O57" t="s">
        <v>243</v>
      </c>
      <c r="P57" s="78">
        <v>45353</v>
      </c>
      <c r="Q57" t="str">
        <f t="shared" si="0"/>
        <v>Hardi Balázs - Siófok KSE</v>
      </c>
      <c r="R57" t="s">
        <v>636</v>
      </c>
      <c r="S57" t="s">
        <v>636</v>
      </c>
      <c r="T57" t="s">
        <v>645</v>
      </c>
    </row>
    <row r="58" spans="1:20" x14ac:dyDescent="0.3">
      <c r="A58" t="s">
        <v>156</v>
      </c>
      <c r="B58" s="50" t="s">
        <v>154</v>
      </c>
      <c r="C58">
        <v>9</v>
      </c>
      <c r="D58" t="s">
        <v>7</v>
      </c>
      <c r="E58" t="s">
        <v>24</v>
      </c>
      <c r="F58" s="83" t="s">
        <v>498</v>
      </c>
      <c r="G58" s="50">
        <v>8</v>
      </c>
      <c r="H58" t="s">
        <v>18</v>
      </c>
      <c r="I58" s="50">
        <v>2</v>
      </c>
      <c r="J58" t="s">
        <v>27</v>
      </c>
      <c r="K58" t="s">
        <v>28</v>
      </c>
      <c r="L58" t="s">
        <v>12</v>
      </c>
      <c r="M58">
        <v>6</v>
      </c>
      <c r="O58" t="s">
        <v>243</v>
      </c>
      <c r="P58" s="78">
        <v>45353</v>
      </c>
      <c r="Q58" t="str">
        <f t="shared" si="0"/>
        <v>Kurucz László Botond - OKKHE</v>
      </c>
      <c r="R58" t="s">
        <v>637</v>
      </c>
      <c r="S58" t="s">
        <v>597</v>
      </c>
      <c r="T58" t="s">
        <v>645</v>
      </c>
    </row>
    <row r="59" spans="1:20" x14ac:dyDescent="0.3">
      <c r="A59" t="s">
        <v>156</v>
      </c>
      <c r="B59" s="50" t="s">
        <v>154</v>
      </c>
      <c r="C59">
        <v>10</v>
      </c>
      <c r="D59" t="s">
        <v>7</v>
      </c>
      <c r="E59" t="s">
        <v>24</v>
      </c>
      <c r="F59" s="83" t="s">
        <v>498</v>
      </c>
      <c r="G59" s="50">
        <v>8</v>
      </c>
      <c r="H59" t="s">
        <v>18</v>
      </c>
      <c r="I59" s="50">
        <v>3</v>
      </c>
      <c r="J59" t="s">
        <v>29</v>
      </c>
      <c r="K59" t="s">
        <v>30</v>
      </c>
      <c r="L59" t="s">
        <v>12</v>
      </c>
      <c r="M59">
        <v>4</v>
      </c>
      <c r="O59" t="s">
        <v>243</v>
      </c>
      <c r="P59" s="78">
        <v>45353</v>
      </c>
      <c r="Q59" t="str">
        <f t="shared" si="0"/>
        <v>Gémes Gergő - ESZME</v>
      </c>
      <c r="R59" t="s">
        <v>637</v>
      </c>
      <c r="S59" t="s">
        <v>169</v>
      </c>
      <c r="T59" t="s">
        <v>645</v>
      </c>
    </row>
    <row r="60" spans="1:20" x14ac:dyDescent="0.3">
      <c r="A60" t="s">
        <v>156</v>
      </c>
      <c r="B60" s="50" t="s">
        <v>154</v>
      </c>
      <c r="C60">
        <v>11</v>
      </c>
      <c r="D60" t="s">
        <v>7</v>
      </c>
      <c r="E60" t="s">
        <v>24</v>
      </c>
      <c r="F60" s="83" t="s">
        <v>498</v>
      </c>
      <c r="G60" s="50">
        <v>8</v>
      </c>
      <c r="H60" t="s">
        <v>18</v>
      </c>
      <c r="I60" s="50">
        <v>3</v>
      </c>
      <c r="J60" t="s">
        <v>31</v>
      </c>
      <c r="K60" t="s">
        <v>32</v>
      </c>
      <c r="L60" t="s">
        <v>12</v>
      </c>
      <c r="M60">
        <v>4</v>
      </c>
      <c r="O60" t="s">
        <v>243</v>
      </c>
      <c r="P60" s="78">
        <v>45353</v>
      </c>
      <c r="Q60" t="str">
        <f t="shared" si="0"/>
        <v>Horváth Levente András - SMAFC</v>
      </c>
      <c r="R60" t="s">
        <v>636</v>
      </c>
      <c r="S60" t="s">
        <v>636</v>
      </c>
      <c r="T60" t="s">
        <v>645</v>
      </c>
    </row>
    <row r="61" spans="1:20" x14ac:dyDescent="0.3">
      <c r="A61" t="s">
        <v>156</v>
      </c>
      <c r="B61" s="50" t="s">
        <v>154</v>
      </c>
      <c r="C61">
        <v>12</v>
      </c>
      <c r="D61" t="s">
        <v>7</v>
      </c>
      <c r="E61" t="s">
        <v>33</v>
      </c>
      <c r="F61" s="83" t="s">
        <v>499</v>
      </c>
      <c r="G61" s="50">
        <v>7</v>
      </c>
      <c r="H61" t="s">
        <v>18</v>
      </c>
      <c r="I61" s="50">
        <v>1</v>
      </c>
      <c r="J61" t="s">
        <v>34</v>
      </c>
      <c r="K61" t="s">
        <v>35</v>
      </c>
      <c r="L61" t="s">
        <v>12</v>
      </c>
      <c r="M61">
        <v>8</v>
      </c>
      <c r="O61" t="s">
        <v>243</v>
      </c>
      <c r="P61" s="78">
        <v>45353</v>
      </c>
      <c r="Q61" t="str">
        <f t="shared" si="0"/>
        <v>Jámbor Dániel - KHSE</v>
      </c>
      <c r="R61" t="s">
        <v>636</v>
      </c>
      <c r="S61" t="s">
        <v>636</v>
      </c>
      <c r="T61" t="s">
        <v>645</v>
      </c>
    </row>
    <row r="62" spans="1:20" x14ac:dyDescent="0.3">
      <c r="A62" t="s">
        <v>156</v>
      </c>
      <c r="B62" s="50" t="s">
        <v>154</v>
      </c>
      <c r="C62">
        <v>13</v>
      </c>
      <c r="D62" t="s">
        <v>7</v>
      </c>
      <c r="E62" t="s">
        <v>33</v>
      </c>
      <c r="F62" s="83" t="s">
        <v>499</v>
      </c>
      <c r="G62" s="50">
        <v>7</v>
      </c>
      <c r="H62" t="s">
        <v>18</v>
      </c>
      <c r="I62" s="50">
        <v>2</v>
      </c>
      <c r="J62" t="s">
        <v>36</v>
      </c>
      <c r="K62" t="s">
        <v>37</v>
      </c>
      <c r="L62" t="s">
        <v>12</v>
      </c>
      <c r="M62">
        <v>6</v>
      </c>
      <c r="O62" t="s">
        <v>243</v>
      </c>
      <c r="P62" s="78">
        <v>45353</v>
      </c>
      <c r="Q62" t="str">
        <f t="shared" si="0"/>
        <v>Ádám Gergő - Kamikaze S</v>
      </c>
      <c r="R62" t="s">
        <v>636</v>
      </c>
      <c r="S62" t="s">
        <v>636</v>
      </c>
      <c r="T62" t="s">
        <v>645</v>
      </c>
    </row>
    <row r="63" spans="1:20" x14ac:dyDescent="0.3">
      <c r="A63" t="s">
        <v>156</v>
      </c>
      <c r="B63" s="50" t="s">
        <v>154</v>
      </c>
      <c r="C63">
        <v>14</v>
      </c>
      <c r="D63" t="s">
        <v>7</v>
      </c>
      <c r="E63" t="s">
        <v>33</v>
      </c>
      <c r="F63" s="83" t="s">
        <v>499</v>
      </c>
      <c r="G63" s="50">
        <v>7</v>
      </c>
      <c r="H63" t="s">
        <v>18</v>
      </c>
      <c r="I63" s="50">
        <v>3</v>
      </c>
      <c r="J63" t="s">
        <v>38</v>
      </c>
      <c r="K63" t="s">
        <v>39</v>
      </c>
      <c r="L63" t="s">
        <v>12</v>
      </c>
      <c r="M63">
        <v>4</v>
      </c>
      <c r="O63" t="s">
        <v>243</v>
      </c>
      <c r="P63" s="78">
        <v>45353</v>
      </c>
      <c r="Q63" t="str">
        <f t="shared" si="0"/>
        <v>Schmetz Kornél - Bendiák Dojo</v>
      </c>
      <c r="R63" t="s">
        <v>636</v>
      </c>
      <c r="S63" t="s">
        <v>636</v>
      </c>
      <c r="T63" t="s">
        <v>645</v>
      </c>
    </row>
    <row r="64" spans="1:20" x14ac:dyDescent="0.3">
      <c r="A64" t="s">
        <v>156</v>
      </c>
      <c r="B64" s="50" t="s">
        <v>154</v>
      </c>
      <c r="C64">
        <v>15</v>
      </c>
      <c r="D64" t="s">
        <v>7</v>
      </c>
      <c r="E64" t="s">
        <v>33</v>
      </c>
      <c r="F64" s="83" t="s">
        <v>499</v>
      </c>
      <c r="G64" s="50">
        <v>7</v>
      </c>
      <c r="H64" t="s">
        <v>18</v>
      </c>
      <c r="I64" s="50">
        <v>3</v>
      </c>
      <c r="J64" t="s">
        <v>40</v>
      </c>
      <c r="K64" t="s">
        <v>41</v>
      </c>
      <c r="L64" t="s">
        <v>12</v>
      </c>
      <c r="M64">
        <v>4</v>
      </c>
      <c r="O64" t="s">
        <v>243</v>
      </c>
      <c r="P64" s="78">
        <v>45353</v>
      </c>
      <c r="Q64" t="str">
        <f t="shared" si="0"/>
        <v>Orbán Balázs - KKE - Spartacus</v>
      </c>
      <c r="R64" t="s">
        <v>636</v>
      </c>
      <c r="S64" t="s">
        <v>636</v>
      </c>
      <c r="T64" t="s">
        <v>645</v>
      </c>
    </row>
    <row r="65" spans="1:20" x14ac:dyDescent="0.3">
      <c r="A65" t="s">
        <v>156</v>
      </c>
      <c r="B65" s="50" t="s">
        <v>154</v>
      </c>
      <c r="C65">
        <v>16</v>
      </c>
      <c r="D65" t="s">
        <v>7</v>
      </c>
      <c r="E65" t="s">
        <v>42</v>
      </c>
      <c r="F65" s="83" t="s">
        <v>500</v>
      </c>
      <c r="G65" s="50">
        <v>2</v>
      </c>
      <c r="H65" t="s">
        <v>43</v>
      </c>
      <c r="I65" s="50">
        <v>1</v>
      </c>
      <c r="J65" t="s">
        <v>44</v>
      </c>
      <c r="K65" t="s">
        <v>45</v>
      </c>
      <c r="L65" t="s">
        <v>12</v>
      </c>
      <c r="M65">
        <v>4</v>
      </c>
      <c r="O65" t="s">
        <v>243</v>
      </c>
      <c r="P65" s="78">
        <v>45353</v>
      </c>
      <c r="Q65" t="str">
        <f t="shared" si="0"/>
        <v xml:space="preserve">Simon Boldizsár - Kiai Dojo </v>
      </c>
      <c r="R65" t="s">
        <v>636</v>
      </c>
      <c r="S65" t="s">
        <v>636</v>
      </c>
      <c r="T65" t="s">
        <v>645</v>
      </c>
    </row>
    <row r="66" spans="1:20" x14ac:dyDescent="0.3">
      <c r="A66" t="s">
        <v>156</v>
      </c>
      <c r="B66" s="50" t="s">
        <v>154</v>
      </c>
      <c r="C66">
        <v>17</v>
      </c>
      <c r="D66" t="s">
        <v>7</v>
      </c>
      <c r="E66" t="s">
        <v>42</v>
      </c>
      <c r="F66" s="83" t="s">
        <v>500</v>
      </c>
      <c r="G66" s="50">
        <v>2</v>
      </c>
      <c r="H66" t="s">
        <v>43</v>
      </c>
      <c r="I66" s="50">
        <v>2</v>
      </c>
      <c r="J66" t="s">
        <v>46</v>
      </c>
      <c r="K66" t="s">
        <v>47</v>
      </c>
      <c r="L66" t="s">
        <v>12</v>
      </c>
      <c r="M66">
        <v>0</v>
      </c>
      <c r="O66" t="s">
        <v>243</v>
      </c>
      <c r="P66" s="78">
        <v>45353</v>
      </c>
      <c r="Q66" t="str">
        <f t="shared" si="0"/>
        <v>Spanjevic Dániel - BHMSE</v>
      </c>
      <c r="R66" t="s">
        <v>636</v>
      </c>
      <c r="S66" t="s">
        <v>636</v>
      </c>
      <c r="T66" t="s">
        <v>645</v>
      </c>
    </row>
    <row r="67" spans="1:20" x14ac:dyDescent="0.3">
      <c r="A67" t="s">
        <v>156</v>
      </c>
      <c r="B67" s="50" t="s">
        <v>154</v>
      </c>
      <c r="C67">
        <v>18</v>
      </c>
      <c r="D67" t="s">
        <v>7</v>
      </c>
      <c r="E67" t="s">
        <v>48</v>
      </c>
      <c r="F67" s="83" t="s">
        <v>501</v>
      </c>
      <c r="G67" s="50">
        <v>3</v>
      </c>
      <c r="H67" t="s">
        <v>49</v>
      </c>
      <c r="I67" s="50">
        <v>1</v>
      </c>
      <c r="J67" t="s">
        <v>50</v>
      </c>
      <c r="K67" t="s">
        <v>51</v>
      </c>
      <c r="L67" t="s">
        <v>12</v>
      </c>
      <c r="M67">
        <v>6</v>
      </c>
      <c r="O67" t="s">
        <v>243</v>
      </c>
      <c r="P67" s="78">
        <v>45353</v>
      </c>
      <c r="Q67" t="str">
        <f t="shared" ref="Q67:Q130" si="1">J67&amp;" - "&amp;K67</f>
        <v>Esvég Dominik - Kisvárda KKDOSC</v>
      </c>
      <c r="R67" t="s">
        <v>636</v>
      </c>
      <c r="S67" t="s">
        <v>636</v>
      </c>
      <c r="T67" t="s">
        <v>645</v>
      </c>
    </row>
    <row r="68" spans="1:20" x14ac:dyDescent="0.3">
      <c r="A68" t="s">
        <v>156</v>
      </c>
      <c r="B68" s="50" t="s">
        <v>154</v>
      </c>
      <c r="C68">
        <v>19</v>
      </c>
      <c r="D68" t="s">
        <v>7</v>
      </c>
      <c r="E68" t="s">
        <v>48</v>
      </c>
      <c r="F68" s="83" t="s">
        <v>501</v>
      </c>
      <c r="G68" s="50">
        <v>3</v>
      </c>
      <c r="H68" t="s">
        <v>49</v>
      </c>
      <c r="I68" s="50">
        <v>2</v>
      </c>
      <c r="J68" t="s">
        <v>52</v>
      </c>
      <c r="K68" t="s">
        <v>35</v>
      </c>
      <c r="L68" t="s">
        <v>12</v>
      </c>
      <c r="M68">
        <v>4</v>
      </c>
      <c r="O68" t="s">
        <v>243</v>
      </c>
      <c r="P68" s="78">
        <v>45353</v>
      </c>
      <c r="Q68" t="str">
        <f t="shared" si="1"/>
        <v>Sipos Árpád - KHSE</v>
      </c>
      <c r="R68" t="s">
        <v>636</v>
      </c>
      <c r="S68" t="s">
        <v>636</v>
      </c>
      <c r="T68" t="s">
        <v>645</v>
      </c>
    </row>
    <row r="69" spans="1:20" x14ac:dyDescent="0.3">
      <c r="A69" t="s">
        <v>156</v>
      </c>
      <c r="B69" s="50" t="s">
        <v>154</v>
      </c>
      <c r="C69">
        <v>20</v>
      </c>
      <c r="D69" t="s">
        <v>7</v>
      </c>
      <c r="E69" t="s">
        <v>48</v>
      </c>
      <c r="F69" s="83" t="s">
        <v>501</v>
      </c>
      <c r="G69" s="50">
        <v>3</v>
      </c>
      <c r="H69" t="s">
        <v>49</v>
      </c>
      <c r="I69" s="50">
        <v>3</v>
      </c>
      <c r="J69" t="s">
        <v>53</v>
      </c>
      <c r="K69" t="s">
        <v>23</v>
      </c>
      <c r="L69" t="s">
        <v>12</v>
      </c>
      <c r="M69">
        <v>0</v>
      </c>
      <c r="N69" t="s">
        <v>158</v>
      </c>
      <c r="O69" t="s">
        <v>243</v>
      </c>
      <c r="P69" s="78">
        <v>45353</v>
      </c>
      <c r="Q69" t="str">
        <f t="shared" si="1"/>
        <v>Nagy Dávid - Kemecse SE</v>
      </c>
      <c r="R69" t="s">
        <v>636</v>
      </c>
      <c r="S69" t="s">
        <v>636</v>
      </c>
      <c r="T69" t="s">
        <v>645</v>
      </c>
    </row>
    <row r="70" spans="1:20" x14ac:dyDescent="0.3">
      <c r="A70" t="s">
        <v>156</v>
      </c>
      <c r="B70" s="50" t="s">
        <v>154</v>
      </c>
      <c r="C70">
        <v>21</v>
      </c>
      <c r="D70" t="s">
        <v>7</v>
      </c>
      <c r="E70" t="s">
        <v>54</v>
      </c>
      <c r="F70" s="83" t="s">
        <v>504</v>
      </c>
      <c r="G70" s="50">
        <v>2</v>
      </c>
      <c r="H70" t="s">
        <v>43</v>
      </c>
      <c r="I70" s="50">
        <v>1</v>
      </c>
      <c r="J70" t="s">
        <v>55</v>
      </c>
      <c r="K70" t="s">
        <v>41</v>
      </c>
      <c r="L70" t="s">
        <v>12</v>
      </c>
      <c r="M70">
        <v>4</v>
      </c>
      <c r="O70" t="s">
        <v>243</v>
      </c>
      <c r="P70" s="78">
        <v>45353</v>
      </c>
      <c r="Q70" t="str">
        <f t="shared" si="1"/>
        <v>Kiss-Leizer Luca - KKE - Spartacus</v>
      </c>
      <c r="R70" t="s">
        <v>636</v>
      </c>
      <c r="S70" t="s">
        <v>636</v>
      </c>
      <c r="T70" t="s">
        <v>645</v>
      </c>
    </row>
    <row r="71" spans="1:20" x14ac:dyDescent="0.3">
      <c r="A71" t="s">
        <v>156</v>
      </c>
      <c r="B71" s="50" t="s">
        <v>154</v>
      </c>
      <c r="C71">
        <v>22</v>
      </c>
      <c r="D71" t="s">
        <v>7</v>
      </c>
      <c r="E71" t="s">
        <v>54</v>
      </c>
      <c r="F71" s="83" t="s">
        <v>504</v>
      </c>
      <c r="G71" s="50">
        <v>2</v>
      </c>
      <c r="H71" t="s">
        <v>43</v>
      </c>
      <c r="I71" s="50">
        <v>2</v>
      </c>
      <c r="J71" t="s">
        <v>56</v>
      </c>
      <c r="K71" t="s">
        <v>47</v>
      </c>
      <c r="L71" t="s">
        <v>12</v>
      </c>
      <c r="M71">
        <v>0</v>
      </c>
      <c r="O71" t="s">
        <v>243</v>
      </c>
      <c r="P71" s="78">
        <v>45353</v>
      </c>
      <c r="Q71" t="str">
        <f t="shared" si="1"/>
        <v>Bánky Liliána - BHMSE</v>
      </c>
      <c r="R71" t="s">
        <v>636</v>
      </c>
      <c r="S71" t="s">
        <v>636</v>
      </c>
      <c r="T71" t="s">
        <v>645</v>
      </c>
    </row>
    <row r="72" spans="1:20" x14ac:dyDescent="0.3">
      <c r="A72" t="s">
        <v>156</v>
      </c>
      <c r="B72" s="50" t="s">
        <v>154</v>
      </c>
      <c r="C72">
        <v>23</v>
      </c>
      <c r="D72" t="s">
        <v>7</v>
      </c>
      <c r="E72" t="s">
        <v>57</v>
      </c>
      <c r="F72" s="83" t="s">
        <v>505</v>
      </c>
      <c r="G72" s="50">
        <v>4</v>
      </c>
      <c r="H72" t="s">
        <v>58</v>
      </c>
      <c r="I72" s="50">
        <v>1</v>
      </c>
      <c r="J72" t="s">
        <v>59</v>
      </c>
      <c r="K72" t="s">
        <v>47</v>
      </c>
      <c r="L72" t="s">
        <v>12</v>
      </c>
      <c r="M72">
        <v>8</v>
      </c>
      <c r="O72" t="s">
        <v>243</v>
      </c>
      <c r="P72" s="78">
        <v>45353</v>
      </c>
      <c r="Q72" t="str">
        <f t="shared" si="1"/>
        <v>Bagdi Alexa Zita - BHMSE</v>
      </c>
      <c r="R72" t="s">
        <v>636</v>
      </c>
      <c r="S72" t="s">
        <v>636</v>
      </c>
      <c r="T72" t="s">
        <v>645</v>
      </c>
    </row>
    <row r="73" spans="1:20" x14ac:dyDescent="0.3">
      <c r="A73" t="s">
        <v>156</v>
      </c>
      <c r="B73" s="50" t="s">
        <v>154</v>
      </c>
      <c r="C73">
        <v>24</v>
      </c>
      <c r="D73" t="s">
        <v>7</v>
      </c>
      <c r="E73" t="s">
        <v>57</v>
      </c>
      <c r="F73" s="83" t="s">
        <v>505</v>
      </c>
      <c r="G73" s="50">
        <v>4</v>
      </c>
      <c r="H73" t="s">
        <v>58</v>
      </c>
      <c r="I73" s="50">
        <v>2</v>
      </c>
      <c r="J73" t="s">
        <v>60</v>
      </c>
      <c r="K73" t="s">
        <v>61</v>
      </c>
      <c r="L73" t="s">
        <v>12</v>
      </c>
      <c r="M73">
        <v>6</v>
      </c>
      <c r="O73" t="s">
        <v>243</v>
      </c>
      <c r="P73" s="78">
        <v>45353</v>
      </c>
      <c r="Q73" t="str">
        <f t="shared" si="1"/>
        <v>Ponyokai Petra - Magna Dojo</v>
      </c>
      <c r="R73" t="s">
        <v>636</v>
      </c>
      <c r="S73" t="s">
        <v>636</v>
      </c>
      <c r="T73" t="s">
        <v>645</v>
      </c>
    </row>
    <row r="74" spans="1:20" x14ac:dyDescent="0.3">
      <c r="A74" t="s">
        <v>156</v>
      </c>
      <c r="B74" s="50" t="s">
        <v>154</v>
      </c>
      <c r="C74">
        <v>25</v>
      </c>
      <c r="D74" t="s">
        <v>7</v>
      </c>
      <c r="E74" t="s">
        <v>57</v>
      </c>
      <c r="F74" s="83" t="s">
        <v>505</v>
      </c>
      <c r="G74" s="50">
        <v>4</v>
      </c>
      <c r="H74" t="s">
        <v>58</v>
      </c>
      <c r="I74" s="50">
        <v>3</v>
      </c>
      <c r="J74" t="s">
        <v>62</v>
      </c>
      <c r="K74" t="s">
        <v>23</v>
      </c>
      <c r="L74" t="s">
        <v>12</v>
      </c>
      <c r="M74">
        <v>4</v>
      </c>
      <c r="O74" t="s">
        <v>243</v>
      </c>
      <c r="P74" s="78">
        <v>45353</v>
      </c>
      <c r="Q74" t="str">
        <f t="shared" si="1"/>
        <v>Szigeti Zsófia - Kemecse SE</v>
      </c>
      <c r="R74" t="s">
        <v>636</v>
      </c>
      <c r="S74" t="s">
        <v>636</v>
      </c>
      <c r="T74" t="s">
        <v>645</v>
      </c>
    </row>
    <row r="75" spans="1:20" x14ac:dyDescent="0.3">
      <c r="A75" t="s">
        <v>156</v>
      </c>
      <c r="B75" s="50" t="s">
        <v>154</v>
      </c>
      <c r="C75">
        <v>26</v>
      </c>
      <c r="D75" t="s">
        <v>7</v>
      </c>
      <c r="E75" t="s">
        <v>63</v>
      </c>
      <c r="F75" s="83" t="s">
        <v>506</v>
      </c>
      <c r="G75" s="50">
        <v>2</v>
      </c>
      <c r="H75" t="s">
        <v>43</v>
      </c>
      <c r="I75" s="50">
        <v>1</v>
      </c>
      <c r="J75" t="s">
        <v>64</v>
      </c>
      <c r="K75" t="s">
        <v>65</v>
      </c>
      <c r="L75" t="s">
        <v>12</v>
      </c>
      <c r="M75">
        <v>4</v>
      </c>
      <c r="O75" t="s">
        <v>243</v>
      </c>
      <c r="P75" s="78">
        <v>45353</v>
      </c>
      <c r="Q75" t="str">
        <f t="shared" si="1"/>
        <v>Kis Mónika - Főnix Dojo</v>
      </c>
      <c r="R75" t="s">
        <v>636</v>
      </c>
      <c r="S75" t="s">
        <v>636</v>
      </c>
      <c r="T75" t="s">
        <v>645</v>
      </c>
    </row>
    <row r="76" spans="1:20" x14ac:dyDescent="0.3">
      <c r="A76" t="s">
        <v>156</v>
      </c>
      <c r="B76" s="50" t="s">
        <v>154</v>
      </c>
      <c r="C76">
        <v>27</v>
      </c>
      <c r="D76" t="s">
        <v>7</v>
      </c>
      <c r="E76" t="s">
        <v>63</v>
      </c>
      <c r="F76" s="83" t="s">
        <v>506</v>
      </c>
      <c r="G76" s="50">
        <v>2</v>
      </c>
      <c r="H76" t="s">
        <v>43</v>
      </c>
      <c r="I76" s="50">
        <v>2</v>
      </c>
      <c r="J76" t="s">
        <v>66</v>
      </c>
      <c r="K76" t="s">
        <v>67</v>
      </c>
      <c r="L76" t="s">
        <v>12</v>
      </c>
      <c r="M76">
        <v>0</v>
      </c>
      <c r="O76" t="s">
        <v>243</v>
      </c>
      <c r="P76" s="78">
        <v>45353</v>
      </c>
      <c r="Q76" t="str">
        <f t="shared" si="1"/>
        <v>Bognár Léna - Rakurai</v>
      </c>
      <c r="R76" t="s">
        <v>636</v>
      </c>
      <c r="S76" t="s">
        <v>636</v>
      </c>
      <c r="T76" t="s">
        <v>645</v>
      </c>
    </row>
    <row r="77" spans="1:20" x14ac:dyDescent="0.3">
      <c r="A77" t="s">
        <v>156</v>
      </c>
      <c r="B77" s="50" t="s">
        <v>154</v>
      </c>
      <c r="C77">
        <v>28</v>
      </c>
      <c r="D77" t="s">
        <v>7</v>
      </c>
      <c r="E77" t="s">
        <v>68</v>
      </c>
      <c r="F77" s="83" t="s">
        <v>507</v>
      </c>
      <c r="G77" s="50">
        <v>4</v>
      </c>
      <c r="H77" t="s">
        <v>58</v>
      </c>
      <c r="I77" s="50">
        <v>1</v>
      </c>
      <c r="J77" t="s">
        <v>69</v>
      </c>
      <c r="K77" t="s">
        <v>14</v>
      </c>
      <c r="L77" t="s">
        <v>12</v>
      </c>
      <c r="M77">
        <v>8</v>
      </c>
      <c r="O77" t="s">
        <v>243</v>
      </c>
      <c r="P77" s="78">
        <v>45353</v>
      </c>
      <c r="Q77" t="str">
        <f t="shared" si="1"/>
        <v>Sólyom Gréta - Shogun</v>
      </c>
      <c r="R77" t="s">
        <v>636</v>
      </c>
      <c r="S77" t="s">
        <v>636</v>
      </c>
      <c r="T77" t="s">
        <v>645</v>
      </c>
    </row>
    <row r="78" spans="1:20" x14ac:dyDescent="0.3">
      <c r="A78" t="s">
        <v>156</v>
      </c>
      <c r="B78" s="50" t="s">
        <v>154</v>
      </c>
      <c r="C78">
        <v>29</v>
      </c>
      <c r="D78" t="s">
        <v>7</v>
      </c>
      <c r="E78" t="s">
        <v>68</v>
      </c>
      <c r="F78" s="83" t="s">
        <v>507</v>
      </c>
      <c r="G78" s="50">
        <v>4</v>
      </c>
      <c r="H78" t="s">
        <v>58</v>
      </c>
      <c r="I78" s="50">
        <v>2</v>
      </c>
      <c r="J78" t="s">
        <v>70</v>
      </c>
      <c r="K78" t="s">
        <v>41</v>
      </c>
      <c r="L78" t="s">
        <v>12</v>
      </c>
      <c r="M78">
        <v>6</v>
      </c>
      <c r="O78" t="s">
        <v>243</v>
      </c>
      <c r="P78" s="78">
        <v>45353</v>
      </c>
      <c r="Q78" t="str">
        <f t="shared" si="1"/>
        <v>Kozma Rebeka - KKE - Spartacus</v>
      </c>
      <c r="R78" t="s">
        <v>636</v>
      </c>
      <c r="S78" t="s">
        <v>636</v>
      </c>
      <c r="T78" t="s">
        <v>645</v>
      </c>
    </row>
    <row r="79" spans="1:20" x14ac:dyDescent="0.3">
      <c r="A79" t="s">
        <v>156</v>
      </c>
      <c r="B79" s="50" t="s">
        <v>154</v>
      </c>
      <c r="C79">
        <v>30</v>
      </c>
      <c r="D79" t="s">
        <v>7</v>
      </c>
      <c r="E79" t="s">
        <v>68</v>
      </c>
      <c r="F79" s="83" t="s">
        <v>507</v>
      </c>
      <c r="G79" s="50">
        <v>4</v>
      </c>
      <c r="H79" t="s">
        <v>58</v>
      </c>
      <c r="I79" s="50">
        <v>3</v>
      </c>
      <c r="J79" t="s">
        <v>71</v>
      </c>
      <c r="K79" t="s">
        <v>35</v>
      </c>
      <c r="L79" t="s">
        <v>12</v>
      </c>
      <c r="M79">
        <v>4</v>
      </c>
      <c r="O79" t="s">
        <v>243</v>
      </c>
      <c r="P79" s="78">
        <v>45353</v>
      </c>
      <c r="Q79" t="str">
        <f t="shared" si="1"/>
        <v>Rácz Dorottya - KHSE</v>
      </c>
      <c r="R79" t="s">
        <v>636</v>
      </c>
      <c r="S79" t="s">
        <v>636</v>
      </c>
      <c r="T79" t="s">
        <v>645</v>
      </c>
    </row>
    <row r="80" spans="1:20" x14ac:dyDescent="0.3">
      <c r="A80" t="s">
        <v>156</v>
      </c>
      <c r="B80" s="50" t="s">
        <v>154</v>
      </c>
      <c r="C80">
        <v>31</v>
      </c>
      <c r="D80" t="s">
        <v>7</v>
      </c>
      <c r="E80" t="s">
        <v>72</v>
      </c>
      <c r="F80" s="83" t="s">
        <v>508</v>
      </c>
      <c r="G80" s="50">
        <v>4</v>
      </c>
      <c r="H80" t="s">
        <v>58</v>
      </c>
      <c r="I80" s="50">
        <v>1</v>
      </c>
      <c r="J80" t="s">
        <v>73</v>
      </c>
      <c r="K80" t="s">
        <v>37</v>
      </c>
      <c r="L80" t="s">
        <v>12</v>
      </c>
      <c r="M80">
        <v>8</v>
      </c>
      <c r="O80" t="s">
        <v>243</v>
      </c>
      <c r="P80" s="78">
        <v>45353</v>
      </c>
      <c r="Q80" t="str">
        <f t="shared" si="1"/>
        <v>Varga Borbála - Kamikaze S</v>
      </c>
      <c r="R80" t="s">
        <v>636</v>
      </c>
      <c r="S80" t="s">
        <v>636</v>
      </c>
      <c r="T80" t="s">
        <v>645</v>
      </c>
    </row>
    <row r="81" spans="1:20" x14ac:dyDescent="0.3">
      <c r="A81" t="s">
        <v>156</v>
      </c>
      <c r="B81" s="50" t="s">
        <v>154</v>
      </c>
      <c r="C81">
        <v>32</v>
      </c>
      <c r="D81" t="s">
        <v>7</v>
      </c>
      <c r="E81" t="s">
        <v>72</v>
      </c>
      <c r="F81" s="83" t="s">
        <v>508</v>
      </c>
      <c r="G81" s="50">
        <v>4</v>
      </c>
      <c r="H81" t="s">
        <v>58</v>
      </c>
      <c r="I81" s="50">
        <v>2</v>
      </c>
      <c r="J81" t="s">
        <v>74</v>
      </c>
      <c r="K81" t="s">
        <v>14</v>
      </c>
      <c r="L81" t="s">
        <v>12</v>
      </c>
      <c r="M81">
        <v>6</v>
      </c>
      <c r="O81" t="s">
        <v>243</v>
      </c>
      <c r="P81" s="78">
        <v>45353</v>
      </c>
      <c r="Q81" t="str">
        <f t="shared" si="1"/>
        <v>Rácz Viktória - Shogun</v>
      </c>
      <c r="R81" t="s">
        <v>636</v>
      </c>
      <c r="S81" t="s">
        <v>636</v>
      </c>
      <c r="T81" t="s">
        <v>645</v>
      </c>
    </row>
    <row r="82" spans="1:20" x14ac:dyDescent="0.3">
      <c r="A82" t="s">
        <v>156</v>
      </c>
      <c r="B82" s="50" t="s">
        <v>154</v>
      </c>
      <c r="C82">
        <v>33</v>
      </c>
      <c r="D82" t="s">
        <v>7</v>
      </c>
      <c r="E82" t="s">
        <v>72</v>
      </c>
      <c r="F82" s="83" t="s">
        <v>508</v>
      </c>
      <c r="G82" s="50">
        <v>4</v>
      </c>
      <c r="H82" t="s">
        <v>58</v>
      </c>
      <c r="I82" s="50">
        <v>3</v>
      </c>
      <c r="J82" t="s">
        <v>75</v>
      </c>
      <c r="K82" t="s">
        <v>35</v>
      </c>
      <c r="L82" t="s">
        <v>12</v>
      </c>
      <c r="M82">
        <v>4</v>
      </c>
      <c r="O82" t="s">
        <v>243</v>
      </c>
      <c r="P82" s="78">
        <v>45353</v>
      </c>
      <c r="Q82" t="str">
        <f t="shared" si="1"/>
        <v>Józsa Erika Réka - KHSE</v>
      </c>
      <c r="R82" t="s">
        <v>636</v>
      </c>
      <c r="S82" t="s">
        <v>636</v>
      </c>
      <c r="T82" t="s">
        <v>645</v>
      </c>
    </row>
    <row r="83" spans="1:20" x14ac:dyDescent="0.3">
      <c r="A83" t="s">
        <v>156</v>
      </c>
      <c r="B83" s="50" t="s">
        <v>154</v>
      </c>
      <c r="C83">
        <v>1</v>
      </c>
      <c r="D83" t="s">
        <v>126</v>
      </c>
      <c r="E83" t="s">
        <v>129</v>
      </c>
      <c r="F83" s="83" t="s">
        <v>502</v>
      </c>
      <c r="G83" s="50">
        <v>6</v>
      </c>
      <c r="H83" t="s">
        <v>137</v>
      </c>
      <c r="I83" s="50">
        <v>1</v>
      </c>
      <c r="J83" t="s">
        <v>25</v>
      </c>
      <c r="K83" t="s">
        <v>26</v>
      </c>
      <c r="L83" t="s">
        <v>12</v>
      </c>
      <c r="M83">
        <v>6</v>
      </c>
      <c r="O83" t="s">
        <v>243</v>
      </c>
      <c r="P83" s="78">
        <v>45353</v>
      </c>
      <c r="Q83" t="str">
        <f t="shared" si="1"/>
        <v>Hardi Balázs - Siófok KSE</v>
      </c>
      <c r="R83" t="s">
        <v>636</v>
      </c>
      <c r="S83" t="s">
        <v>636</v>
      </c>
      <c r="T83" t="s">
        <v>645</v>
      </c>
    </row>
    <row r="84" spans="1:20" x14ac:dyDescent="0.3">
      <c r="A84" t="s">
        <v>156</v>
      </c>
      <c r="B84" s="50" t="s">
        <v>154</v>
      </c>
      <c r="C84">
        <v>2</v>
      </c>
      <c r="D84" t="s">
        <v>126</v>
      </c>
      <c r="E84" t="s">
        <v>129</v>
      </c>
      <c r="F84" s="83" t="s">
        <v>502</v>
      </c>
      <c r="G84" s="50">
        <v>6</v>
      </c>
      <c r="H84" t="s">
        <v>137</v>
      </c>
      <c r="I84" s="50">
        <v>2</v>
      </c>
      <c r="J84" t="s">
        <v>128</v>
      </c>
      <c r="K84" t="s">
        <v>149</v>
      </c>
      <c r="L84" t="s">
        <v>12</v>
      </c>
      <c r="M84">
        <v>5</v>
      </c>
      <c r="O84" t="s">
        <v>243</v>
      </c>
      <c r="P84" s="78">
        <v>45353</v>
      </c>
      <c r="Q84" t="str">
        <f t="shared" si="1"/>
        <v>Kis Benedek Ernő - Kagami</v>
      </c>
      <c r="R84" t="s">
        <v>636</v>
      </c>
      <c r="S84" t="s">
        <v>636</v>
      </c>
      <c r="T84" t="s">
        <v>645</v>
      </c>
    </row>
    <row r="85" spans="1:20" x14ac:dyDescent="0.3">
      <c r="A85" t="s">
        <v>156</v>
      </c>
      <c r="B85" s="50" t="s">
        <v>154</v>
      </c>
      <c r="C85">
        <v>3</v>
      </c>
      <c r="D85" t="s">
        <v>126</v>
      </c>
      <c r="E85" t="s">
        <v>129</v>
      </c>
      <c r="F85" s="83" t="s">
        <v>502</v>
      </c>
      <c r="G85" s="50">
        <v>6</v>
      </c>
      <c r="H85" t="s">
        <v>137</v>
      </c>
      <c r="I85" s="50">
        <v>3</v>
      </c>
      <c r="J85" t="s">
        <v>19</v>
      </c>
      <c r="K85" t="s">
        <v>14</v>
      </c>
      <c r="L85" t="s">
        <v>12</v>
      </c>
      <c r="M85">
        <v>3</v>
      </c>
      <c r="O85" t="s">
        <v>243</v>
      </c>
      <c r="P85" s="78">
        <v>45353</v>
      </c>
      <c r="Q85" t="str">
        <f t="shared" si="1"/>
        <v>Szabó Bence - Shogun</v>
      </c>
      <c r="R85" t="s">
        <v>636</v>
      </c>
      <c r="S85" t="s">
        <v>636</v>
      </c>
      <c r="T85" t="s">
        <v>645</v>
      </c>
    </row>
    <row r="86" spans="1:20" x14ac:dyDescent="0.3">
      <c r="A86" t="s">
        <v>156</v>
      </c>
      <c r="B86" s="50" t="s">
        <v>154</v>
      </c>
      <c r="C86">
        <v>4</v>
      </c>
      <c r="D86" t="s">
        <v>126</v>
      </c>
      <c r="E86" t="s">
        <v>129</v>
      </c>
      <c r="F86" s="83" t="s">
        <v>502</v>
      </c>
      <c r="G86" s="50">
        <v>6</v>
      </c>
      <c r="H86" t="s">
        <v>137</v>
      </c>
      <c r="I86" s="50">
        <v>4</v>
      </c>
      <c r="J86" t="s">
        <v>27</v>
      </c>
      <c r="K86" t="s">
        <v>28</v>
      </c>
      <c r="L86" t="s">
        <v>12</v>
      </c>
      <c r="M86">
        <v>0</v>
      </c>
      <c r="N86" t="s">
        <v>158</v>
      </c>
      <c r="O86" t="s">
        <v>243</v>
      </c>
      <c r="P86" s="78">
        <v>45353</v>
      </c>
      <c r="Q86" t="str">
        <f t="shared" si="1"/>
        <v>Kurucz László Botond - OKKHE</v>
      </c>
      <c r="R86" t="s">
        <v>637</v>
      </c>
      <c r="S86" t="s">
        <v>597</v>
      </c>
      <c r="T86" t="s">
        <v>645</v>
      </c>
    </row>
    <row r="87" spans="1:20" x14ac:dyDescent="0.3">
      <c r="A87" t="s">
        <v>156</v>
      </c>
      <c r="B87" s="50" t="s">
        <v>154</v>
      </c>
      <c r="C87">
        <v>5</v>
      </c>
      <c r="D87" t="s">
        <v>126</v>
      </c>
      <c r="E87" t="s">
        <v>129</v>
      </c>
      <c r="F87" s="83" t="s">
        <v>502</v>
      </c>
      <c r="G87" s="50">
        <v>6</v>
      </c>
      <c r="H87" t="s">
        <v>137</v>
      </c>
      <c r="I87" s="50">
        <v>5</v>
      </c>
      <c r="J87" t="s">
        <v>127</v>
      </c>
      <c r="K87" t="s">
        <v>98</v>
      </c>
      <c r="L87" t="s">
        <v>12</v>
      </c>
      <c r="M87">
        <v>0</v>
      </c>
      <c r="N87" t="s">
        <v>158</v>
      </c>
      <c r="O87" t="s">
        <v>243</v>
      </c>
      <c r="P87" s="78">
        <v>45353</v>
      </c>
      <c r="Q87" t="str">
        <f t="shared" si="1"/>
        <v xml:space="preserve">Kolonics Márk - TADASHII </v>
      </c>
      <c r="R87" t="s">
        <v>637</v>
      </c>
      <c r="S87" t="s">
        <v>170</v>
      </c>
      <c r="T87" t="s">
        <v>645</v>
      </c>
    </row>
    <row r="88" spans="1:20" x14ac:dyDescent="0.3">
      <c r="A88" t="s">
        <v>156</v>
      </c>
      <c r="B88" s="50" t="s">
        <v>154</v>
      </c>
      <c r="C88">
        <v>6</v>
      </c>
      <c r="D88" t="s">
        <v>126</v>
      </c>
      <c r="E88" t="s">
        <v>129</v>
      </c>
      <c r="F88" s="83" t="s">
        <v>502</v>
      </c>
      <c r="G88" s="50">
        <v>6</v>
      </c>
      <c r="H88" t="s">
        <v>137</v>
      </c>
      <c r="I88" s="50">
        <v>6</v>
      </c>
      <c r="J88" t="s">
        <v>46</v>
      </c>
      <c r="K88" t="s">
        <v>47</v>
      </c>
      <c r="L88" t="s">
        <v>12</v>
      </c>
      <c r="M88">
        <v>0</v>
      </c>
      <c r="N88" t="s">
        <v>158</v>
      </c>
      <c r="O88" t="s">
        <v>243</v>
      </c>
      <c r="P88" s="78">
        <v>45353</v>
      </c>
      <c r="Q88" t="str">
        <f t="shared" si="1"/>
        <v>Spanjevic Dániel - BHMSE</v>
      </c>
      <c r="R88" t="s">
        <v>636</v>
      </c>
      <c r="S88" t="s">
        <v>636</v>
      </c>
      <c r="T88" t="s">
        <v>645</v>
      </c>
    </row>
    <row r="89" spans="1:20" x14ac:dyDescent="0.3">
      <c r="A89" t="s">
        <v>156</v>
      </c>
      <c r="B89" s="50" t="s">
        <v>154</v>
      </c>
      <c r="C89">
        <v>7</v>
      </c>
      <c r="D89" t="s">
        <v>126</v>
      </c>
      <c r="E89" t="s">
        <v>130</v>
      </c>
      <c r="F89" s="83" t="s">
        <v>503</v>
      </c>
      <c r="G89" s="50">
        <v>10</v>
      </c>
      <c r="H89" t="s">
        <v>137</v>
      </c>
      <c r="I89" s="50">
        <v>1</v>
      </c>
      <c r="J89" t="s">
        <v>74</v>
      </c>
      <c r="K89" t="s">
        <v>14</v>
      </c>
      <c r="L89" t="s">
        <v>12</v>
      </c>
      <c r="M89">
        <v>8</v>
      </c>
      <c r="O89" t="s">
        <v>243</v>
      </c>
      <c r="P89" s="78">
        <v>45353</v>
      </c>
      <c r="Q89" t="str">
        <f t="shared" si="1"/>
        <v>Rácz Viktória - Shogun</v>
      </c>
      <c r="R89" t="s">
        <v>636</v>
      </c>
      <c r="S89" t="s">
        <v>636</v>
      </c>
      <c r="T89" t="s">
        <v>645</v>
      </c>
    </row>
    <row r="90" spans="1:20" x14ac:dyDescent="0.3">
      <c r="A90" t="s">
        <v>156</v>
      </c>
      <c r="B90" s="50" t="s">
        <v>154</v>
      </c>
      <c r="C90">
        <v>8</v>
      </c>
      <c r="D90" t="s">
        <v>126</v>
      </c>
      <c r="E90" t="s">
        <v>130</v>
      </c>
      <c r="F90" s="83" t="s">
        <v>503</v>
      </c>
      <c r="G90" s="50">
        <v>10</v>
      </c>
      <c r="H90" t="s">
        <v>137</v>
      </c>
      <c r="I90" s="50">
        <v>2</v>
      </c>
      <c r="J90" t="s">
        <v>131</v>
      </c>
      <c r="K90" t="s">
        <v>149</v>
      </c>
      <c r="L90" t="s">
        <v>12</v>
      </c>
      <c r="M90">
        <v>6</v>
      </c>
      <c r="O90" t="s">
        <v>243</v>
      </c>
      <c r="P90" s="78">
        <v>45353</v>
      </c>
      <c r="Q90" t="str">
        <f t="shared" si="1"/>
        <v>Berényi Lujza Beatrix - Kagami</v>
      </c>
      <c r="R90" t="s">
        <v>636</v>
      </c>
      <c r="S90" t="s">
        <v>636</v>
      </c>
      <c r="T90" t="s">
        <v>645</v>
      </c>
    </row>
    <row r="91" spans="1:20" x14ac:dyDescent="0.3">
      <c r="A91" t="s">
        <v>156</v>
      </c>
      <c r="B91" s="50" t="s">
        <v>154</v>
      </c>
      <c r="C91">
        <v>9</v>
      </c>
      <c r="D91" t="s">
        <v>126</v>
      </c>
      <c r="E91" t="s">
        <v>130</v>
      </c>
      <c r="F91" s="83" t="s">
        <v>503</v>
      </c>
      <c r="G91" s="50">
        <v>10</v>
      </c>
      <c r="H91" t="s">
        <v>137</v>
      </c>
      <c r="I91" s="50">
        <v>3</v>
      </c>
      <c r="J91" t="s">
        <v>132</v>
      </c>
      <c r="K91" t="s">
        <v>149</v>
      </c>
      <c r="L91" t="s">
        <v>12</v>
      </c>
      <c r="M91">
        <v>4</v>
      </c>
      <c r="O91" t="s">
        <v>243</v>
      </c>
      <c r="P91" s="78">
        <v>45353</v>
      </c>
      <c r="Q91" t="str">
        <f t="shared" si="1"/>
        <v>Arnódi Gréta Bernadette - Kagami</v>
      </c>
      <c r="R91" t="s">
        <v>636</v>
      </c>
      <c r="S91" t="s">
        <v>636</v>
      </c>
      <c r="T91" t="s">
        <v>645</v>
      </c>
    </row>
    <row r="92" spans="1:20" x14ac:dyDescent="0.3">
      <c r="A92" t="s">
        <v>156</v>
      </c>
      <c r="B92" s="50" t="s">
        <v>154</v>
      </c>
      <c r="C92">
        <v>10</v>
      </c>
      <c r="D92" t="s">
        <v>126</v>
      </c>
      <c r="E92" t="s">
        <v>130</v>
      </c>
      <c r="F92" s="83" t="s">
        <v>503</v>
      </c>
      <c r="G92" s="50">
        <v>10</v>
      </c>
      <c r="H92" t="s">
        <v>137</v>
      </c>
      <c r="I92" s="50">
        <v>4</v>
      </c>
      <c r="J92" t="s">
        <v>71</v>
      </c>
      <c r="K92" t="s">
        <v>35</v>
      </c>
      <c r="L92" t="s">
        <v>12</v>
      </c>
      <c r="M92">
        <v>3</v>
      </c>
      <c r="O92" t="s">
        <v>243</v>
      </c>
      <c r="P92" s="78">
        <v>45353</v>
      </c>
      <c r="Q92" t="str">
        <f t="shared" si="1"/>
        <v>Rácz Dorottya - KHSE</v>
      </c>
      <c r="R92" t="s">
        <v>636</v>
      </c>
      <c r="S92" t="s">
        <v>636</v>
      </c>
      <c r="T92" t="s">
        <v>645</v>
      </c>
    </row>
    <row r="93" spans="1:20" x14ac:dyDescent="0.3">
      <c r="A93" t="s">
        <v>156</v>
      </c>
      <c r="B93" s="50" t="s">
        <v>154</v>
      </c>
      <c r="C93">
        <v>11</v>
      </c>
      <c r="D93" t="s">
        <v>126</v>
      </c>
      <c r="E93" t="s">
        <v>130</v>
      </c>
      <c r="F93" s="83" t="s">
        <v>503</v>
      </c>
      <c r="G93" s="50">
        <v>10</v>
      </c>
      <c r="H93" t="s">
        <v>137</v>
      </c>
      <c r="I93" s="50">
        <v>5</v>
      </c>
      <c r="J93" t="s">
        <v>133</v>
      </c>
      <c r="K93" t="s">
        <v>35</v>
      </c>
      <c r="L93" t="s">
        <v>12</v>
      </c>
      <c r="M93">
        <v>2</v>
      </c>
      <c r="O93" t="s">
        <v>243</v>
      </c>
      <c r="P93" s="78">
        <v>45353</v>
      </c>
      <c r="Q93" t="str">
        <f t="shared" si="1"/>
        <v>Jernyei Nikolett - KHSE</v>
      </c>
      <c r="R93" t="s">
        <v>636</v>
      </c>
      <c r="S93" t="s">
        <v>636</v>
      </c>
      <c r="T93" t="s">
        <v>645</v>
      </c>
    </row>
    <row r="94" spans="1:20" x14ac:dyDescent="0.3">
      <c r="A94" t="s">
        <v>156</v>
      </c>
      <c r="B94" s="50" t="s">
        <v>154</v>
      </c>
      <c r="C94">
        <v>12</v>
      </c>
      <c r="D94" t="s">
        <v>126</v>
      </c>
      <c r="E94" t="s">
        <v>130</v>
      </c>
      <c r="F94" s="83" t="s">
        <v>503</v>
      </c>
      <c r="G94" s="50">
        <v>10</v>
      </c>
      <c r="H94" t="s">
        <v>137</v>
      </c>
      <c r="I94" s="50">
        <v>6</v>
      </c>
      <c r="J94" t="s">
        <v>134</v>
      </c>
      <c r="K94" t="s">
        <v>149</v>
      </c>
      <c r="L94" t="s">
        <v>12</v>
      </c>
      <c r="M94">
        <v>2</v>
      </c>
      <c r="O94" t="s">
        <v>243</v>
      </c>
      <c r="P94" s="78">
        <v>45353</v>
      </c>
      <c r="Q94" t="str">
        <f t="shared" si="1"/>
        <v>Kollár Nóra  - Kagami</v>
      </c>
      <c r="R94" t="s">
        <v>636</v>
      </c>
      <c r="S94" t="s">
        <v>636</v>
      </c>
      <c r="T94" t="s">
        <v>645</v>
      </c>
    </row>
    <row r="95" spans="1:20" x14ac:dyDescent="0.3">
      <c r="A95" t="s">
        <v>156</v>
      </c>
      <c r="B95" s="50" t="s">
        <v>154</v>
      </c>
      <c r="C95">
        <v>13</v>
      </c>
      <c r="D95" t="s">
        <v>126</v>
      </c>
      <c r="E95" t="s">
        <v>130</v>
      </c>
      <c r="F95" s="83" t="s">
        <v>503</v>
      </c>
      <c r="G95" s="50">
        <v>10</v>
      </c>
      <c r="H95" t="s">
        <v>137</v>
      </c>
      <c r="I95" s="50">
        <v>7</v>
      </c>
      <c r="J95" t="s">
        <v>135</v>
      </c>
      <c r="K95" t="s">
        <v>39</v>
      </c>
      <c r="L95" t="s">
        <v>12</v>
      </c>
      <c r="M95">
        <v>0</v>
      </c>
      <c r="N95" t="s">
        <v>158</v>
      </c>
      <c r="O95" t="s">
        <v>243</v>
      </c>
      <c r="P95" s="78">
        <v>45353</v>
      </c>
      <c r="Q95" t="str">
        <f t="shared" si="1"/>
        <v>Bendiák Barbara - Bendiák Dojo</v>
      </c>
      <c r="R95" t="s">
        <v>636</v>
      </c>
      <c r="S95" t="s">
        <v>636</v>
      </c>
      <c r="T95" t="s">
        <v>645</v>
      </c>
    </row>
    <row r="96" spans="1:20" x14ac:dyDescent="0.3">
      <c r="A96" t="s">
        <v>156</v>
      </c>
      <c r="B96" s="50" t="s">
        <v>154</v>
      </c>
      <c r="C96">
        <v>14</v>
      </c>
      <c r="D96" t="s">
        <v>126</v>
      </c>
      <c r="E96" t="s">
        <v>130</v>
      </c>
      <c r="F96" s="83" t="s">
        <v>503</v>
      </c>
      <c r="G96" s="50">
        <v>10</v>
      </c>
      <c r="H96" t="s">
        <v>137</v>
      </c>
      <c r="I96" s="50">
        <v>8</v>
      </c>
      <c r="J96" t="s">
        <v>69</v>
      </c>
      <c r="K96" t="s">
        <v>14</v>
      </c>
      <c r="L96" t="s">
        <v>12</v>
      </c>
      <c r="M96">
        <v>0</v>
      </c>
      <c r="N96" t="s">
        <v>158</v>
      </c>
      <c r="O96" t="s">
        <v>243</v>
      </c>
      <c r="P96" s="78">
        <v>45353</v>
      </c>
      <c r="Q96" t="str">
        <f t="shared" si="1"/>
        <v>Sólyom Gréta - Shogun</v>
      </c>
      <c r="R96" t="s">
        <v>636</v>
      </c>
      <c r="S96" t="s">
        <v>636</v>
      </c>
      <c r="T96" t="s">
        <v>645</v>
      </c>
    </row>
    <row r="97" spans="1:20" x14ac:dyDescent="0.3">
      <c r="A97" t="s">
        <v>244</v>
      </c>
      <c r="B97" s="50">
        <v>2</v>
      </c>
      <c r="C97">
        <v>1</v>
      </c>
      <c r="D97" t="str">
        <f t="shared" ref="D97:D112" si="2">"Kumite"</f>
        <v>Kumite</v>
      </c>
      <c r="E97" t="s">
        <v>249</v>
      </c>
      <c r="F97" s="83" t="s">
        <v>509</v>
      </c>
      <c r="G97" s="50" t="str">
        <f t="shared" ref="G97:G104" si="3">"14"</f>
        <v>14</v>
      </c>
      <c r="H97" t="str">
        <f t="shared" ref="H97:H108" si="4">"16 fős egyenes kiesés"</f>
        <v>16 fős egyenes kiesés</v>
      </c>
      <c r="I97" s="50" t="str">
        <f>"1"</f>
        <v>1</v>
      </c>
      <c r="J97" t="str">
        <f>"Boka Norman Eliot"</f>
        <v>Boka Norman Eliot</v>
      </c>
      <c r="K97" t="s">
        <v>325</v>
      </c>
      <c r="L97" t="str">
        <f t="shared" ref="L97:L160" si="5">"HUN"</f>
        <v>HUN</v>
      </c>
      <c r="M97">
        <v>8</v>
      </c>
      <c r="O97" t="s">
        <v>246</v>
      </c>
      <c r="P97" s="78">
        <v>45360</v>
      </c>
      <c r="Q97" t="str">
        <f t="shared" si="1"/>
        <v>Boka Norman Eliot - Katana SE</v>
      </c>
      <c r="R97" t="s">
        <v>636</v>
      </c>
      <c r="S97" t="s">
        <v>636</v>
      </c>
      <c r="T97" t="s">
        <v>645</v>
      </c>
    </row>
    <row r="98" spans="1:20" x14ac:dyDescent="0.3">
      <c r="A98" t="s">
        <v>244</v>
      </c>
      <c r="B98" s="50">
        <v>2</v>
      </c>
      <c r="C98">
        <v>2</v>
      </c>
      <c r="D98" t="str">
        <f t="shared" si="2"/>
        <v>Kumite</v>
      </c>
      <c r="E98" t="s">
        <v>249</v>
      </c>
      <c r="F98" s="83" t="s">
        <v>509</v>
      </c>
      <c r="G98" s="50" t="str">
        <f t="shared" si="3"/>
        <v>14</v>
      </c>
      <c r="H98" t="str">
        <f t="shared" si="4"/>
        <v>16 fős egyenes kiesés</v>
      </c>
      <c r="I98" s="50" t="str">
        <f>"2"</f>
        <v>2</v>
      </c>
      <c r="J98" t="str">
        <f>"Kovács Milán"</f>
        <v>Kovács Milán</v>
      </c>
      <c r="K98" t="s">
        <v>325</v>
      </c>
      <c r="L98" t="str">
        <f t="shared" si="5"/>
        <v>HUN</v>
      </c>
      <c r="M98">
        <v>6</v>
      </c>
      <c r="O98" t="s">
        <v>246</v>
      </c>
      <c r="P98" s="78">
        <v>45360</v>
      </c>
      <c r="Q98" t="str">
        <f t="shared" si="1"/>
        <v>Kovács Milán - Katana SE</v>
      </c>
      <c r="R98" t="s">
        <v>636</v>
      </c>
      <c r="S98" t="s">
        <v>636</v>
      </c>
      <c r="T98" t="s">
        <v>645</v>
      </c>
    </row>
    <row r="99" spans="1:20" x14ac:dyDescent="0.3">
      <c r="A99" t="s">
        <v>244</v>
      </c>
      <c r="B99" s="50">
        <v>2</v>
      </c>
      <c r="C99">
        <v>3</v>
      </c>
      <c r="D99" t="str">
        <f t="shared" si="2"/>
        <v>Kumite</v>
      </c>
      <c r="E99" t="s">
        <v>249</v>
      </c>
      <c r="F99" s="83" t="s">
        <v>509</v>
      </c>
      <c r="G99" s="50" t="str">
        <f t="shared" si="3"/>
        <v>14</v>
      </c>
      <c r="H99" t="str">
        <f t="shared" si="4"/>
        <v>16 fős egyenes kiesés</v>
      </c>
      <c r="I99" s="50" t="str">
        <f>"3"</f>
        <v>3</v>
      </c>
      <c r="J99" t="str">
        <f>"Nagy Zétény"</f>
        <v>Nagy Zétény</v>
      </c>
      <c r="K99" t="s">
        <v>47</v>
      </c>
      <c r="L99" t="str">
        <f t="shared" si="5"/>
        <v>HUN</v>
      </c>
      <c r="M99">
        <v>4</v>
      </c>
      <c r="O99" t="s">
        <v>246</v>
      </c>
      <c r="P99" s="78">
        <v>45360</v>
      </c>
      <c r="Q99" t="str">
        <f t="shared" si="1"/>
        <v>Nagy Zétény - BHMSE</v>
      </c>
      <c r="R99" t="s">
        <v>636</v>
      </c>
      <c r="S99" t="s">
        <v>636</v>
      </c>
      <c r="T99" t="s">
        <v>645</v>
      </c>
    </row>
    <row r="100" spans="1:20" x14ac:dyDescent="0.3">
      <c r="A100" t="s">
        <v>244</v>
      </c>
      <c r="B100" s="50">
        <v>2</v>
      </c>
      <c r="C100">
        <v>4</v>
      </c>
      <c r="D100" t="str">
        <f t="shared" si="2"/>
        <v>Kumite</v>
      </c>
      <c r="E100" t="s">
        <v>249</v>
      </c>
      <c r="F100" s="83" t="s">
        <v>509</v>
      </c>
      <c r="G100" s="50" t="str">
        <f t="shared" si="3"/>
        <v>14</v>
      </c>
      <c r="H100" t="str">
        <f t="shared" si="4"/>
        <v>16 fős egyenes kiesés</v>
      </c>
      <c r="I100" s="50" t="str">
        <f>"3"</f>
        <v>3</v>
      </c>
      <c r="J100" t="str">
        <f>"Szenner Valentin"</f>
        <v>Szenner Valentin</v>
      </c>
      <c r="K100" t="s">
        <v>325</v>
      </c>
      <c r="L100" t="str">
        <f t="shared" si="5"/>
        <v>HUN</v>
      </c>
      <c r="M100">
        <v>4</v>
      </c>
      <c r="O100" t="s">
        <v>246</v>
      </c>
      <c r="P100" s="78">
        <v>45360</v>
      </c>
      <c r="Q100" t="str">
        <f t="shared" si="1"/>
        <v>Szenner Valentin - Katana SE</v>
      </c>
      <c r="R100" t="s">
        <v>636</v>
      </c>
      <c r="S100" t="s">
        <v>636</v>
      </c>
      <c r="T100" t="s">
        <v>645</v>
      </c>
    </row>
    <row r="101" spans="1:20" x14ac:dyDescent="0.3">
      <c r="A101" t="s">
        <v>244</v>
      </c>
      <c r="B101" s="50">
        <v>2</v>
      </c>
      <c r="D101" t="str">
        <f t="shared" si="2"/>
        <v>Kumite</v>
      </c>
      <c r="E101" t="s">
        <v>249</v>
      </c>
      <c r="F101" s="83" t="s">
        <v>509</v>
      </c>
      <c r="G101" s="50" t="str">
        <f t="shared" si="3"/>
        <v>14</v>
      </c>
      <c r="H101" t="str">
        <f t="shared" si="4"/>
        <v>16 fős egyenes kiesés</v>
      </c>
      <c r="I101" s="96" t="s">
        <v>302</v>
      </c>
      <c r="J101" t="s">
        <v>303</v>
      </c>
      <c r="K101" t="s">
        <v>11</v>
      </c>
      <c r="L101" t="str">
        <f t="shared" si="5"/>
        <v>HUN</v>
      </c>
      <c r="M101">
        <v>2</v>
      </c>
      <c r="N101" t="s">
        <v>304</v>
      </c>
      <c r="O101" t="s">
        <v>246</v>
      </c>
      <c r="P101" s="78">
        <v>45360</v>
      </c>
      <c r="Q101" t="str">
        <f t="shared" si="1"/>
        <v>Kantó Máté - Spirit SE.</v>
      </c>
      <c r="R101" t="s">
        <v>636</v>
      </c>
      <c r="S101" t="s">
        <v>636</v>
      </c>
      <c r="T101" t="s">
        <v>645</v>
      </c>
    </row>
    <row r="102" spans="1:20" x14ac:dyDescent="0.3">
      <c r="A102" t="s">
        <v>244</v>
      </c>
      <c r="B102" s="50">
        <v>2</v>
      </c>
      <c r="D102" t="str">
        <f t="shared" si="2"/>
        <v>Kumite</v>
      </c>
      <c r="E102" t="s">
        <v>249</v>
      </c>
      <c r="F102" s="83" t="s">
        <v>509</v>
      </c>
      <c r="G102" s="50" t="str">
        <f t="shared" si="3"/>
        <v>14</v>
      </c>
      <c r="H102" t="str">
        <f t="shared" si="4"/>
        <v>16 fős egyenes kiesés</v>
      </c>
      <c r="I102" s="96" t="s">
        <v>302</v>
      </c>
      <c r="J102" t="s">
        <v>305</v>
      </c>
      <c r="K102" t="s">
        <v>37</v>
      </c>
      <c r="L102" t="str">
        <f t="shared" si="5"/>
        <v>HUN</v>
      </c>
      <c r="M102">
        <v>2</v>
      </c>
      <c r="N102" t="s">
        <v>304</v>
      </c>
      <c r="O102" t="s">
        <v>246</v>
      </c>
      <c r="P102" s="78">
        <v>45360</v>
      </c>
      <c r="Q102" t="str">
        <f t="shared" si="1"/>
        <v>Zajácz Miklós - Kamikaze S</v>
      </c>
      <c r="R102" t="s">
        <v>636</v>
      </c>
      <c r="S102" t="s">
        <v>636</v>
      </c>
      <c r="T102" t="s">
        <v>645</v>
      </c>
    </row>
    <row r="103" spans="1:20" x14ac:dyDescent="0.3">
      <c r="A103" t="s">
        <v>244</v>
      </c>
      <c r="B103" s="50">
        <v>2</v>
      </c>
      <c r="D103" t="str">
        <f t="shared" si="2"/>
        <v>Kumite</v>
      </c>
      <c r="E103" t="s">
        <v>249</v>
      </c>
      <c r="F103" s="83" t="s">
        <v>509</v>
      </c>
      <c r="G103" s="50" t="str">
        <f t="shared" si="3"/>
        <v>14</v>
      </c>
      <c r="H103" t="str">
        <f t="shared" si="4"/>
        <v>16 fős egyenes kiesés</v>
      </c>
      <c r="I103" s="96" t="s">
        <v>302</v>
      </c>
      <c r="J103" t="s">
        <v>306</v>
      </c>
      <c r="K103" t="s">
        <v>307</v>
      </c>
      <c r="L103" t="str">
        <f t="shared" si="5"/>
        <v>HUN</v>
      </c>
      <c r="M103">
        <v>2</v>
      </c>
      <c r="N103" t="s">
        <v>304</v>
      </c>
      <c r="O103" t="s">
        <v>246</v>
      </c>
      <c r="P103" s="78">
        <v>45360</v>
      </c>
      <c r="Q103" t="str">
        <f t="shared" si="1"/>
        <v>Virág Oszkár - Rokku KKSE</v>
      </c>
      <c r="R103" t="s">
        <v>636</v>
      </c>
      <c r="S103" t="s">
        <v>636</v>
      </c>
      <c r="T103" t="s">
        <v>645</v>
      </c>
    </row>
    <row r="104" spans="1:20" x14ac:dyDescent="0.3">
      <c r="A104" t="s">
        <v>244</v>
      </c>
      <c r="B104" s="50">
        <v>2</v>
      </c>
      <c r="D104" t="str">
        <f t="shared" si="2"/>
        <v>Kumite</v>
      </c>
      <c r="E104" t="s">
        <v>249</v>
      </c>
      <c r="F104" s="83" t="s">
        <v>509</v>
      </c>
      <c r="G104" s="50" t="str">
        <f t="shared" si="3"/>
        <v>14</v>
      </c>
      <c r="H104" t="str">
        <f t="shared" si="4"/>
        <v>16 fős egyenes kiesés</v>
      </c>
      <c r="I104" s="96" t="s">
        <v>302</v>
      </c>
      <c r="J104" t="s">
        <v>308</v>
      </c>
      <c r="K104" t="s">
        <v>309</v>
      </c>
      <c r="L104" t="str">
        <f t="shared" si="5"/>
        <v>HUN</v>
      </c>
      <c r="M104">
        <v>2</v>
      </c>
      <c r="N104" t="s">
        <v>304</v>
      </c>
      <c r="O104" t="s">
        <v>246</v>
      </c>
      <c r="P104" s="78">
        <v>45360</v>
      </c>
      <c r="Q104" t="str">
        <f t="shared" si="1"/>
        <v>Bálint Gábor - POWER SE.</v>
      </c>
      <c r="R104" t="s">
        <v>636</v>
      </c>
      <c r="S104" t="s">
        <v>636</v>
      </c>
      <c r="T104" t="s">
        <v>645</v>
      </c>
    </row>
    <row r="105" spans="1:20" x14ac:dyDescent="0.3">
      <c r="A105" t="s">
        <v>244</v>
      </c>
      <c r="B105" s="50">
        <v>2</v>
      </c>
      <c r="C105">
        <v>5</v>
      </c>
      <c r="D105" t="str">
        <f t="shared" si="2"/>
        <v>Kumite</v>
      </c>
      <c r="E105" t="s">
        <v>250</v>
      </c>
      <c r="F105" s="83" t="s">
        <v>511</v>
      </c>
      <c r="G105" s="50" t="str">
        <f>"9"</f>
        <v>9</v>
      </c>
      <c r="H105" t="str">
        <f t="shared" si="4"/>
        <v>16 fős egyenes kiesés</v>
      </c>
      <c r="I105" s="50" t="str">
        <f>"1"</f>
        <v>1</v>
      </c>
      <c r="J105" t="str">
        <f>"Sipos-Cserjési Horka"</f>
        <v>Sipos-Cserjési Horka</v>
      </c>
      <c r="K105" t="s">
        <v>47</v>
      </c>
      <c r="L105" t="str">
        <f t="shared" si="5"/>
        <v>HUN</v>
      </c>
      <c r="M105">
        <v>8</v>
      </c>
      <c r="O105" t="s">
        <v>246</v>
      </c>
      <c r="P105" s="78">
        <v>45360</v>
      </c>
      <c r="Q105" t="str">
        <f t="shared" si="1"/>
        <v>Sipos-Cserjési Horka - BHMSE</v>
      </c>
      <c r="R105" t="s">
        <v>636</v>
      </c>
      <c r="S105" t="s">
        <v>636</v>
      </c>
      <c r="T105" t="s">
        <v>645</v>
      </c>
    </row>
    <row r="106" spans="1:20" x14ac:dyDescent="0.3">
      <c r="A106" t="s">
        <v>244</v>
      </c>
      <c r="B106" s="50">
        <v>2</v>
      </c>
      <c r="C106">
        <v>6</v>
      </c>
      <c r="D106" t="str">
        <f t="shared" si="2"/>
        <v>Kumite</v>
      </c>
      <c r="E106" t="s">
        <v>250</v>
      </c>
      <c r="F106" s="83" t="s">
        <v>511</v>
      </c>
      <c r="G106" s="50" t="str">
        <f>"9"</f>
        <v>9</v>
      </c>
      <c r="H106" t="str">
        <f t="shared" si="4"/>
        <v>16 fős egyenes kiesés</v>
      </c>
      <c r="I106" s="50" t="str">
        <f>"2"</f>
        <v>2</v>
      </c>
      <c r="J106" t="str">
        <f>"Árendás Botond"</f>
        <v>Árendás Botond</v>
      </c>
      <c r="K106" t="s">
        <v>150</v>
      </c>
      <c r="L106" t="str">
        <f t="shared" si="5"/>
        <v>HUN</v>
      </c>
      <c r="M106">
        <v>6</v>
      </c>
      <c r="O106" t="s">
        <v>246</v>
      </c>
      <c r="P106" s="78">
        <v>45360</v>
      </c>
      <c r="Q106" t="str">
        <f t="shared" si="1"/>
        <v>Árendás Botond - KSE Tarján</v>
      </c>
      <c r="R106" t="s">
        <v>636</v>
      </c>
      <c r="S106" t="s">
        <v>636</v>
      </c>
      <c r="T106" t="s">
        <v>645</v>
      </c>
    </row>
    <row r="107" spans="1:20" x14ac:dyDescent="0.3">
      <c r="A107" t="s">
        <v>244</v>
      </c>
      <c r="B107" s="50">
        <v>2</v>
      </c>
      <c r="C107">
        <v>7</v>
      </c>
      <c r="D107" t="str">
        <f t="shared" si="2"/>
        <v>Kumite</v>
      </c>
      <c r="E107" t="s">
        <v>250</v>
      </c>
      <c r="F107" s="83" t="s">
        <v>511</v>
      </c>
      <c r="G107" s="50" t="str">
        <f>"9"</f>
        <v>9</v>
      </c>
      <c r="H107" t="str">
        <f t="shared" si="4"/>
        <v>16 fős egyenes kiesés</v>
      </c>
      <c r="I107" s="50" t="str">
        <f>"3"</f>
        <v>3</v>
      </c>
      <c r="J107" t="str">
        <f>"Szabó Máté Péter"</f>
        <v>Szabó Máté Péter</v>
      </c>
      <c r="K107" t="s">
        <v>323</v>
      </c>
      <c r="L107" t="str">
        <f t="shared" si="5"/>
        <v>HUN</v>
      </c>
      <c r="M107">
        <v>4</v>
      </c>
      <c r="O107" t="s">
        <v>246</v>
      </c>
      <c r="P107" s="78">
        <v>45360</v>
      </c>
      <c r="Q107" t="str">
        <f t="shared" si="1"/>
        <v>Szabó Máté Péter - HARCOSOK KLUBJA</v>
      </c>
      <c r="R107" t="s">
        <v>636</v>
      </c>
      <c r="S107" t="s">
        <v>636</v>
      </c>
      <c r="T107" t="s">
        <v>645</v>
      </c>
    </row>
    <row r="108" spans="1:20" x14ac:dyDescent="0.3">
      <c r="A108" t="s">
        <v>244</v>
      </c>
      <c r="B108" s="50">
        <v>2</v>
      </c>
      <c r="C108">
        <v>8</v>
      </c>
      <c r="D108" t="str">
        <f t="shared" si="2"/>
        <v>Kumite</v>
      </c>
      <c r="E108" t="s">
        <v>250</v>
      </c>
      <c r="F108" s="83" t="s">
        <v>511</v>
      </c>
      <c r="G108" s="50" t="str">
        <f>"9"</f>
        <v>9</v>
      </c>
      <c r="H108" t="str">
        <f t="shared" si="4"/>
        <v>16 fős egyenes kiesés</v>
      </c>
      <c r="I108" s="50" t="str">
        <f>"3"</f>
        <v>3</v>
      </c>
      <c r="J108" t="str">
        <f>"Horváth Kornél"</f>
        <v>Horváth Kornél</v>
      </c>
      <c r="K108" t="s">
        <v>323</v>
      </c>
      <c r="L108" t="str">
        <f t="shared" si="5"/>
        <v>HUN</v>
      </c>
      <c r="M108">
        <v>4</v>
      </c>
      <c r="O108" t="s">
        <v>246</v>
      </c>
      <c r="P108" s="78">
        <v>45360</v>
      </c>
      <c r="Q108" t="str">
        <f t="shared" si="1"/>
        <v>Horváth Kornél - HARCOSOK KLUBJA</v>
      </c>
      <c r="R108" t="s">
        <v>636</v>
      </c>
      <c r="S108" t="s">
        <v>636</v>
      </c>
      <c r="T108" t="s">
        <v>645</v>
      </c>
    </row>
    <row r="109" spans="1:20" x14ac:dyDescent="0.3">
      <c r="A109" t="s">
        <v>244</v>
      </c>
      <c r="B109" s="50">
        <v>2</v>
      </c>
      <c r="C109">
        <v>9</v>
      </c>
      <c r="D109" t="str">
        <f t="shared" si="2"/>
        <v>Kumite</v>
      </c>
      <c r="E109" t="s">
        <v>251</v>
      </c>
      <c r="F109" s="83" t="s">
        <v>513</v>
      </c>
      <c r="G109" s="50" t="str">
        <f>"5"</f>
        <v>5</v>
      </c>
      <c r="H109" t="str">
        <f>"5 fős körmérkőzés"</f>
        <v>5 fős körmérkőzés</v>
      </c>
      <c r="I109" s="50" t="str">
        <f>"1"</f>
        <v>1</v>
      </c>
      <c r="J109" t="str">
        <f>"Adamecz Milán"</f>
        <v>Adamecz Milán</v>
      </c>
      <c r="K109" t="s">
        <v>167</v>
      </c>
      <c r="L109" t="str">
        <f t="shared" si="5"/>
        <v>HUN</v>
      </c>
      <c r="M109">
        <v>8</v>
      </c>
      <c r="O109" t="s">
        <v>246</v>
      </c>
      <c r="P109" s="78">
        <v>45360</v>
      </c>
      <c r="Q109" t="str">
        <f t="shared" si="1"/>
        <v>Adamecz Milán - Nagykátai Bushido SE</v>
      </c>
      <c r="R109" t="s">
        <v>636</v>
      </c>
      <c r="S109" t="s">
        <v>636</v>
      </c>
      <c r="T109" t="s">
        <v>645</v>
      </c>
    </row>
    <row r="110" spans="1:20" x14ac:dyDescent="0.3">
      <c r="A110" t="s">
        <v>244</v>
      </c>
      <c r="B110" s="50">
        <v>2</v>
      </c>
      <c r="C110">
        <v>10</v>
      </c>
      <c r="D110" t="str">
        <f t="shared" si="2"/>
        <v>Kumite</v>
      </c>
      <c r="E110" t="s">
        <v>251</v>
      </c>
      <c r="F110" s="83" t="s">
        <v>513</v>
      </c>
      <c r="G110" s="50" t="str">
        <f>"5"</f>
        <v>5</v>
      </c>
      <c r="H110" t="str">
        <f>"5 fős körmérkőzés"</f>
        <v>5 fős körmérkőzés</v>
      </c>
      <c r="I110" s="50" t="str">
        <f>"2"</f>
        <v>2</v>
      </c>
      <c r="J110" t="str">
        <f>"Gecsei Zalán"</f>
        <v>Gecsei Zalán</v>
      </c>
      <c r="K110" t="s">
        <v>150</v>
      </c>
      <c r="L110" t="str">
        <f t="shared" si="5"/>
        <v>HUN</v>
      </c>
      <c r="M110">
        <v>6</v>
      </c>
      <c r="O110" t="s">
        <v>246</v>
      </c>
      <c r="P110" s="78">
        <v>45360</v>
      </c>
      <c r="Q110" t="str">
        <f t="shared" si="1"/>
        <v>Gecsei Zalán - KSE Tarján</v>
      </c>
      <c r="R110" t="s">
        <v>636</v>
      </c>
      <c r="S110" t="s">
        <v>636</v>
      </c>
      <c r="T110" t="s">
        <v>645</v>
      </c>
    </row>
    <row r="111" spans="1:20" x14ac:dyDescent="0.3">
      <c r="A111" t="s">
        <v>244</v>
      </c>
      <c r="B111" s="50">
        <v>2</v>
      </c>
      <c r="C111">
        <v>11</v>
      </c>
      <c r="D111" t="str">
        <f t="shared" si="2"/>
        <v>Kumite</v>
      </c>
      <c r="E111" t="s">
        <v>251</v>
      </c>
      <c r="F111" s="83" t="s">
        <v>513</v>
      </c>
      <c r="G111" s="50" t="str">
        <f>"5"</f>
        <v>5</v>
      </c>
      <c r="H111" t="str">
        <f>"5 fős körmérkőzés"</f>
        <v>5 fős körmérkőzés</v>
      </c>
      <c r="I111" s="50" t="str">
        <f>"3"</f>
        <v>3</v>
      </c>
      <c r="J111" t="str">
        <f>"Tálas Csongor"</f>
        <v>Tálas Csongor</v>
      </c>
      <c r="K111" t="s">
        <v>79</v>
      </c>
      <c r="L111" t="str">
        <f t="shared" si="5"/>
        <v>HUN</v>
      </c>
      <c r="M111">
        <v>4</v>
      </c>
      <c r="O111" t="s">
        <v>246</v>
      </c>
      <c r="P111" s="78">
        <v>45360</v>
      </c>
      <c r="Q111" t="str">
        <f t="shared" si="1"/>
        <v>Tálas Csongor - Ippon KKSE</v>
      </c>
      <c r="R111" t="s">
        <v>636</v>
      </c>
      <c r="S111" t="s">
        <v>636</v>
      </c>
      <c r="T111" t="s">
        <v>645</v>
      </c>
    </row>
    <row r="112" spans="1:20" x14ac:dyDescent="0.3">
      <c r="A112" t="s">
        <v>244</v>
      </c>
      <c r="B112" s="50">
        <v>2</v>
      </c>
      <c r="C112">
        <v>11</v>
      </c>
      <c r="D112" t="str">
        <f t="shared" si="2"/>
        <v>Kumite</v>
      </c>
      <c r="E112" t="s">
        <v>251</v>
      </c>
      <c r="F112" s="83" t="s">
        <v>513</v>
      </c>
      <c r="G112" s="50" t="str">
        <f>"5"</f>
        <v>5</v>
      </c>
      <c r="H112" t="str">
        <f>"5 fős körmérkőzés"</f>
        <v>5 fős körmérkőzés</v>
      </c>
      <c r="I112" s="50">
        <v>4</v>
      </c>
      <c r="J112" t="s">
        <v>339</v>
      </c>
      <c r="K112" t="s">
        <v>67</v>
      </c>
      <c r="L112" t="str">
        <f t="shared" si="5"/>
        <v>HUN</v>
      </c>
      <c r="M112">
        <v>3</v>
      </c>
      <c r="N112" t="s">
        <v>340</v>
      </c>
      <c r="O112" t="s">
        <v>246</v>
      </c>
      <c r="P112" s="78">
        <v>45360</v>
      </c>
      <c r="Q112" t="str">
        <f t="shared" si="1"/>
        <v>Jónás Alex - Rakurai</v>
      </c>
      <c r="R112" t="s">
        <v>636</v>
      </c>
      <c r="S112" t="s">
        <v>636</v>
      </c>
      <c r="T112" t="s">
        <v>645</v>
      </c>
    </row>
    <row r="113" spans="1:20" x14ac:dyDescent="0.3">
      <c r="A113" t="s">
        <v>244</v>
      </c>
      <c r="B113" s="50">
        <v>2</v>
      </c>
      <c r="C113">
        <v>12</v>
      </c>
      <c r="D113" t="str">
        <f t="shared" ref="D113:D118" si="6">"Kata"</f>
        <v>Kata</v>
      </c>
      <c r="E113" t="s">
        <v>252</v>
      </c>
      <c r="F113" s="83" t="s">
        <v>514</v>
      </c>
      <c r="G113" s="50" t="str">
        <f t="shared" ref="G113:G118" si="7">"12"</f>
        <v>12</v>
      </c>
      <c r="H113" t="str">
        <f t="shared" ref="H113:H123" si="8">"16 fős egyenes kiesés"</f>
        <v>16 fős egyenes kiesés</v>
      </c>
      <c r="I113" s="50" t="str">
        <f>"1"</f>
        <v>1</v>
      </c>
      <c r="J113" t="str">
        <f>"Hegedűs Vencel"</f>
        <v>Hegedűs Vencel</v>
      </c>
      <c r="K113" t="s">
        <v>167</v>
      </c>
      <c r="L113" t="str">
        <f t="shared" si="5"/>
        <v>HUN</v>
      </c>
      <c r="M113">
        <v>6</v>
      </c>
      <c r="O113" t="s">
        <v>246</v>
      </c>
      <c r="P113" s="78">
        <v>45360</v>
      </c>
      <c r="Q113" t="str">
        <f t="shared" si="1"/>
        <v>Hegedűs Vencel - Nagykátai Bushido SE</v>
      </c>
      <c r="R113" t="s">
        <v>636</v>
      </c>
      <c r="S113" t="s">
        <v>636</v>
      </c>
      <c r="T113" t="s">
        <v>645</v>
      </c>
    </row>
    <row r="114" spans="1:20" x14ac:dyDescent="0.3">
      <c r="A114" t="s">
        <v>244</v>
      </c>
      <c r="B114" s="50">
        <v>2</v>
      </c>
      <c r="C114">
        <v>13</v>
      </c>
      <c r="D114" t="str">
        <f t="shared" si="6"/>
        <v>Kata</v>
      </c>
      <c r="E114" t="s">
        <v>252</v>
      </c>
      <c r="F114" s="83" t="s">
        <v>514</v>
      </c>
      <c r="G114" s="50" t="str">
        <f t="shared" si="7"/>
        <v>12</v>
      </c>
      <c r="H114" t="str">
        <f t="shared" si="8"/>
        <v>16 fős egyenes kiesés</v>
      </c>
      <c r="I114" s="50" t="str">
        <f>"2"</f>
        <v>2</v>
      </c>
      <c r="J114" t="str">
        <f>"Nagy Zétény"</f>
        <v>Nagy Zétény</v>
      </c>
      <c r="K114" t="s">
        <v>47</v>
      </c>
      <c r="L114" t="str">
        <f t="shared" si="5"/>
        <v>HUN</v>
      </c>
      <c r="M114">
        <v>5</v>
      </c>
      <c r="O114" t="s">
        <v>246</v>
      </c>
      <c r="P114" s="78">
        <v>45360</v>
      </c>
      <c r="Q114" t="str">
        <f t="shared" si="1"/>
        <v>Nagy Zétény - BHMSE</v>
      </c>
      <c r="R114" t="s">
        <v>636</v>
      </c>
      <c r="S114" t="s">
        <v>636</v>
      </c>
      <c r="T114" t="s">
        <v>645</v>
      </c>
    </row>
    <row r="115" spans="1:20" x14ac:dyDescent="0.3">
      <c r="A115" t="s">
        <v>244</v>
      </c>
      <c r="B115" s="50">
        <v>2</v>
      </c>
      <c r="C115">
        <v>14</v>
      </c>
      <c r="D115" t="str">
        <f t="shared" si="6"/>
        <v>Kata</v>
      </c>
      <c r="E115" t="s">
        <v>252</v>
      </c>
      <c r="F115" s="83" t="s">
        <v>514</v>
      </c>
      <c r="G115" s="50" t="str">
        <f t="shared" si="7"/>
        <v>12</v>
      </c>
      <c r="H115" t="str">
        <f t="shared" si="8"/>
        <v>16 fős egyenes kiesés</v>
      </c>
      <c r="I115" s="50" t="str">
        <f>"3"</f>
        <v>3</v>
      </c>
      <c r="J115" t="str">
        <f>"Eperjesi Dávid"</f>
        <v>Eperjesi Dávid</v>
      </c>
      <c r="K115" t="s">
        <v>47</v>
      </c>
      <c r="L115" t="str">
        <f t="shared" si="5"/>
        <v>HUN</v>
      </c>
      <c r="M115">
        <v>3</v>
      </c>
      <c r="O115" t="s">
        <v>246</v>
      </c>
      <c r="P115" s="78">
        <v>45360</v>
      </c>
      <c r="Q115" t="str">
        <f t="shared" si="1"/>
        <v>Eperjesi Dávid - BHMSE</v>
      </c>
      <c r="R115" t="s">
        <v>636</v>
      </c>
      <c r="S115" t="s">
        <v>636</v>
      </c>
      <c r="T115" t="s">
        <v>645</v>
      </c>
    </row>
    <row r="116" spans="1:20" x14ac:dyDescent="0.3">
      <c r="A116" t="s">
        <v>244</v>
      </c>
      <c r="B116" s="50">
        <v>2</v>
      </c>
      <c r="C116">
        <v>15</v>
      </c>
      <c r="D116" t="str">
        <f t="shared" si="6"/>
        <v>Kata</v>
      </c>
      <c r="E116" t="s">
        <v>252</v>
      </c>
      <c r="F116" s="83" t="s">
        <v>514</v>
      </c>
      <c r="G116" s="50" t="str">
        <f t="shared" si="7"/>
        <v>12</v>
      </c>
      <c r="H116" t="str">
        <f t="shared" si="8"/>
        <v>16 fős egyenes kiesés</v>
      </c>
      <c r="I116" s="50" t="str">
        <f>"3"</f>
        <v>3</v>
      </c>
      <c r="J116" t="str">
        <f>"Alkaddour Hareth Ákos"</f>
        <v>Alkaddour Hareth Ákos</v>
      </c>
      <c r="K116" t="s">
        <v>47</v>
      </c>
      <c r="L116" t="str">
        <f t="shared" si="5"/>
        <v>HUN</v>
      </c>
      <c r="M116">
        <v>3</v>
      </c>
      <c r="O116" t="s">
        <v>246</v>
      </c>
      <c r="P116" s="78">
        <v>45360</v>
      </c>
      <c r="Q116" t="str">
        <f t="shared" si="1"/>
        <v>Alkaddour Hareth Ákos - BHMSE</v>
      </c>
      <c r="R116" t="s">
        <v>636</v>
      </c>
      <c r="S116" t="s">
        <v>636</v>
      </c>
      <c r="T116" t="s">
        <v>645</v>
      </c>
    </row>
    <row r="117" spans="1:20" x14ac:dyDescent="0.3">
      <c r="A117" t="s">
        <v>244</v>
      </c>
      <c r="B117" s="50">
        <v>2</v>
      </c>
      <c r="C117">
        <v>15</v>
      </c>
      <c r="D117" t="str">
        <f t="shared" si="6"/>
        <v>Kata</v>
      </c>
      <c r="E117" t="s">
        <v>252</v>
      </c>
      <c r="F117" s="83" t="s">
        <v>514</v>
      </c>
      <c r="G117" s="50" t="str">
        <f t="shared" si="7"/>
        <v>12</v>
      </c>
      <c r="H117" t="str">
        <f t="shared" si="8"/>
        <v>16 fős egyenes kiesés</v>
      </c>
      <c r="I117" s="67" t="s">
        <v>302</v>
      </c>
      <c r="J117" t="s">
        <v>341</v>
      </c>
      <c r="K117" t="s">
        <v>47</v>
      </c>
      <c r="L117" t="str">
        <f t="shared" si="5"/>
        <v>HUN</v>
      </c>
      <c r="M117">
        <v>1</v>
      </c>
      <c r="N117" t="s">
        <v>304</v>
      </c>
      <c r="O117" t="s">
        <v>246</v>
      </c>
      <c r="P117" s="78">
        <v>45360</v>
      </c>
      <c r="Q117" t="str">
        <f t="shared" si="1"/>
        <v>Gombos-Weidinger Zsombor - BHMSE</v>
      </c>
      <c r="R117" t="s">
        <v>636</v>
      </c>
      <c r="S117" t="s">
        <v>636</v>
      </c>
      <c r="T117" t="s">
        <v>645</v>
      </c>
    </row>
    <row r="118" spans="1:20" x14ac:dyDescent="0.3">
      <c r="A118" t="s">
        <v>244</v>
      </c>
      <c r="B118" s="50">
        <v>2</v>
      </c>
      <c r="C118">
        <v>15</v>
      </c>
      <c r="D118" t="str">
        <f t="shared" si="6"/>
        <v>Kata</v>
      </c>
      <c r="E118" t="s">
        <v>252</v>
      </c>
      <c r="F118" s="83" t="s">
        <v>514</v>
      </c>
      <c r="G118" s="50" t="str">
        <f t="shared" si="7"/>
        <v>12</v>
      </c>
      <c r="H118" t="str">
        <f t="shared" si="8"/>
        <v>16 fős egyenes kiesés</v>
      </c>
      <c r="I118" s="67" t="s">
        <v>302</v>
      </c>
      <c r="J118" t="s">
        <v>342</v>
      </c>
      <c r="K118" t="s">
        <v>67</v>
      </c>
      <c r="L118" t="str">
        <f t="shared" si="5"/>
        <v>HUN</v>
      </c>
      <c r="M118">
        <v>1</v>
      </c>
      <c r="N118" t="s">
        <v>304</v>
      </c>
      <c r="O118" t="s">
        <v>246</v>
      </c>
      <c r="P118" s="78">
        <v>45360</v>
      </c>
      <c r="Q118" t="str">
        <f t="shared" si="1"/>
        <v>Hideg Krisztián - Rakurai</v>
      </c>
      <c r="R118" t="s">
        <v>636</v>
      </c>
      <c r="S118" t="s">
        <v>636</v>
      </c>
      <c r="T118" t="s">
        <v>645</v>
      </c>
    </row>
    <row r="119" spans="1:20" x14ac:dyDescent="0.3">
      <c r="A119" t="s">
        <v>244</v>
      </c>
      <c r="B119" s="50">
        <v>2</v>
      </c>
      <c r="C119">
        <v>16</v>
      </c>
      <c r="D119" t="str">
        <f t="shared" ref="D119:D127" si="9">"Kumite"</f>
        <v>Kumite</v>
      </c>
      <c r="E119" t="s">
        <v>253</v>
      </c>
      <c r="F119" s="83" t="s">
        <v>515</v>
      </c>
      <c r="G119" s="50" t="str">
        <f>"10"</f>
        <v>10</v>
      </c>
      <c r="H119" t="str">
        <f t="shared" si="8"/>
        <v>16 fős egyenes kiesés</v>
      </c>
      <c r="I119" s="50" t="str">
        <f>"1"</f>
        <v>1</v>
      </c>
      <c r="J119" t="str">
        <f>"Falus Zsuzsanna"</f>
        <v>Falus Zsuzsanna</v>
      </c>
      <c r="K119" t="s">
        <v>307</v>
      </c>
      <c r="L119" t="str">
        <f t="shared" si="5"/>
        <v>HUN</v>
      </c>
      <c r="M119">
        <v>8</v>
      </c>
      <c r="O119" t="s">
        <v>246</v>
      </c>
      <c r="P119" s="78">
        <v>45360</v>
      </c>
      <c r="Q119" t="str">
        <f t="shared" si="1"/>
        <v>Falus Zsuzsanna - Rokku KKSE</v>
      </c>
      <c r="R119" t="s">
        <v>636</v>
      </c>
      <c r="S119" t="s">
        <v>636</v>
      </c>
      <c r="T119" t="s">
        <v>645</v>
      </c>
    </row>
    <row r="120" spans="1:20" x14ac:dyDescent="0.3">
      <c r="A120" t="s">
        <v>244</v>
      </c>
      <c r="B120" s="50">
        <v>2</v>
      </c>
      <c r="C120">
        <v>17</v>
      </c>
      <c r="D120" t="str">
        <f t="shared" si="9"/>
        <v>Kumite</v>
      </c>
      <c r="E120" t="s">
        <v>253</v>
      </c>
      <c r="F120" s="83" t="s">
        <v>515</v>
      </c>
      <c r="G120" s="50" t="str">
        <f>"10"</f>
        <v>10</v>
      </c>
      <c r="H120" t="str">
        <f t="shared" si="8"/>
        <v>16 fős egyenes kiesés</v>
      </c>
      <c r="I120" s="50" t="str">
        <f>"2"</f>
        <v>2</v>
      </c>
      <c r="J120" t="str">
        <f>"Domján-Herbat Réka"</f>
        <v>Domján-Herbat Réka</v>
      </c>
      <c r="K120" t="s">
        <v>47</v>
      </c>
      <c r="L120" t="str">
        <f t="shared" si="5"/>
        <v>HUN</v>
      </c>
      <c r="M120">
        <v>6</v>
      </c>
      <c r="O120" t="s">
        <v>246</v>
      </c>
      <c r="P120" s="78">
        <v>45360</v>
      </c>
      <c r="Q120" t="str">
        <f t="shared" si="1"/>
        <v>Domján-Herbat Réka - BHMSE</v>
      </c>
      <c r="R120" t="s">
        <v>636</v>
      </c>
      <c r="S120" t="s">
        <v>636</v>
      </c>
      <c r="T120" t="s">
        <v>645</v>
      </c>
    </row>
    <row r="121" spans="1:20" x14ac:dyDescent="0.3">
      <c r="A121" t="s">
        <v>244</v>
      </c>
      <c r="B121" s="50">
        <v>2</v>
      </c>
      <c r="C121">
        <v>18</v>
      </c>
      <c r="D121" t="str">
        <f t="shared" si="9"/>
        <v>Kumite</v>
      </c>
      <c r="E121" t="s">
        <v>253</v>
      </c>
      <c r="F121" s="83" t="s">
        <v>515</v>
      </c>
      <c r="G121" s="50" t="str">
        <f>"10"</f>
        <v>10</v>
      </c>
      <c r="H121" t="str">
        <f t="shared" si="8"/>
        <v>16 fős egyenes kiesés</v>
      </c>
      <c r="I121" s="50" t="str">
        <f>"3"</f>
        <v>3</v>
      </c>
      <c r="J121" t="str">
        <f>"Jakubovics Nikolett"</f>
        <v>Jakubovics Nikolett</v>
      </c>
      <c r="K121" t="s">
        <v>47</v>
      </c>
      <c r="L121" t="str">
        <f t="shared" si="5"/>
        <v>HUN</v>
      </c>
      <c r="M121">
        <v>4</v>
      </c>
      <c r="O121" t="s">
        <v>246</v>
      </c>
      <c r="P121" s="78">
        <v>45360</v>
      </c>
      <c r="Q121" t="str">
        <f t="shared" si="1"/>
        <v>Jakubovics Nikolett - BHMSE</v>
      </c>
      <c r="R121" t="s">
        <v>636</v>
      </c>
      <c r="S121" t="s">
        <v>636</v>
      </c>
      <c r="T121" t="s">
        <v>645</v>
      </c>
    </row>
    <row r="122" spans="1:20" x14ac:dyDescent="0.3">
      <c r="A122" t="s">
        <v>244</v>
      </c>
      <c r="B122" s="50">
        <v>2</v>
      </c>
      <c r="C122">
        <v>19</v>
      </c>
      <c r="D122" t="str">
        <f t="shared" si="9"/>
        <v>Kumite</v>
      </c>
      <c r="E122" t="s">
        <v>253</v>
      </c>
      <c r="F122" s="83" t="s">
        <v>515</v>
      </c>
      <c r="G122" s="50" t="str">
        <f>"10"</f>
        <v>10</v>
      </c>
      <c r="H122" t="str">
        <f t="shared" si="8"/>
        <v>16 fős egyenes kiesés</v>
      </c>
      <c r="I122" s="50" t="str">
        <f>"3"</f>
        <v>3</v>
      </c>
      <c r="J122" t="str">
        <f>"Horváth Boróka"</f>
        <v>Horváth Boróka</v>
      </c>
      <c r="K122" t="s">
        <v>67</v>
      </c>
      <c r="L122" t="str">
        <f t="shared" si="5"/>
        <v>HUN</v>
      </c>
      <c r="M122">
        <v>4</v>
      </c>
      <c r="O122" t="s">
        <v>246</v>
      </c>
      <c r="P122" s="78">
        <v>45360</v>
      </c>
      <c r="Q122" t="str">
        <f t="shared" si="1"/>
        <v>Horváth Boróka - Rakurai</v>
      </c>
      <c r="R122" t="s">
        <v>636</v>
      </c>
      <c r="S122" t="s">
        <v>636</v>
      </c>
      <c r="T122" t="s">
        <v>645</v>
      </c>
    </row>
    <row r="123" spans="1:20" x14ac:dyDescent="0.3">
      <c r="A123" t="s">
        <v>244</v>
      </c>
      <c r="B123" s="50">
        <v>2</v>
      </c>
      <c r="C123">
        <v>19</v>
      </c>
      <c r="D123" t="str">
        <f t="shared" si="9"/>
        <v>Kumite</v>
      </c>
      <c r="E123" t="s">
        <v>253</v>
      </c>
      <c r="F123" s="83" t="s">
        <v>515</v>
      </c>
      <c r="G123" s="50" t="str">
        <f>"10"</f>
        <v>10</v>
      </c>
      <c r="H123" t="str">
        <f t="shared" si="8"/>
        <v>16 fős egyenes kiesés</v>
      </c>
      <c r="I123" s="67" t="s">
        <v>302</v>
      </c>
      <c r="J123" t="s">
        <v>343</v>
      </c>
      <c r="K123" t="s">
        <v>47</v>
      </c>
      <c r="L123" t="str">
        <f t="shared" si="5"/>
        <v>HUN</v>
      </c>
      <c r="M123">
        <v>2</v>
      </c>
      <c r="N123" t="s">
        <v>304</v>
      </c>
      <c r="O123" t="s">
        <v>246</v>
      </c>
      <c r="P123" s="78">
        <v>45360</v>
      </c>
      <c r="Q123" t="str">
        <f t="shared" si="1"/>
        <v>Thornton Ruby - BHMSE</v>
      </c>
      <c r="R123" t="s">
        <v>636</v>
      </c>
      <c r="S123" t="s">
        <v>636</v>
      </c>
      <c r="T123" t="s">
        <v>645</v>
      </c>
    </row>
    <row r="124" spans="1:20" x14ac:dyDescent="0.3">
      <c r="A124" t="s">
        <v>244</v>
      </c>
      <c r="B124" s="50">
        <v>2</v>
      </c>
      <c r="C124">
        <v>20</v>
      </c>
      <c r="D124" t="str">
        <f t="shared" si="9"/>
        <v>Kumite</v>
      </c>
      <c r="E124" t="s">
        <v>254</v>
      </c>
      <c r="F124" s="83" t="s">
        <v>516</v>
      </c>
      <c r="G124" s="50" t="str">
        <f>"2"</f>
        <v>2</v>
      </c>
      <c r="H124" t="str">
        <f>"2 fős egyenes kiesés"</f>
        <v>2 fős egyenes kiesés</v>
      </c>
      <c r="I124" s="50" t="str">
        <f>"1"</f>
        <v>1</v>
      </c>
      <c r="J124" t="str">
        <f>"Tóth Arina Bejke"</f>
        <v>Tóth Arina Bejke</v>
      </c>
      <c r="K124" t="s">
        <v>167</v>
      </c>
      <c r="L124" t="str">
        <f t="shared" si="5"/>
        <v>HUN</v>
      </c>
      <c r="M124">
        <v>3</v>
      </c>
      <c r="O124" t="s">
        <v>246</v>
      </c>
      <c r="P124" s="78">
        <v>45360</v>
      </c>
      <c r="Q124" t="str">
        <f t="shared" si="1"/>
        <v>Tóth Arina Bejke - Nagykátai Bushido SE</v>
      </c>
      <c r="R124" t="s">
        <v>636</v>
      </c>
      <c r="S124" t="s">
        <v>636</v>
      </c>
      <c r="T124" t="s">
        <v>645</v>
      </c>
    </row>
    <row r="125" spans="1:20" x14ac:dyDescent="0.3">
      <c r="A125" t="s">
        <v>244</v>
      </c>
      <c r="B125" s="50">
        <v>2</v>
      </c>
      <c r="C125">
        <v>21</v>
      </c>
      <c r="D125" t="str">
        <f t="shared" si="9"/>
        <v>Kumite</v>
      </c>
      <c r="E125" t="s">
        <v>254</v>
      </c>
      <c r="F125" s="83" t="s">
        <v>516</v>
      </c>
      <c r="G125" s="50" t="str">
        <f>"2"</f>
        <v>2</v>
      </c>
      <c r="H125" t="str">
        <f>"2 fős egyenes kiesés"</f>
        <v>2 fős egyenes kiesés</v>
      </c>
      <c r="I125" s="50" t="str">
        <f>"2"</f>
        <v>2</v>
      </c>
      <c r="J125" t="str">
        <f>"Spanjevic Frida"</f>
        <v>Spanjevic Frida</v>
      </c>
      <c r="K125" t="s">
        <v>47</v>
      </c>
      <c r="L125" t="str">
        <f t="shared" si="5"/>
        <v>HUN</v>
      </c>
      <c r="M125">
        <v>0</v>
      </c>
      <c r="N125" t="s">
        <v>158</v>
      </c>
      <c r="O125" t="s">
        <v>246</v>
      </c>
      <c r="P125" s="78">
        <v>45360</v>
      </c>
      <c r="Q125" t="str">
        <f t="shared" si="1"/>
        <v>Spanjevic Frida - BHMSE</v>
      </c>
      <c r="R125" t="s">
        <v>636</v>
      </c>
      <c r="S125" t="s">
        <v>636</v>
      </c>
      <c r="T125" t="s">
        <v>645</v>
      </c>
    </row>
    <row r="126" spans="1:20" x14ac:dyDescent="0.3">
      <c r="A126" t="s">
        <v>244</v>
      </c>
      <c r="B126" s="50">
        <v>2</v>
      </c>
      <c r="C126">
        <v>22</v>
      </c>
      <c r="D126" t="str">
        <f t="shared" si="9"/>
        <v>Kumite</v>
      </c>
      <c r="E126" t="s">
        <v>255</v>
      </c>
      <c r="F126" s="83" t="s">
        <v>519</v>
      </c>
      <c r="G126" s="50" t="str">
        <f>"2"</f>
        <v>2</v>
      </c>
      <c r="H126" t="str">
        <f>"2 fős egyenes kiesés"</f>
        <v>2 fős egyenes kiesés</v>
      </c>
      <c r="I126" s="50" t="str">
        <f>"1"</f>
        <v>1</v>
      </c>
      <c r="J126" t="str">
        <f>"Garamszegi Szófia"</f>
        <v>Garamszegi Szófia</v>
      </c>
      <c r="K126" t="s">
        <v>323</v>
      </c>
      <c r="L126" t="str">
        <f t="shared" si="5"/>
        <v>HUN</v>
      </c>
      <c r="M126">
        <v>3</v>
      </c>
      <c r="O126" t="s">
        <v>246</v>
      </c>
      <c r="P126" s="78">
        <v>45360</v>
      </c>
      <c r="Q126" t="str">
        <f t="shared" si="1"/>
        <v>Garamszegi Szófia - HARCOSOK KLUBJA</v>
      </c>
      <c r="R126" t="s">
        <v>636</v>
      </c>
      <c r="S126" t="s">
        <v>636</v>
      </c>
      <c r="T126" t="s">
        <v>645</v>
      </c>
    </row>
    <row r="127" spans="1:20" x14ac:dyDescent="0.3">
      <c r="A127" t="s">
        <v>244</v>
      </c>
      <c r="B127" s="50">
        <v>2</v>
      </c>
      <c r="C127">
        <v>23</v>
      </c>
      <c r="D127" t="str">
        <f t="shared" si="9"/>
        <v>Kumite</v>
      </c>
      <c r="E127" t="s">
        <v>255</v>
      </c>
      <c r="F127" s="83" t="s">
        <v>519</v>
      </c>
      <c r="G127" s="50" t="str">
        <f>"2"</f>
        <v>2</v>
      </c>
      <c r="H127" t="str">
        <f>"2 fős egyenes kiesés"</f>
        <v>2 fős egyenes kiesés</v>
      </c>
      <c r="I127" s="50" t="str">
        <f>"2"</f>
        <v>2</v>
      </c>
      <c r="J127" t="str">
        <f>"Fajka Flóra"</f>
        <v>Fajka Flóra</v>
      </c>
      <c r="K127" t="s">
        <v>11</v>
      </c>
      <c r="L127" t="str">
        <f t="shared" si="5"/>
        <v>HUN</v>
      </c>
      <c r="M127">
        <v>0</v>
      </c>
      <c r="N127" t="s">
        <v>158</v>
      </c>
      <c r="O127" t="s">
        <v>246</v>
      </c>
      <c r="P127" s="78">
        <v>45360</v>
      </c>
      <c r="Q127" t="str">
        <f t="shared" si="1"/>
        <v>Fajka Flóra - Spirit SE.</v>
      </c>
      <c r="R127" t="s">
        <v>636</v>
      </c>
      <c r="S127" t="s">
        <v>636</v>
      </c>
      <c r="T127" t="s">
        <v>645</v>
      </c>
    </row>
    <row r="128" spans="1:20" x14ac:dyDescent="0.3">
      <c r="A128" t="s">
        <v>244</v>
      </c>
      <c r="B128" s="50">
        <v>2</v>
      </c>
      <c r="C128">
        <v>24</v>
      </c>
      <c r="D128" t="str">
        <f>"Kata"</f>
        <v>Kata</v>
      </c>
      <c r="E128" t="s">
        <v>256</v>
      </c>
      <c r="F128" s="83" t="s">
        <v>520</v>
      </c>
      <c r="G128" s="50" t="str">
        <f>"6"</f>
        <v>6</v>
      </c>
      <c r="H128" t="str">
        <f>"6 fős vegyes"</f>
        <v>6 fős vegyes</v>
      </c>
      <c r="I128" s="50" t="str">
        <f>"1"</f>
        <v>1</v>
      </c>
      <c r="J128" t="str">
        <f>"Jakubovics Nikolett"</f>
        <v>Jakubovics Nikolett</v>
      </c>
      <c r="K128" t="s">
        <v>47</v>
      </c>
      <c r="L128" t="str">
        <f t="shared" si="5"/>
        <v>HUN</v>
      </c>
      <c r="M128">
        <v>5</v>
      </c>
      <c r="O128" t="s">
        <v>246</v>
      </c>
      <c r="P128" s="78">
        <v>45360</v>
      </c>
      <c r="Q128" t="str">
        <f t="shared" si="1"/>
        <v>Jakubovics Nikolett - BHMSE</v>
      </c>
      <c r="R128" t="s">
        <v>636</v>
      </c>
      <c r="S128" t="s">
        <v>636</v>
      </c>
      <c r="T128" t="s">
        <v>645</v>
      </c>
    </row>
    <row r="129" spans="1:20" x14ac:dyDescent="0.3">
      <c r="A129" t="s">
        <v>244</v>
      </c>
      <c r="B129" s="50">
        <v>2</v>
      </c>
      <c r="C129">
        <v>25</v>
      </c>
      <c r="D129" t="str">
        <f>"Kata"</f>
        <v>Kata</v>
      </c>
      <c r="E129" t="s">
        <v>256</v>
      </c>
      <c r="F129" s="83" t="s">
        <v>520</v>
      </c>
      <c r="G129" s="50" t="str">
        <f>"6"</f>
        <v>6</v>
      </c>
      <c r="H129" t="str">
        <f>"6 fős vegyes"</f>
        <v>6 fős vegyes</v>
      </c>
      <c r="I129" s="50" t="str">
        <f>"2"</f>
        <v>2</v>
      </c>
      <c r="J129" t="str">
        <f>"Domján-Herbat Réka"</f>
        <v>Domján-Herbat Réka</v>
      </c>
      <c r="K129" t="s">
        <v>47</v>
      </c>
      <c r="L129" t="str">
        <f t="shared" si="5"/>
        <v>HUN</v>
      </c>
      <c r="M129">
        <v>4</v>
      </c>
      <c r="O129" t="s">
        <v>246</v>
      </c>
      <c r="P129" s="78">
        <v>45360</v>
      </c>
      <c r="Q129" t="str">
        <f t="shared" si="1"/>
        <v>Domján-Herbat Réka - BHMSE</v>
      </c>
      <c r="R129" t="s">
        <v>636</v>
      </c>
      <c r="S129" t="s">
        <v>636</v>
      </c>
      <c r="T129" t="s">
        <v>645</v>
      </c>
    </row>
    <row r="130" spans="1:20" x14ac:dyDescent="0.3">
      <c r="A130" t="s">
        <v>244</v>
      </c>
      <c r="B130" s="50">
        <v>2</v>
      </c>
      <c r="C130">
        <v>26</v>
      </c>
      <c r="D130" t="str">
        <f>"Kata"</f>
        <v>Kata</v>
      </c>
      <c r="E130" t="s">
        <v>256</v>
      </c>
      <c r="F130" s="83" t="s">
        <v>520</v>
      </c>
      <c r="G130" s="50" t="str">
        <f>"6"</f>
        <v>6</v>
      </c>
      <c r="H130" t="str">
        <f>"6 fős vegyes"</f>
        <v>6 fős vegyes</v>
      </c>
      <c r="I130" s="50" t="str">
        <f>"3"</f>
        <v>3</v>
      </c>
      <c r="J130" t="str">
        <f>"Endresz  Sára"</f>
        <v>Endresz  Sára</v>
      </c>
      <c r="K130" t="s">
        <v>150</v>
      </c>
      <c r="L130" t="str">
        <f t="shared" si="5"/>
        <v>HUN</v>
      </c>
      <c r="M130">
        <v>2</v>
      </c>
      <c r="O130" t="s">
        <v>246</v>
      </c>
      <c r="P130" s="78">
        <v>45360</v>
      </c>
      <c r="Q130" t="str">
        <f t="shared" si="1"/>
        <v>Endresz  Sára - KSE Tarján</v>
      </c>
      <c r="R130" t="s">
        <v>636</v>
      </c>
      <c r="S130" t="s">
        <v>636</v>
      </c>
      <c r="T130" t="s">
        <v>645</v>
      </c>
    </row>
    <row r="131" spans="1:20" x14ac:dyDescent="0.3">
      <c r="A131" t="s">
        <v>244</v>
      </c>
      <c r="B131" s="50">
        <v>2</v>
      </c>
      <c r="C131">
        <v>27</v>
      </c>
      <c r="D131" t="str">
        <f t="shared" ref="D131:D152" si="10">"Kumite"</f>
        <v>Kumite</v>
      </c>
      <c r="E131" t="s">
        <v>257</v>
      </c>
      <c r="F131" s="83" t="s">
        <v>512</v>
      </c>
      <c r="G131" s="50" t="str">
        <f t="shared" ref="G131:G136" si="11">"12"</f>
        <v>12</v>
      </c>
      <c r="H131" t="str">
        <f t="shared" ref="H131:H141" si="12">"16 fős egyenes kiesés"</f>
        <v>16 fős egyenes kiesés</v>
      </c>
      <c r="I131" s="50" t="str">
        <f>"1"</f>
        <v>1</v>
      </c>
      <c r="J131" t="str">
        <f>"Böszörményi Bendegúz "</f>
        <v xml:space="preserve">Böszörményi Bendegúz </v>
      </c>
      <c r="K131" t="s">
        <v>167</v>
      </c>
      <c r="L131" t="str">
        <f t="shared" si="5"/>
        <v>HUN</v>
      </c>
      <c r="M131">
        <v>8</v>
      </c>
      <c r="O131" t="s">
        <v>246</v>
      </c>
      <c r="P131" s="78">
        <v>45360</v>
      </c>
      <c r="Q131" t="str">
        <f t="shared" ref="Q131:Q194" si="13">J131&amp;" - "&amp;K131</f>
        <v>Böszörményi Bendegúz  - Nagykátai Bushido SE</v>
      </c>
      <c r="R131" t="s">
        <v>636</v>
      </c>
      <c r="S131" t="s">
        <v>636</v>
      </c>
      <c r="T131" t="s">
        <v>645</v>
      </c>
    </row>
    <row r="132" spans="1:20" x14ac:dyDescent="0.3">
      <c r="A132" t="s">
        <v>244</v>
      </c>
      <c r="B132" s="50">
        <v>2</v>
      </c>
      <c r="C132">
        <v>28</v>
      </c>
      <c r="D132" t="str">
        <f t="shared" si="10"/>
        <v>Kumite</v>
      </c>
      <c r="E132" t="s">
        <v>257</v>
      </c>
      <c r="F132" s="83" t="s">
        <v>512</v>
      </c>
      <c r="G132" s="50" t="str">
        <f t="shared" si="11"/>
        <v>12</v>
      </c>
      <c r="H132" t="str">
        <f t="shared" si="12"/>
        <v>16 fős egyenes kiesés</v>
      </c>
      <c r="I132" s="50" t="str">
        <f>"2"</f>
        <v>2</v>
      </c>
      <c r="J132" t="str">
        <f>"Rudi Gergő"</f>
        <v>Rudi Gergő</v>
      </c>
      <c r="K132" t="s">
        <v>67</v>
      </c>
      <c r="L132" t="str">
        <f t="shared" si="5"/>
        <v>HUN</v>
      </c>
      <c r="M132">
        <v>6</v>
      </c>
      <c r="O132" t="s">
        <v>246</v>
      </c>
      <c r="P132" s="78">
        <v>45360</v>
      </c>
      <c r="Q132" t="str">
        <f t="shared" si="13"/>
        <v>Rudi Gergő - Rakurai</v>
      </c>
      <c r="R132" t="s">
        <v>636</v>
      </c>
      <c r="S132" t="s">
        <v>636</v>
      </c>
      <c r="T132" t="s">
        <v>645</v>
      </c>
    </row>
    <row r="133" spans="1:20" x14ac:dyDescent="0.3">
      <c r="A133" t="s">
        <v>244</v>
      </c>
      <c r="B133" s="50">
        <v>2</v>
      </c>
      <c r="C133">
        <v>29</v>
      </c>
      <c r="D133" t="str">
        <f t="shared" si="10"/>
        <v>Kumite</v>
      </c>
      <c r="E133" t="s">
        <v>257</v>
      </c>
      <c r="F133" s="83" t="s">
        <v>512</v>
      </c>
      <c r="G133" s="50" t="str">
        <f t="shared" si="11"/>
        <v>12</v>
      </c>
      <c r="H133" t="str">
        <f t="shared" si="12"/>
        <v>16 fős egyenes kiesés</v>
      </c>
      <c r="I133" s="50" t="str">
        <f>"3"</f>
        <v>3</v>
      </c>
      <c r="J133" t="str">
        <f>"Sövér Levente"</f>
        <v>Sövér Levente</v>
      </c>
      <c r="K133" t="s">
        <v>47</v>
      </c>
      <c r="L133" t="str">
        <f t="shared" si="5"/>
        <v>HUN</v>
      </c>
      <c r="M133">
        <v>4</v>
      </c>
      <c r="O133" t="s">
        <v>246</v>
      </c>
      <c r="P133" s="78">
        <v>45360</v>
      </c>
      <c r="Q133" t="str">
        <f t="shared" si="13"/>
        <v>Sövér Levente - BHMSE</v>
      </c>
      <c r="R133" t="s">
        <v>636</v>
      </c>
      <c r="S133" t="s">
        <v>636</v>
      </c>
      <c r="T133" t="s">
        <v>645</v>
      </c>
    </row>
    <row r="134" spans="1:20" x14ac:dyDescent="0.3">
      <c r="A134" t="s">
        <v>244</v>
      </c>
      <c r="B134" s="50">
        <v>2</v>
      </c>
      <c r="C134">
        <v>30</v>
      </c>
      <c r="D134" t="str">
        <f t="shared" si="10"/>
        <v>Kumite</v>
      </c>
      <c r="E134" t="s">
        <v>257</v>
      </c>
      <c r="F134" s="83" t="s">
        <v>512</v>
      </c>
      <c r="G134" s="50" t="str">
        <f t="shared" si="11"/>
        <v>12</v>
      </c>
      <c r="H134" t="str">
        <f t="shared" si="12"/>
        <v>16 fős egyenes kiesés</v>
      </c>
      <c r="I134" s="50" t="str">
        <f>"3"</f>
        <v>3</v>
      </c>
      <c r="J134" t="str">
        <f>"Zsenyuk Zalán"</f>
        <v>Zsenyuk Zalán</v>
      </c>
      <c r="K134" t="s">
        <v>309</v>
      </c>
      <c r="L134" t="str">
        <f t="shared" si="5"/>
        <v>HUN</v>
      </c>
      <c r="M134">
        <v>4</v>
      </c>
      <c r="O134" t="s">
        <v>246</v>
      </c>
      <c r="P134" s="78">
        <v>45360</v>
      </c>
      <c r="Q134" t="str">
        <f t="shared" si="13"/>
        <v>Zsenyuk Zalán - POWER SE.</v>
      </c>
      <c r="R134" t="s">
        <v>636</v>
      </c>
      <c r="S134" t="s">
        <v>636</v>
      </c>
      <c r="T134" t="s">
        <v>645</v>
      </c>
    </row>
    <row r="135" spans="1:20" x14ac:dyDescent="0.3">
      <c r="A135" t="s">
        <v>244</v>
      </c>
      <c r="B135" s="50">
        <v>2</v>
      </c>
      <c r="C135">
        <v>30</v>
      </c>
      <c r="D135" t="str">
        <f t="shared" si="10"/>
        <v>Kumite</v>
      </c>
      <c r="E135" t="s">
        <v>257</v>
      </c>
      <c r="F135" s="83" t="s">
        <v>512</v>
      </c>
      <c r="G135" s="50" t="str">
        <f t="shared" si="11"/>
        <v>12</v>
      </c>
      <c r="H135" t="str">
        <f t="shared" si="12"/>
        <v>16 fős egyenes kiesés</v>
      </c>
      <c r="I135" s="67" t="s">
        <v>302</v>
      </c>
      <c r="J135" t="s">
        <v>344</v>
      </c>
      <c r="K135" t="s">
        <v>316</v>
      </c>
      <c r="L135" t="str">
        <f t="shared" si="5"/>
        <v>HUN</v>
      </c>
      <c r="M135">
        <v>2</v>
      </c>
      <c r="N135" t="s">
        <v>304</v>
      </c>
      <c r="O135" t="s">
        <v>246</v>
      </c>
      <c r="P135" s="78">
        <v>45360</v>
      </c>
      <c r="Q135" t="str">
        <f t="shared" si="13"/>
        <v>Molnár Marcell - Damashi</v>
      </c>
      <c r="R135" t="s">
        <v>636</v>
      </c>
      <c r="S135" t="s">
        <v>636</v>
      </c>
      <c r="T135" t="s">
        <v>645</v>
      </c>
    </row>
    <row r="136" spans="1:20" x14ac:dyDescent="0.3">
      <c r="A136" t="s">
        <v>244</v>
      </c>
      <c r="B136" s="50">
        <v>2</v>
      </c>
      <c r="C136">
        <v>30</v>
      </c>
      <c r="D136" t="str">
        <f t="shared" si="10"/>
        <v>Kumite</v>
      </c>
      <c r="E136" t="s">
        <v>257</v>
      </c>
      <c r="F136" s="83" t="s">
        <v>512</v>
      </c>
      <c r="G136" s="50" t="str">
        <f t="shared" si="11"/>
        <v>12</v>
      </c>
      <c r="H136" t="str">
        <f t="shared" si="12"/>
        <v>16 fős egyenes kiesés</v>
      </c>
      <c r="I136" s="67" t="s">
        <v>302</v>
      </c>
      <c r="J136" t="s">
        <v>345</v>
      </c>
      <c r="K136" t="s">
        <v>79</v>
      </c>
      <c r="L136" t="str">
        <f t="shared" si="5"/>
        <v>HUN</v>
      </c>
      <c r="M136">
        <v>2</v>
      </c>
      <c r="N136" t="s">
        <v>304</v>
      </c>
      <c r="O136" t="s">
        <v>246</v>
      </c>
      <c r="P136" s="78">
        <v>45360</v>
      </c>
      <c r="Q136" t="str">
        <f t="shared" si="13"/>
        <v>Horváth Mátyás Nándor - Ippon KKSE</v>
      </c>
      <c r="R136" t="s">
        <v>636</v>
      </c>
      <c r="S136" t="s">
        <v>636</v>
      </c>
      <c r="T136" t="s">
        <v>645</v>
      </c>
    </row>
    <row r="137" spans="1:20" x14ac:dyDescent="0.3">
      <c r="A137" t="s">
        <v>244</v>
      </c>
      <c r="B137" s="50">
        <v>2</v>
      </c>
      <c r="C137">
        <v>31</v>
      </c>
      <c r="D137" t="str">
        <f t="shared" si="10"/>
        <v>Kumite</v>
      </c>
      <c r="E137" t="s">
        <v>258</v>
      </c>
      <c r="F137" s="83" t="s">
        <v>518</v>
      </c>
      <c r="G137" s="50" t="str">
        <f>"10"</f>
        <v>10</v>
      </c>
      <c r="H137" t="str">
        <f t="shared" si="12"/>
        <v>16 fős egyenes kiesés</v>
      </c>
      <c r="I137" s="50" t="str">
        <f>"1"</f>
        <v>1</v>
      </c>
      <c r="J137" t="str">
        <f>"Svraka Bence"</f>
        <v>Svraka Bence</v>
      </c>
      <c r="K137" t="s">
        <v>316</v>
      </c>
      <c r="L137" t="str">
        <f t="shared" si="5"/>
        <v>HUN</v>
      </c>
      <c r="M137">
        <v>8</v>
      </c>
      <c r="O137" t="s">
        <v>246</v>
      </c>
      <c r="P137" s="78">
        <v>45360</v>
      </c>
      <c r="Q137" t="str">
        <f t="shared" si="13"/>
        <v>Svraka Bence - Damashi</v>
      </c>
      <c r="R137" t="s">
        <v>636</v>
      </c>
      <c r="S137" t="s">
        <v>636</v>
      </c>
      <c r="T137" t="s">
        <v>645</v>
      </c>
    </row>
    <row r="138" spans="1:20" x14ac:dyDescent="0.3">
      <c r="A138" t="s">
        <v>244</v>
      </c>
      <c r="B138" s="50">
        <v>2</v>
      </c>
      <c r="C138">
        <v>32</v>
      </c>
      <c r="D138" t="str">
        <f t="shared" si="10"/>
        <v>Kumite</v>
      </c>
      <c r="E138" t="s">
        <v>258</v>
      </c>
      <c r="F138" s="83" t="s">
        <v>518</v>
      </c>
      <c r="G138" s="50" t="str">
        <f>"10"</f>
        <v>10</v>
      </c>
      <c r="H138" t="str">
        <f t="shared" si="12"/>
        <v>16 fős egyenes kiesés</v>
      </c>
      <c r="I138" s="50" t="str">
        <f>"2"</f>
        <v>2</v>
      </c>
      <c r="J138" t="str">
        <f>"Nádasdi Dávid"</f>
        <v>Nádasdi Dávid</v>
      </c>
      <c r="K138" t="s">
        <v>47</v>
      </c>
      <c r="L138" t="str">
        <f t="shared" si="5"/>
        <v>HUN</v>
      </c>
      <c r="M138">
        <v>6</v>
      </c>
      <c r="O138" t="s">
        <v>246</v>
      </c>
      <c r="P138" s="78">
        <v>45360</v>
      </c>
      <c r="Q138" t="str">
        <f t="shared" si="13"/>
        <v>Nádasdi Dávid - BHMSE</v>
      </c>
      <c r="R138" t="s">
        <v>636</v>
      </c>
      <c r="S138" t="s">
        <v>636</v>
      </c>
      <c r="T138" t="s">
        <v>645</v>
      </c>
    </row>
    <row r="139" spans="1:20" x14ac:dyDescent="0.3">
      <c r="A139" t="s">
        <v>244</v>
      </c>
      <c r="B139" s="50">
        <v>2</v>
      </c>
      <c r="C139">
        <v>33</v>
      </c>
      <c r="D139" t="str">
        <f t="shared" si="10"/>
        <v>Kumite</v>
      </c>
      <c r="E139" t="s">
        <v>258</v>
      </c>
      <c r="F139" s="83" t="s">
        <v>518</v>
      </c>
      <c r="G139" s="50" t="str">
        <f>"10"</f>
        <v>10</v>
      </c>
      <c r="H139" t="str">
        <f t="shared" si="12"/>
        <v>16 fős egyenes kiesés</v>
      </c>
      <c r="I139" s="50" t="str">
        <f>"3"</f>
        <v>3</v>
      </c>
      <c r="J139" t="str">
        <f>"Orosz Márkó"</f>
        <v>Orosz Márkó</v>
      </c>
      <c r="K139" t="s">
        <v>37</v>
      </c>
      <c r="L139" t="str">
        <f t="shared" si="5"/>
        <v>HUN</v>
      </c>
      <c r="M139">
        <v>4</v>
      </c>
      <c r="O139" t="s">
        <v>246</v>
      </c>
      <c r="P139" s="78">
        <v>45360</v>
      </c>
      <c r="Q139" t="str">
        <f t="shared" si="13"/>
        <v>Orosz Márkó - Kamikaze S</v>
      </c>
      <c r="R139" t="s">
        <v>636</v>
      </c>
      <c r="S139" t="s">
        <v>636</v>
      </c>
      <c r="T139" t="s">
        <v>645</v>
      </c>
    </row>
    <row r="140" spans="1:20" x14ac:dyDescent="0.3">
      <c r="A140" t="s">
        <v>244</v>
      </c>
      <c r="B140" s="50">
        <v>2</v>
      </c>
      <c r="C140">
        <v>34</v>
      </c>
      <c r="D140" t="str">
        <f t="shared" si="10"/>
        <v>Kumite</v>
      </c>
      <c r="E140" t="s">
        <v>258</v>
      </c>
      <c r="F140" s="83" t="s">
        <v>518</v>
      </c>
      <c r="G140" s="50" t="str">
        <f>"10"</f>
        <v>10</v>
      </c>
      <c r="H140" t="str">
        <f t="shared" si="12"/>
        <v>16 fős egyenes kiesés</v>
      </c>
      <c r="I140" s="50" t="str">
        <f>"3"</f>
        <v>3</v>
      </c>
      <c r="J140" t="str">
        <f>"Bárkovics Áron"</f>
        <v>Bárkovics Áron</v>
      </c>
      <c r="K140" t="s">
        <v>41</v>
      </c>
      <c r="L140" t="str">
        <f t="shared" si="5"/>
        <v>HUN</v>
      </c>
      <c r="M140">
        <v>4</v>
      </c>
      <c r="O140" t="s">
        <v>246</v>
      </c>
      <c r="P140" s="78">
        <v>45360</v>
      </c>
      <c r="Q140" t="str">
        <f t="shared" si="13"/>
        <v>Bárkovics Áron - KKE - Spartacus</v>
      </c>
      <c r="R140" t="s">
        <v>636</v>
      </c>
      <c r="S140" t="s">
        <v>636</v>
      </c>
      <c r="T140" t="s">
        <v>645</v>
      </c>
    </row>
    <row r="141" spans="1:20" x14ac:dyDescent="0.3">
      <c r="A141" t="s">
        <v>244</v>
      </c>
      <c r="B141" s="50">
        <v>2</v>
      </c>
      <c r="C141">
        <v>34</v>
      </c>
      <c r="D141" t="str">
        <f t="shared" si="10"/>
        <v>Kumite</v>
      </c>
      <c r="E141" t="s">
        <v>258</v>
      </c>
      <c r="F141" s="83" t="s">
        <v>518</v>
      </c>
      <c r="G141" s="50" t="str">
        <f>"10"</f>
        <v>10</v>
      </c>
      <c r="H141" t="str">
        <f t="shared" si="12"/>
        <v>16 fős egyenes kiesés</v>
      </c>
      <c r="I141" s="67" t="s">
        <v>302</v>
      </c>
      <c r="J141" t="s">
        <v>346</v>
      </c>
      <c r="K141" t="s">
        <v>150</v>
      </c>
      <c r="L141" t="str">
        <f t="shared" si="5"/>
        <v>HUN</v>
      </c>
      <c r="M141">
        <v>2</v>
      </c>
      <c r="N141" t="s">
        <v>304</v>
      </c>
      <c r="O141" t="s">
        <v>246</v>
      </c>
      <c r="P141" s="78">
        <v>45360</v>
      </c>
      <c r="Q141" t="str">
        <f t="shared" si="13"/>
        <v>Antal Dániel Kristóf - KSE Tarján</v>
      </c>
      <c r="R141" t="s">
        <v>636</v>
      </c>
      <c r="S141" t="s">
        <v>636</v>
      </c>
      <c r="T141" t="s">
        <v>645</v>
      </c>
    </row>
    <row r="142" spans="1:20" x14ac:dyDescent="0.3">
      <c r="A142" t="s">
        <v>244</v>
      </c>
      <c r="B142" s="50">
        <v>2</v>
      </c>
      <c r="C142">
        <v>35</v>
      </c>
      <c r="D142" t="str">
        <f t="shared" si="10"/>
        <v>Kumite</v>
      </c>
      <c r="E142" t="s">
        <v>259</v>
      </c>
      <c r="F142" s="83" t="s">
        <v>521</v>
      </c>
      <c r="G142" s="50" t="str">
        <f>"7"</f>
        <v>7</v>
      </c>
      <c r="H142" t="str">
        <f>"8 fős egyenes kiesés"</f>
        <v>8 fős egyenes kiesés</v>
      </c>
      <c r="I142" s="50" t="str">
        <f>"1"</f>
        <v>1</v>
      </c>
      <c r="J142" t="str">
        <f>"Ferenczhalmy Félix"</f>
        <v>Ferenczhalmy Félix</v>
      </c>
      <c r="K142" t="s">
        <v>47</v>
      </c>
      <c r="L142" t="str">
        <f t="shared" si="5"/>
        <v>HUN</v>
      </c>
      <c r="M142">
        <v>6</v>
      </c>
      <c r="O142" t="s">
        <v>246</v>
      </c>
      <c r="P142" s="78">
        <v>45360</v>
      </c>
      <c r="Q142" t="str">
        <f t="shared" si="13"/>
        <v>Ferenczhalmy Félix - BHMSE</v>
      </c>
      <c r="R142" t="s">
        <v>636</v>
      </c>
      <c r="S142" t="s">
        <v>636</v>
      </c>
      <c r="T142" t="s">
        <v>645</v>
      </c>
    </row>
    <row r="143" spans="1:20" x14ac:dyDescent="0.3">
      <c r="A143" t="s">
        <v>244</v>
      </c>
      <c r="B143" s="50">
        <v>2</v>
      </c>
      <c r="C143">
        <v>36</v>
      </c>
      <c r="D143" t="str">
        <f t="shared" si="10"/>
        <v>Kumite</v>
      </c>
      <c r="E143" t="s">
        <v>259</v>
      </c>
      <c r="F143" s="83" t="s">
        <v>521</v>
      </c>
      <c r="G143" s="50" t="str">
        <f>"7"</f>
        <v>7</v>
      </c>
      <c r="H143" t="str">
        <f>"8 fős egyenes kiesés"</f>
        <v>8 fős egyenes kiesés</v>
      </c>
      <c r="I143" s="50" t="str">
        <f>"2"</f>
        <v>2</v>
      </c>
      <c r="J143" t="str">
        <f>"Izsák-Rudolf Csanád"</f>
        <v>Izsák-Rudolf Csanád</v>
      </c>
      <c r="K143" t="s">
        <v>37</v>
      </c>
      <c r="L143" t="str">
        <f t="shared" si="5"/>
        <v>HUN</v>
      </c>
      <c r="M143">
        <v>5</v>
      </c>
      <c r="O143" t="s">
        <v>246</v>
      </c>
      <c r="P143" s="78">
        <v>45360</v>
      </c>
      <c r="Q143" t="str">
        <f t="shared" si="13"/>
        <v>Izsák-Rudolf Csanád - Kamikaze S</v>
      </c>
      <c r="R143" t="s">
        <v>636</v>
      </c>
      <c r="S143" t="s">
        <v>636</v>
      </c>
      <c r="T143" t="s">
        <v>645</v>
      </c>
    </row>
    <row r="144" spans="1:20" x14ac:dyDescent="0.3">
      <c r="A144" t="s">
        <v>244</v>
      </c>
      <c r="B144" s="50">
        <v>2</v>
      </c>
      <c r="C144">
        <v>37</v>
      </c>
      <c r="D144" t="str">
        <f t="shared" si="10"/>
        <v>Kumite</v>
      </c>
      <c r="E144" t="s">
        <v>259</v>
      </c>
      <c r="F144" s="83" t="s">
        <v>521</v>
      </c>
      <c r="G144" s="50" t="str">
        <f>"7"</f>
        <v>7</v>
      </c>
      <c r="H144" t="str">
        <f>"8 fős egyenes kiesés"</f>
        <v>8 fős egyenes kiesés</v>
      </c>
      <c r="I144" s="50" t="str">
        <f>"3"</f>
        <v>3</v>
      </c>
      <c r="J144" t="str">
        <f>"Antal Bálint"</f>
        <v>Antal Bálint</v>
      </c>
      <c r="K144" t="s">
        <v>11</v>
      </c>
      <c r="L144" t="str">
        <f t="shared" si="5"/>
        <v>HUN</v>
      </c>
      <c r="M144">
        <v>3</v>
      </c>
      <c r="O144" t="s">
        <v>246</v>
      </c>
      <c r="P144" s="78">
        <v>45360</v>
      </c>
      <c r="Q144" t="str">
        <f t="shared" si="13"/>
        <v>Antal Bálint - Spirit SE.</v>
      </c>
      <c r="R144" t="s">
        <v>636</v>
      </c>
      <c r="S144" t="s">
        <v>636</v>
      </c>
      <c r="T144" t="s">
        <v>645</v>
      </c>
    </row>
    <row r="145" spans="1:20" x14ac:dyDescent="0.3">
      <c r="A145" t="s">
        <v>244</v>
      </c>
      <c r="B145" s="50">
        <v>2</v>
      </c>
      <c r="C145">
        <v>38</v>
      </c>
      <c r="D145" t="str">
        <f t="shared" si="10"/>
        <v>Kumite</v>
      </c>
      <c r="E145" t="s">
        <v>259</v>
      </c>
      <c r="F145" s="83" t="s">
        <v>521</v>
      </c>
      <c r="G145" s="50" t="str">
        <f>"7"</f>
        <v>7</v>
      </c>
      <c r="H145" t="str">
        <f>"8 fős egyenes kiesés"</f>
        <v>8 fős egyenes kiesés</v>
      </c>
      <c r="I145" s="50" t="str">
        <f>"3"</f>
        <v>3</v>
      </c>
      <c r="J145" t="str">
        <f>"Vincze Barnabás"</f>
        <v>Vincze Barnabás</v>
      </c>
      <c r="K145" t="s">
        <v>316</v>
      </c>
      <c r="L145" t="str">
        <f t="shared" si="5"/>
        <v>HUN</v>
      </c>
      <c r="M145">
        <v>3</v>
      </c>
      <c r="O145" t="s">
        <v>246</v>
      </c>
      <c r="P145" s="78">
        <v>45360</v>
      </c>
      <c r="Q145" t="str">
        <f t="shared" si="13"/>
        <v>Vincze Barnabás - Damashi</v>
      </c>
      <c r="R145" t="s">
        <v>636</v>
      </c>
      <c r="S145" t="s">
        <v>636</v>
      </c>
      <c r="T145" t="s">
        <v>645</v>
      </c>
    </row>
    <row r="146" spans="1:20" x14ac:dyDescent="0.3">
      <c r="A146" t="s">
        <v>244</v>
      </c>
      <c r="B146" s="50">
        <v>2</v>
      </c>
      <c r="C146">
        <v>39</v>
      </c>
      <c r="D146" t="str">
        <f t="shared" si="10"/>
        <v>Kumite</v>
      </c>
      <c r="E146" t="s">
        <v>260</v>
      </c>
      <c r="F146" s="83" t="s">
        <v>522</v>
      </c>
      <c r="G146" s="50" t="str">
        <f>"6"</f>
        <v>6</v>
      </c>
      <c r="H146" t="str">
        <f>"6 fős vegyes"</f>
        <v>6 fős vegyes</v>
      </c>
      <c r="I146" s="50" t="str">
        <f>"1"</f>
        <v>1</v>
      </c>
      <c r="J146" t="str">
        <f>"Villasenor Babos Viktor Éliás"</f>
        <v>Villasenor Babos Viktor Éliás</v>
      </c>
      <c r="K146" t="s">
        <v>67</v>
      </c>
      <c r="L146" t="str">
        <f t="shared" si="5"/>
        <v>HUN</v>
      </c>
      <c r="M146">
        <v>6</v>
      </c>
      <c r="O146" t="s">
        <v>246</v>
      </c>
      <c r="P146" s="78">
        <v>45360</v>
      </c>
      <c r="Q146" t="str">
        <f t="shared" si="13"/>
        <v>Villasenor Babos Viktor Éliás - Rakurai</v>
      </c>
      <c r="R146" t="s">
        <v>636</v>
      </c>
      <c r="S146" t="s">
        <v>636</v>
      </c>
      <c r="T146" t="s">
        <v>645</v>
      </c>
    </row>
    <row r="147" spans="1:20" x14ac:dyDescent="0.3">
      <c r="A147" t="s">
        <v>244</v>
      </c>
      <c r="B147" s="50">
        <v>2</v>
      </c>
      <c r="C147">
        <v>40</v>
      </c>
      <c r="D147" t="str">
        <f t="shared" si="10"/>
        <v>Kumite</v>
      </c>
      <c r="E147" t="s">
        <v>260</v>
      </c>
      <c r="F147" s="83" t="s">
        <v>522</v>
      </c>
      <c r="G147" s="50" t="str">
        <f>"6"</f>
        <v>6</v>
      </c>
      <c r="H147" t="str">
        <f>"6 fős vegyes"</f>
        <v>6 fős vegyes</v>
      </c>
      <c r="I147" s="50" t="str">
        <f>"2"</f>
        <v>2</v>
      </c>
      <c r="J147" t="str">
        <f>"Varga Bence"</f>
        <v>Varga Bence</v>
      </c>
      <c r="K147" t="s">
        <v>150</v>
      </c>
      <c r="L147" t="str">
        <f t="shared" si="5"/>
        <v>HUN</v>
      </c>
      <c r="M147">
        <v>5</v>
      </c>
      <c r="O147" t="s">
        <v>246</v>
      </c>
      <c r="P147" s="78">
        <v>45360</v>
      </c>
      <c r="Q147" t="str">
        <f t="shared" si="13"/>
        <v>Varga Bence - KSE Tarján</v>
      </c>
      <c r="R147" t="s">
        <v>636</v>
      </c>
      <c r="S147" t="s">
        <v>636</v>
      </c>
      <c r="T147" t="s">
        <v>645</v>
      </c>
    </row>
    <row r="148" spans="1:20" x14ac:dyDescent="0.3">
      <c r="A148" t="s">
        <v>244</v>
      </c>
      <c r="B148" s="50">
        <v>2</v>
      </c>
      <c r="C148">
        <v>41</v>
      </c>
      <c r="D148" t="str">
        <f t="shared" si="10"/>
        <v>Kumite</v>
      </c>
      <c r="E148" t="s">
        <v>260</v>
      </c>
      <c r="F148" s="83" t="s">
        <v>522</v>
      </c>
      <c r="G148" s="50" t="str">
        <f>"6"</f>
        <v>6</v>
      </c>
      <c r="H148" t="str">
        <f>"6 fős vegyes"</f>
        <v>6 fős vegyes</v>
      </c>
      <c r="I148" s="50" t="str">
        <f>"3"</f>
        <v>3</v>
      </c>
      <c r="J148" t="str">
        <f>"Gaál-Vajai Tamás"</f>
        <v>Gaál-Vajai Tamás</v>
      </c>
      <c r="K148" t="s">
        <v>65</v>
      </c>
      <c r="L148" t="str">
        <f t="shared" si="5"/>
        <v>HUN</v>
      </c>
      <c r="M148">
        <v>3</v>
      </c>
      <c r="O148" t="s">
        <v>246</v>
      </c>
      <c r="P148" s="78">
        <v>45360</v>
      </c>
      <c r="Q148" t="str">
        <f t="shared" si="13"/>
        <v>Gaál-Vajai Tamás - Főnix Dojo</v>
      </c>
      <c r="R148" t="s">
        <v>636</v>
      </c>
      <c r="S148" t="s">
        <v>636</v>
      </c>
      <c r="T148" t="s">
        <v>645</v>
      </c>
    </row>
    <row r="149" spans="1:20" x14ac:dyDescent="0.3">
      <c r="A149" t="s">
        <v>244</v>
      </c>
      <c r="B149" s="50">
        <v>2</v>
      </c>
      <c r="C149">
        <v>42</v>
      </c>
      <c r="D149" t="str">
        <f t="shared" si="10"/>
        <v>Kumite</v>
      </c>
      <c r="E149" t="s">
        <v>261</v>
      </c>
      <c r="F149" s="83" t="s">
        <v>524</v>
      </c>
      <c r="G149" s="50" t="str">
        <f>"4"</f>
        <v>4</v>
      </c>
      <c r="H149" t="str">
        <f>"4 fős körmérkőzés"</f>
        <v>4 fős körmérkőzés</v>
      </c>
      <c r="I149" s="50" t="str">
        <f>"1"</f>
        <v>1</v>
      </c>
      <c r="J149" t="str">
        <f>"Kiss Bence"</f>
        <v>Kiss Bence</v>
      </c>
      <c r="K149" t="s">
        <v>333</v>
      </c>
      <c r="L149" t="str">
        <f t="shared" si="5"/>
        <v>HUN</v>
      </c>
      <c r="M149">
        <v>6</v>
      </c>
      <c r="O149" t="s">
        <v>246</v>
      </c>
      <c r="P149" s="78">
        <v>45360</v>
      </c>
      <c r="Q149" t="str">
        <f t="shared" si="13"/>
        <v xml:space="preserve">Kiss Bence - Renmei se </v>
      </c>
      <c r="R149" t="s">
        <v>636</v>
      </c>
      <c r="S149" t="s">
        <v>636</v>
      </c>
      <c r="T149" t="s">
        <v>645</v>
      </c>
    </row>
    <row r="150" spans="1:20" x14ac:dyDescent="0.3">
      <c r="A150" t="s">
        <v>244</v>
      </c>
      <c r="B150" s="50">
        <v>2</v>
      </c>
      <c r="C150">
        <v>43</v>
      </c>
      <c r="D150" t="str">
        <f t="shared" si="10"/>
        <v>Kumite</v>
      </c>
      <c r="E150" t="s">
        <v>261</v>
      </c>
      <c r="F150" s="83" t="s">
        <v>524</v>
      </c>
      <c r="G150" s="50" t="str">
        <f>"4"</f>
        <v>4</v>
      </c>
      <c r="H150" t="str">
        <f>"4 fős körmérkőzés"</f>
        <v>4 fős körmérkőzés</v>
      </c>
      <c r="I150" s="50" t="str">
        <f>"2"</f>
        <v>2</v>
      </c>
      <c r="J150" t="str">
        <f>"Nagy Nimród"</f>
        <v>Nagy Nimród</v>
      </c>
      <c r="K150" t="s">
        <v>67</v>
      </c>
      <c r="L150" t="str">
        <f t="shared" si="5"/>
        <v>HUN</v>
      </c>
      <c r="M150">
        <v>5</v>
      </c>
      <c r="O150" t="s">
        <v>246</v>
      </c>
      <c r="P150" s="78">
        <v>45360</v>
      </c>
      <c r="Q150" t="str">
        <f t="shared" si="13"/>
        <v>Nagy Nimród - Rakurai</v>
      </c>
      <c r="R150" t="s">
        <v>636</v>
      </c>
      <c r="S150" t="s">
        <v>636</v>
      </c>
      <c r="T150" t="s">
        <v>645</v>
      </c>
    </row>
    <row r="151" spans="1:20" x14ac:dyDescent="0.3">
      <c r="A151" t="s">
        <v>244</v>
      </c>
      <c r="B151" s="50">
        <v>2</v>
      </c>
      <c r="C151">
        <v>44</v>
      </c>
      <c r="D151" t="str">
        <f t="shared" si="10"/>
        <v>Kumite</v>
      </c>
      <c r="E151" t="s">
        <v>261</v>
      </c>
      <c r="F151" s="83" t="s">
        <v>524</v>
      </c>
      <c r="G151" s="50" t="str">
        <f>"4"</f>
        <v>4</v>
      </c>
      <c r="H151" t="str">
        <f>"4 fős körmérkőzés"</f>
        <v>4 fős körmérkőzés</v>
      </c>
      <c r="I151" s="50" t="str">
        <f>"3"</f>
        <v>3</v>
      </c>
      <c r="J151" t="str">
        <f>"Salga Márton"</f>
        <v>Salga Márton</v>
      </c>
      <c r="K151" t="s">
        <v>307</v>
      </c>
      <c r="L151" t="str">
        <f t="shared" si="5"/>
        <v>HUN</v>
      </c>
      <c r="M151">
        <v>3</v>
      </c>
      <c r="O151" t="s">
        <v>246</v>
      </c>
      <c r="P151" s="78">
        <v>45360</v>
      </c>
      <c r="Q151" t="str">
        <f t="shared" si="13"/>
        <v>Salga Márton - Rokku KKSE</v>
      </c>
      <c r="R151" t="s">
        <v>636</v>
      </c>
      <c r="S151" t="s">
        <v>636</v>
      </c>
      <c r="T151" t="s">
        <v>645</v>
      </c>
    </row>
    <row r="152" spans="1:20" x14ac:dyDescent="0.3">
      <c r="A152" t="s">
        <v>244</v>
      </c>
      <c r="B152" s="50">
        <v>2</v>
      </c>
      <c r="C152">
        <v>44</v>
      </c>
      <c r="D152" t="str">
        <f t="shared" si="10"/>
        <v>Kumite</v>
      </c>
      <c r="E152" t="s">
        <v>261</v>
      </c>
      <c r="F152" s="83" t="s">
        <v>524</v>
      </c>
      <c r="G152" s="50" t="str">
        <f>"4"</f>
        <v>4</v>
      </c>
      <c r="H152" t="str">
        <f>"4 fős körmérkőzés"</f>
        <v>4 fős körmérkőzés</v>
      </c>
      <c r="I152" s="50">
        <v>4</v>
      </c>
      <c r="J152" t="s">
        <v>347</v>
      </c>
      <c r="K152" t="s">
        <v>67</v>
      </c>
      <c r="L152" t="str">
        <f t="shared" si="5"/>
        <v>HUN</v>
      </c>
      <c r="M152">
        <v>2</v>
      </c>
      <c r="N152" t="s">
        <v>340</v>
      </c>
      <c r="O152" t="s">
        <v>246</v>
      </c>
      <c r="P152" s="78">
        <v>45360</v>
      </c>
      <c r="Q152" t="str">
        <f t="shared" si="13"/>
        <v>Finta Csanád - Rakurai</v>
      </c>
      <c r="R152" t="s">
        <v>636</v>
      </c>
      <c r="S152" t="s">
        <v>636</v>
      </c>
      <c r="T152" t="s">
        <v>645</v>
      </c>
    </row>
    <row r="153" spans="1:20" x14ac:dyDescent="0.3">
      <c r="A153" t="s">
        <v>244</v>
      </c>
      <c r="B153" s="50">
        <v>2</v>
      </c>
      <c r="C153">
        <v>45</v>
      </c>
      <c r="D153" t="str">
        <f>"Kata"</f>
        <v>Kata</v>
      </c>
      <c r="E153" t="s">
        <v>262</v>
      </c>
      <c r="F153" s="83" t="s">
        <v>525</v>
      </c>
      <c r="G153" s="50" t="str">
        <f>"9"</f>
        <v>9</v>
      </c>
      <c r="H153" t="str">
        <f>"16 fős egyenes kiesés"</f>
        <v>16 fős egyenes kiesés</v>
      </c>
      <c r="I153" s="50" t="str">
        <f>"1"</f>
        <v>1</v>
      </c>
      <c r="J153" t="str">
        <f>"Tóth Attila"</f>
        <v>Tóth Attila</v>
      </c>
      <c r="K153" t="s">
        <v>333</v>
      </c>
      <c r="L153" t="str">
        <f t="shared" si="5"/>
        <v>HUN</v>
      </c>
      <c r="M153">
        <v>6</v>
      </c>
      <c r="O153" t="s">
        <v>246</v>
      </c>
      <c r="P153" s="78">
        <v>45360</v>
      </c>
      <c r="Q153" t="str">
        <f t="shared" si="13"/>
        <v xml:space="preserve">Tóth Attila - Renmei se </v>
      </c>
      <c r="R153" t="s">
        <v>636</v>
      </c>
      <c r="S153" t="s">
        <v>636</v>
      </c>
      <c r="T153" t="s">
        <v>645</v>
      </c>
    </row>
    <row r="154" spans="1:20" x14ac:dyDescent="0.3">
      <c r="A154" t="s">
        <v>244</v>
      </c>
      <c r="B154" s="50">
        <v>2</v>
      </c>
      <c r="C154">
        <v>46</v>
      </c>
      <c r="D154" t="str">
        <f>"Kata"</f>
        <v>Kata</v>
      </c>
      <c r="E154" t="s">
        <v>262</v>
      </c>
      <c r="F154" s="83" t="s">
        <v>525</v>
      </c>
      <c r="G154" s="50" t="str">
        <f>"9"</f>
        <v>9</v>
      </c>
      <c r="H154" t="str">
        <f>"16 fős egyenes kiesés"</f>
        <v>16 fős egyenes kiesés</v>
      </c>
      <c r="I154" s="50" t="str">
        <f>"2"</f>
        <v>2</v>
      </c>
      <c r="J154" t="str">
        <f>"Domján-Herbat Levente"</f>
        <v>Domján-Herbat Levente</v>
      </c>
      <c r="K154" t="s">
        <v>47</v>
      </c>
      <c r="L154" t="str">
        <f t="shared" si="5"/>
        <v>HUN</v>
      </c>
      <c r="M154">
        <v>5</v>
      </c>
      <c r="O154" t="s">
        <v>246</v>
      </c>
      <c r="P154" s="78">
        <v>45360</v>
      </c>
      <c r="Q154" t="str">
        <f t="shared" si="13"/>
        <v>Domján-Herbat Levente - BHMSE</v>
      </c>
      <c r="R154" t="s">
        <v>636</v>
      </c>
      <c r="S154" t="s">
        <v>636</v>
      </c>
      <c r="T154" t="s">
        <v>645</v>
      </c>
    </row>
    <row r="155" spans="1:20" x14ac:dyDescent="0.3">
      <c r="A155" t="s">
        <v>244</v>
      </c>
      <c r="B155" s="50">
        <v>2</v>
      </c>
      <c r="C155">
        <v>47</v>
      </c>
      <c r="D155" t="str">
        <f>"Kata"</f>
        <v>Kata</v>
      </c>
      <c r="E155" t="s">
        <v>262</v>
      </c>
      <c r="F155" s="83" t="s">
        <v>525</v>
      </c>
      <c r="G155" s="50" t="str">
        <f>"9"</f>
        <v>9</v>
      </c>
      <c r="H155" t="str">
        <f>"16 fős egyenes kiesés"</f>
        <v>16 fős egyenes kiesés</v>
      </c>
      <c r="I155" s="50" t="str">
        <f>"3"</f>
        <v>3</v>
      </c>
      <c r="J155" t="str">
        <f>"Sövér Levente"</f>
        <v>Sövér Levente</v>
      </c>
      <c r="K155" t="s">
        <v>47</v>
      </c>
      <c r="L155" t="str">
        <f t="shared" si="5"/>
        <v>HUN</v>
      </c>
      <c r="M155">
        <v>3</v>
      </c>
      <c r="O155" t="s">
        <v>246</v>
      </c>
      <c r="P155" s="78">
        <v>45360</v>
      </c>
      <c r="Q155" t="str">
        <f t="shared" si="13"/>
        <v>Sövér Levente - BHMSE</v>
      </c>
      <c r="R155" t="s">
        <v>636</v>
      </c>
      <c r="S155" t="s">
        <v>636</v>
      </c>
      <c r="T155" t="s">
        <v>645</v>
      </c>
    </row>
    <row r="156" spans="1:20" x14ac:dyDescent="0.3">
      <c r="A156" t="s">
        <v>244</v>
      </c>
      <c r="B156" s="50">
        <v>2</v>
      </c>
      <c r="C156">
        <v>48</v>
      </c>
      <c r="D156" t="str">
        <f>"Kata"</f>
        <v>Kata</v>
      </c>
      <c r="E156" t="s">
        <v>262</v>
      </c>
      <c r="F156" s="83" t="s">
        <v>525</v>
      </c>
      <c r="G156" s="50" t="str">
        <f>"9"</f>
        <v>9</v>
      </c>
      <c r="H156" t="str">
        <f>"16 fős egyenes kiesés"</f>
        <v>16 fős egyenes kiesés</v>
      </c>
      <c r="I156" s="50" t="str">
        <f>"3"</f>
        <v>3</v>
      </c>
      <c r="J156" t="str">
        <f>"Ferenczhalmy Félix"</f>
        <v>Ferenczhalmy Félix</v>
      </c>
      <c r="K156" t="s">
        <v>47</v>
      </c>
      <c r="L156" t="str">
        <f t="shared" si="5"/>
        <v>HUN</v>
      </c>
      <c r="M156">
        <v>3</v>
      </c>
      <c r="O156" t="s">
        <v>246</v>
      </c>
      <c r="P156" s="78">
        <v>45360</v>
      </c>
      <c r="Q156" t="str">
        <f t="shared" si="13"/>
        <v>Ferenczhalmy Félix - BHMSE</v>
      </c>
      <c r="R156" t="s">
        <v>636</v>
      </c>
      <c r="S156" t="s">
        <v>636</v>
      </c>
      <c r="T156" t="s">
        <v>645</v>
      </c>
    </row>
    <row r="157" spans="1:20" x14ac:dyDescent="0.3">
      <c r="A157" t="s">
        <v>244</v>
      </c>
      <c r="B157" s="50">
        <v>2</v>
      </c>
      <c r="C157">
        <v>48</v>
      </c>
      <c r="D157" t="str">
        <f>"Kata"</f>
        <v>Kata</v>
      </c>
      <c r="E157" t="s">
        <v>262</v>
      </c>
      <c r="F157" s="83" t="s">
        <v>525</v>
      </c>
      <c r="G157" s="50" t="str">
        <f>"9"</f>
        <v>9</v>
      </c>
      <c r="H157" t="str">
        <f>"16 fős egyenes kiesés"</f>
        <v>16 fős egyenes kiesés</v>
      </c>
      <c r="I157" s="67" t="s">
        <v>302</v>
      </c>
      <c r="J157" t="s">
        <v>348</v>
      </c>
      <c r="K157" t="s">
        <v>150</v>
      </c>
      <c r="L157" t="str">
        <f t="shared" si="5"/>
        <v>HUN</v>
      </c>
      <c r="M157">
        <v>1</v>
      </c>
      <c r="N157" t="s">
        <v>304</v>
      </c>
      <c r="O157" t="s">
        <v>246</v>
      </c>
      <c r="P157" s="78">
        <v>45360</v>
      </c>
      <c r="Q157" t="str">
        <f t="shared" si="13"/>
        <v>Moosbauer Kevin - KSE Tarján</v>
      </c>
      <c r="R157" t="s">
        <v>636</v>
      </c>
      <c r="S157" t="s">
        <v>636</v>
      </c>
      <c r="T157" t="s">
        <v>645</v>
      </c>
    </row>
    <row r="158" spans="1:20" x14ac:dyDescent="0.3">
      <c r="A158" t="s">
        <v>244</v>
      </c>
      <c r="B158" s="50">
        <v>2</v>
      </c>
      <c r="C158">
        <v>49</v>
      </c>
      <c r="D158" t="str">
        <f t="shared" ref="D158:D172" si="14">"Kumite"</f>
        <v>Kumite</v>
      </c>
      <c r="E158" t="s">
        <v>263</v>
      </c>
      <c r="F158" s="83" t="s">
        <v>517</v>
      </c>
      <c r="G158" s="50" t="str">
        <f>"7"</f>
        <v>7</v>
      </c>
      <c r="H158" t="str">
        <f>"8 fős egyenes kiesés"</f>
        <v>8 fős egyenes kiesés</v>
      </c>
      <c r="I158" s="50" t="str">
        <f>"1"</f>
        <v>1</v>
      </c>
      <c r="J158" t="str">
        <f>"Horváth Liliána"</f>
        <v>Horváth Liliána</v>
      </c>
      <c r="K158" t="s">
        <v>37</v>
      </c>
      <c r="L158" t="str">
        <f t="shared" si="5"/>
        <v>HUN</v>
      </c>
      <c r="M158">
        <v>6</v>
      </c>
      <c r="O158" t="s">
        <v>246</v>
      </c>
      <c r="P158" s="78">
        <v>45360</v>
      </c>
      <c r="Q158" t="str">
        <f t="shared" si="13"/>
        <v>Horváth Liliána - Kamikaze S</v>
      </c>
      <c r="R158" t="s">
        <v>636</v>
      </c>
      <c r="S158" t="s">
        <v>636</v>
      </c>
      <c r="T158" t="s">
        <v>645</v>
      </c>
    </row>
    <row r="159" spans="1:20" x14ac:dyDescent="0.3">
      <c r="A159" t="s">
        <v>244</v>
      </c>
      <c r="B159" s="50">
        <v>2</v>
      </c>
      <c r="C159">
        <v>50</v>
      </c>
      <c r="D159" t="str">
        <f t="shared" si="14"/>
        <v>Kumite</v>
      </c>
      <c r="E159" t="s">
        <v>263</v>
      </c>
      <c r="F159" s="83" t="s">
        <v>517</v>
      </c>
      <c r="G159" s="50" t="str">
        <f>"7"</f>
        <v>7</v>
      </c>
      <c r="H159" t="str">
        <f>"8 fős egyenes kiesés"</f>
        <v>8 fős egyenes kiesés</v>
      </c>
      <c r="I159" s="50" t="str">
        <f>"2"</f>
        <v>2</v>
      </c>
      <c r="J159" t="str">
        <f>"Gál Petra Andrea"</f>
        <v>Gál Petra Andrea</v>
      </c>
      <c r="K159" t="s">
        <v>321</v>
      </c>
      <c r="L159" t="str">
        <f t="shared" si="5"/>
        <v>HUN</v>
      </c>
      <c r="M159">
        <v>5</v>
      </c>
      <c r="O159" t="s">
        <v>246</v>
      </c>
      <c r="P159" s="78">
        <v>45360</v>
      </c>
      <c r="Q159" t="str">
        <f t="shared" si="13"/>
        <v>Gál Petra Andrea - Fitt SE</v>
      </c>
      <c r="R159" t="s">
        <v>636</v>
      </c>
      <c r="S159" t="s">
        <v>636</v>
      </c>
      <c r="T159" t="s">
        <v>645</v>
      </c>
    </row>
    <row r="160" spans="1:20" x14ac:dyDescent="0.3">
      <c r="A160" t="s">
        <v>244</v>
      </c>
      <c r="B160" s="50">
        <v>2</v>
      </c>
      <c r="C160">
        <v>51</v>
      </c>
      <c r="D160" t="str">
        <f t="shared" si="14"/>
        <v>Kumite</v>
      </c>
      <c r="E160" t="s">
        <v>263</v>
      </c>
      <c r="F160" s="83" t="s">
        <v>517</v>
      </c>
      <c r="G160" s="50" t="str">
        <f>"7"</f>
        <v>7</v>
      </c>
      <c r="H160" t="str">
        <f>"8 fős egyenes kiesés"</f>
        <v>8 fős egyenes kiesés</v>
      </c>
      <c r="I160" s="50" t="str">
        <f>"3"</f>
        <v>3</v>
      </c>
      <c r="J160" t="str">
        <f>"Kovács Linett"</f>
        <v>Kovács Linett</v>
      </c>
      <c r="K160" t="s">
        <v>332</v>
      </c>
      <c r="L160" t="str">
        <f t="shared" si="5"/>
        <v>HUN</v>
      </c>
      <c r="M160">
        <v>3</v>
      </c>
      <c r="O160" t="s">
        <v>246</v>
      </c>
      <c r="P160" s="78">
        <v>45360</v>
      </c>
      <c r="Q160" t="str">
        <f t="shared" si="13"/>
        <v>Kovács Linett - RDKKSE</v>
      </c>
      <c r="R160" t="s">
        <v>636</v>
      </c>
      <c r="S160" t="s">
        <v>636</v>
      </c>
      <c r="T160" t="s">
        <v>645</v>
      </c>
    </row>
    <row r="161" spans="1:20" x14ac:dyDescent="0.3">
      <c r="A161" t="s">
        <v>244</v>
      </c>
      <c r="B161" s="50">
        <v>2</v>
      </c>
      <c r="C161">
        <v>52</v>
      </c>
      <c r="D161" t="str">
        <f t="shared" si="14"/>
        <v>Kumite</v>
      </c>
      <c r="E161" t="s">
        <v>263</v>
      </c>
      <c r="F161" s="83" t="s">
        <v>517</v>
      </c>
      <c r="G161" s="50" t="str">
        <f>"7"</f>
        <v>7</v>
      </c>
      <c r="H161" t="str">
        <f>"8 fős egyenes kiesés"</f>
        <v>8 fős egyenes kiesés</v>
      </c>
      <c r="I161" s="50" t="str">
        <f>"3"</f>
        <v>3</v>
      </c>
      <c r="J161" t="str">
        <f>"Mihályi Tünde"</f>
        <v>Mihályi Tünde</v>
      </c>
      <c r="K161" t="s">
        <v>47</v>
      </c>
      <c r="L161" t="str">
        <f t="shared" ref="L161:L224" si="15">"HUN"</f>
        <v>HUN</v>
      </c>
      <c r="M161">
        <v>3</v>
      </c>
      <c r="O161" t="s">
        <v>246</v>
      </c>
      <c r="P161" s="78">
        <v>45360</v>
      </c>
      <c r="Q161" t="str">
        <f t="shared" si="13"/>
        <v>Mihályi Tünde - BHMSE</v>
      </c>
      <c r="R161" t="s">
        <v>636</v>
      </c>
      <c r="S161" t="s">
        <v>636</v>
      </c>
      <c r="T161" t="s">
        <v>645</v>
      </c>
    </row>
    <row r="162" spans="1:20" x14ac:dyDescent="0.3">
      <c r="A162" t="s">
        <v>244</v>
      </c>
      <c r="B162" s="50">
        <v>2</v>
      </c>
      <c r="C162">
        <v>53</v>
      </c>
      <c r="D162" t="str">
        <f t="shared" si="14"/>
        <v>Kumite</v>
      </c>
      <c r="E162" t="s">
        <v>264</v>
      </c>
      <c r="F162" s="83" t="s">
        <v>523</v>
      </c>
      <c r="G162" s="50" t="str">
        <f>"2"</f>
        <v>2</v>
      </c>
      <c r="H162" t="str">
        <f>"2 fős egyenes kiesés"</f>
        <v>2 fős egyenes kiesés</v>
      </c>
      <c r="I162" s="50" t="str">
        <f>"1"</f>
        <v>1</v>
      </c>
      <c r="J162" t="str">
        <f>"Szelőczei Noémi"</f>
        <v>Szelőczei Noémi</v>
      </c>
      <c r="K162" t="s">
        <v>315</v>
      </c>
      <c r="L162" t="str">
        <f t="shared" si="15"/>
        <v>HUN</v>
      </c>
      <c r="M162">
        <v>3</v>
      </c>
      <c r="O162" t="s">
        <v>246</v>
      </c>
      <c r="P162" s="78">
        <v>45360</v>
      </c>
      <c r="Q162" t="str">
        <f t="shared" si="13"/>
        <v>Szelőczei Noémi - Cs.S.E.</v>
      </c>
      <c r="R162" t="s">
        <v>636</v>
      </c>
      <c r="S162" t="s">
        <v>636</v>
      </c>
      <c r="T162" t="s">
        <v>645</v>
      </c>
    </row>
    <row r="163" spans="1:20" x14ac:dyDescent="0.3">
      <c r="A163" t="s">
        <v>244</v>
      </c>
      <c r="B163" s="50">
        <v>2</v>
      </c>
      <c r="C163">
        <v>54</v>
      </c>
      <c r="D163" t="str">
        <f t="shared" si="14"/>
        <v>Kumite</v>
      </c>
      <c r="E163" t="s">
        <v>264</v>
      </c>
      <c r="F163" s="83" t="s">
        <v>523</v>
      </c>
      <c r="G163" s="50" t="str">
        <f>"2"</f>
        <v>2</v>
      </c>
      <c r="H163" t="str">
        <f>"2 fős egyenes kiesés"</f>
        <v>2 fős egyenes kiesés</v>
      </c>
      <c r="I163" s="50" t="str">
        <f>"2"</f>
        <v>2</v>
      </c>
      <c r="J163" t="str">
        <f>"Horváth Réka"</f>
        <v>Horváth Réka</v>
      </c>
      <c r="K163" t="s">
        <v>314</v>
      </c>
      <c r="L163" t="str">
        <f t="shared" si="15"/>
        <v>HUN</v>
      </c>
      <c r="M163">
        <v>0</v>
      </c>
      <c r="N163" t="s">
        <v>158</v>
      </c>
      <c r="O163" t="s">
        <v>246</v>
      </c>
      <c r="P163" s="78">
        <v>45360</v>
      </c>
      <c r="Q163" t="str">
        <f t="shared" si="13"/>
        <v>Horváth Réka - Castrum</v>
      </c>
      <c r="R163" t="s">
        <v>636</v>
      </c>
      <c r="S163" t="s">
        <v>636</v>
      </c>
      <c r="T163" t="s">
        <v>645</v>
      </c>
    </row>
    <row r="164" spans="1:20" x14ac:dyDescent="0.3">
      <c r="A164" t="s">
        <v>244</v>
      </c>
      <c r="B164" s="50">
        <v>2</v>
      </c>
      <c r="C164">
        <v>55</v>
      </c>
      <c r="D164" t="str">
        <f t="shared" si="14"/>
        <v>Kumite</v>
      </c>
      <c r="E164" t="s">
        <v>265</v>
      </c>
      <c r="F164" s="83" t="s">
        <v>528</v>
      </c>
      <c r="G164" s="50" t="str">
        <f>"5"</f>
        <v>5</v>
      </c>
      <c r="H164" t="str">
        <f>"5 fős körmérkőzés"</f>
        <v>5 fős körmérkőzés</v>
      </c>
      <c r="I164" s="50" t="str">
        <f>"1"</f>
        <v>1</v>
      </c>
      <c r="J164" t="str">
        <f>"Bennárik Bella"</f>
        <v>Bennárik Bella</v>
      </c>
      <c r="K164" t="s">
        <v>323</v>
      </c>
      <c r="L164" t="str">
        <f t="shared" si="15"/>
        <v>HUN</v>
      </c>
      <c r="M164">
        <v>8</v>
      </c>
      <c r="O164" t="s">
        <v>246</v>
      </c>
      <c r="P164" s="78">
        <v>45360</v>
      </c>
      <c r="Q164" t="str">
        <f t="shared" si="13"/>
        <v>Bennárik Bella - HARCOSOK KLUBJA</v>
      </c>
      <c r="R164" t="s">
        <v>636</v>
      </c>
      <c r="S164" t="s">
        <v>636</v>
      </c>
      <c r="T164" t="s">
        <v>645</v>
      </c>
    </row>
    <row r="165" spans="1:20" x14ac:dyDescent="0.3">
      <c r="A165" t="s">
        <v>244</v>
      </c>
      <c r="B165" s="50">
        <v>2</v>
      </c>
      <c r="C165">
        <v>56</v>
      </c>
      <c r="D165" t="str">
        <f t="shared" si="14"/>
        <v>Kumite</v>
      </c>
      <c r="E165" t="s">
        <v>265</v>
      </c>
      <c r="F165" s="83" t="s">
        <v>528</v>
      </c>
      <c r="G165" s="50" t="str">
        <f>"5"</f>
        <v>5</v>
      </c>
      <c r="H165" t="str">
        <f>"5 fős körmérkőzés"</f>
        <v>5 fős körmérkőzés</v>
      </c>
      <c r="I165" s="50" t="str">
        <f>"2"</f>
        <v>2</v>
      </c>
      <c r="J165" t="str">
        <f>"Horváth Eszter"</f>
        <v>Horváth Eszter</v>
      </c>
      <c r="K165" t="s">
        <v>323</v>
      </c>
      <c r="L165" t="str">
        <f t="shared" si="15"/>
        <v>HUN</v>
      </c>
      <c r="M165">
        <v>6</v>
      </c>
      <c r="O165" t="s">
        <v>246</v>
      </c>
      <c r="P165" s="78">
        <v>45360</v>
      </c>
      <c r="Q165" t="str">
        <f t="shared" si="13"/>
        <v>Horváth Eszter - HARCOSOK KLUBJA</v>
      </c>
      <c r="R165" t="s">
        <v>636</v>
      </c>
      <c r="S165" t="s">
        <v>636</v>
      </c>
      <c r="T165" t="s">
        <v>645</v>
      </c>
    </row>
    <row r="166" spans="1:20" x14ac:dyDescent="0.3">
      <c r="A166" t="s">
        <v>244</v>
      </c>
      <c r="B166" s="50">
        <v>2</v>
      </c>
      <c r="C166">
        <v>57</v>
      </c>
      <c r="D166" t="str">
        <f t="shared" si="14"/>
        <v>Kumite</v>
      </c>
      <c r="E166" t="s">
        <v>265</v>
      </c>
      <c r="F166" s="83" t="s">
        <v>528</v>
      </c>
      <c r="G166" s="50" t="str">
        <f>"5"</f>
        <v>5</v>
      </c>
      <c r="H166" t="str">
        <f>"5 fős körmérkőzés"</f>
        <v>5 fős körmérkőzés</v>
      </c>
      <c r="I166" s="50" t="str">
        <f>"3"</f>
        <v>3</v>
      </c>
      <c r="J166" t="str">
        <f>"Schaibli  Lilla"</f>
        <v>Schaibli  Lilla</v>
      </c>
      <c r="K166" t="s">
        <v>167</v>
      </c>
      <c r="L166" t="str">
        <f t="shared" si="15"/>
        <v>HUN</v>
      </c>
      <c r="M166">
        <v>4</v>
      </c>
      <c r="O166" t="s">
        <v>246</v>
      </c>
      <c r="P166" s="78">
        <v>45360</v>
      </c>
      <c r="Q166" t="str">
        <f t="shared" si="13"/>
        <v>Schaibli  Lilla - Nagykátai Bushido SE</v>
      </c>
      <c r="R166" t="s">
        <v>636</v>
      </c>
      <c r="S166" t="s">
        <v>636</v>
      </c>
      <c r="T166" t="s">
        <v>645</v>
      </c>
    </row>
    <row r="167" spans="1:20" x14ac:dyDescent="0.3">
      <c r="A167" t="s">
        <v>244</v>
      </c>
      <c r="B167" s="50">
        <v>2</v>
      </c>
      <c r="C167">
        <v>57</v>
      </c>
      <c r="D167" t="str">
        <f t="shared" si="14"/>
        <v>Kumite</v>
      </c>
      <c r="E167" t="s">
        <v>265</v>
      </c>
      <c r="F167" s="83" t="s">
        <v>528</v>
      </c>
      <c r="G167" s="50" t="str">
        <f>"5"</f>
        <v>5</v>
      </c>
      <c r="H167" t="str">
        <f>"5 fős körmérkőzés"</f>
        <v>5 fős körmérkőzés</v>
      </c>
      <c r="I167" s="50">
        <v>4</v>
      </c>
      <c r="J167" t="s">
        <v>349</v>
      </c>
      <c r="K167" t="s">
        <v>67</v>
      </c>
      <c r="L167" t="str">
        <f t="shared" si="15"/>
        <v>HUN</v>
      </c>
      <c r="M167">
        <v>3</v>
      </c>
      <c r="N167" t="s">
        <v>340</v>
      </c>
      <c r="O167" t="s">
        <v>246</v>
      </c>
      <c r="P167" s="78">
        <v>45360</v>
      </c>
      <c r="Q167" t="str">
        <f t="shared" si="13"/>
        <v>Bota Sára - Rakurai</v>
      </c>
      <c r="R167" t="s">
        <v>636</v>
      </c>
      <c r="S167" t="s">
        <v>636</v>
      </c>
      <c r="T167" t="s">
        <v>645</v>
      </c>
    </row>
    <row r="168" spans="1:20" x14ac:dyDescent="0.3">
      <c r="A168" t="s">
        <v>244</v>
      </c>
      <c r="B168" s="50">
        <v>2</v>
      </c>
      <c r="C168">
        <v>58</v>
      </c>
      <c r="D168" t="str">
        <f t="shared" si="14"/>
        <v>Kumite</v>
      </c>
      <c r="E168" t="s">
        <v>266</v>
      </c>
      <c r="F168" s="83" t="s">
        <v>527</v>
      </c>
      <c r="G168" s="50" t="str">
        <f>"9"</f>
        <v>9</v>
      </c>
      <c r="H168" t="str">
        <f t="shared" ref="H168:H178" si="16">"16 fős egyenes kiesés"</f>
        <v>16 fős egyenes kiesés</v>
      </c>
      <c r="I168" s="50" t="str">
        <f>"1"</f>
        <v>1</v>
      </c>
      <c r="J168" t="str">
        <f>"Bors Jázmin Hanna"</f>
        <v>Bors Jázmin Hanna</v>
      </c>
      <c r="K168" t="s">
        <v>314</v>
      </c>
      <c r="L168" t="str">
        <f t="shared" si="15"/>
        <v>HUN</v>
      </c>
      <c r="M168">
        <v>8</v>
      </c>
      <c r="O168" t="s">
        <v>246</v>
      </c>
      <c r="P168" s="78">
        <v>45360</v>
      </c>
      <c r="Q168" t="str">
        <f t="shared" si="13"/>
        <v>Bors Jázmin Hanna - Castrum</v>
      </c>
      <c r="R168" t="s">
        <v>636</v>
      </c>
      <c r="S168" t="s">
        <v>636</v>
      </c>
      <c r="T168" t="s">
        <v>645</v>
      </c>
    </row>
    <row r="169" spans="1:20" x14ac:dyDescent="0.3">
      <c r="A169" t="s">
        <v>244</v>
      </c>
      <c r="B169" s="50">
        <v>2</v>
      </c>
      <c r="C169">
        <v>59</v>
      </c>
      <c r="D169" t="str">
        <f t="shared" si="14"/>
        <v>Kumite</v>
      </c>
      <c r="E169" t="s">
        <v>266</v>
      </c>
      <c r="F169" s="83" t="s">
        <v>527</v>
      </c>
      <c r="G169" s="50" t="str">
        <f>"9"</f>
        <v>9</v>
      </c>
      <c r="H169" t="str">
        <f t="shared" si="16"/>
        <v>16 fős egyenes kiesés</v>
      </c>
      <c r="I169" s="50" t="str">
        <f>"2"</f>
        <v>2</v>
      </c>
      <c r="J169" t="str">
        <f>"Mészáros Lili Dóra"</f>
        <v>Mészáros Lili Dóra</v>
      </c>
      <c r="K169" t="s">
        <v>150</v>
      </c>
      <c r="L169" t="str">
        <f t="shared" si="15"/>
        <v>HUN</v>
      </c>
      <c r="M169">
        <v>6</v>
      </c>
      <c r="O169" t="s">
        <v>246</v>
      </c>
      <c r="P169" s="78">
        <v>45360</v>
      </c>
      <c r="Q169" t="str">
        <f t="shared" si="13"/>
        <v>Mészáros Lili Dóra - KSE Tarján</v>
      </c>
      <c r="R169" t="s">
        <v>636</v>
      </c>
      <c r="S169" t="s">
        <v>636</v>
      </c>
      <c r="T169" t="s">
        <v>645</v>
      </c>
    </row>
    <row r="170" spans="1:20" x14ac:dyDescent="0.3">
      <c r="A170" t="s">
        <v>244</v>
      </c>
      <c r="B170" s="50">
        <v>2</v>
      </c>
      <c r="C170">
        <v>60</v>
      </c>
      <c r="D170" t="str">
        <f t="shared" si="14"/>
        <v>Kumite</v>
      </c>
      <c r="E170" t="s">
        <v>266</v>
      </c>
      <c r="F170" s="83" t="s">
        <v>527</v>
      </c>
      <c r="G170" s="50" t="str">
        <f>"9"</f>
        <v>9</v>
      </c>
      <c r="H170" t="str">
        <f t="shared" si="16"/>
        <v>16 fős egyenes kiesés</v>
      </c>
      <c r="I170" s="50" t="str">
        <f>"3"</f>
        <v>3</v>
      </c>
      <c r="J170" t="str">
        <f>"Gecsei Emma Borbála"</f>
        <v>Gecsei Emma Borbála</v>
      </c>
      <c r="K170" t="s">
        <v>150</v>
      </c>
      <c r="L170" t="str">
        <f t="shared" si="15"/>
        <v>HUN</v>
      </c>
      <c r="M170">
        <v>4</v>
      </c>
      <c r="O170" t="s">
        <v>246</v>
      </c>
      <c r="P170" s="78">
        <v>45360</v>
      </c>
      <c r="Q170" t="str">
        <f t="shared" si="13"/>
        <v>Gecsei Emma Borbála - KSE Tarján</v>
      </c>
      <c r="R170" t="s">
        <v>636</v>
      </c>
      <c r="S170" t="s">
        <v>636</v>
      </c>
      <c r="T170" t="s">
        <v>645</v>
      </c>
    </row>
    <row r="171" spans="1:20" x14ac:dyDescent="0.3">
      <c r="A171" t="s">
        <v>244</v>
      </c>
      <c r="B171" s="50">
        <v>2</v>
      </c>
      <c r="C171">
        <v>61</v>
      </c>
      <c r="D171" t="str">
        <f t="shared" si="14"/>
        <v>Kumite</v>
      </c>
      <c r="E171" t="s">
        <v>266</v>
      </c>
      <c r="F171" s="83" t="s">
        <v>527</v>
      </c>
      <c r="G171" s="50" t="str">
        <f>"9"</f>
        <v>9</v>
      </c>
      <c r="H171" t="str">
        <f t="shared" si="16"/>
        <v>16 fős egyenes kiesés</v>
      </c>
      <c r="I171" s="50" t="str">
        <f>"3"</f>
        <v>3</v>
      </c>
      <c r="J171" t="str">
        <f>"Villasenor Babos Natália "</f>
        <v xml:space="preserve">Villasenor Babos Natália </v>
      </c>
      <c r="K171" t="s">
        <v>67</v>
      </c>
      <c r="L171" t="str">
        <f t="shared" si="15"/>
        <v>HUN</v>
      </c>
      <c r="M171">
        <v>4</v>
      </c>
      <c r="O171" t="s">
        <v>246</v>
      </c>
      <c r="P171" s="78">
        <v>45360</v>
      </c>
      <c r="Q171" t="str">
        <f t="shared" si="13"/>
        <v>Villasenor Babos Natália  - Rakurai</v>
      </c>
      <c r="R171" t="s">
        <v>636</v>
      </c>
      <c r="S171" t="s">
        <v>636</v>
      </c>
      <c r="T171" t="s">
        <v>645</v>
      </c>
    </row>
    <row r="172" spans="1:20" x14ac:dyDescent="0.3">
      <c r="A172" t="s">
        <v>244</v>
      </c>
      <c r="B172" s="50">
        <v>2</v>
      </c>
      <c r="C172">
        <v>61</v>
      </c>
      <c r="D172" t="str">
        <f t="shared" si="14"/>
        <v>Kumite</v>
      </c>
      <c r="E172" t="s">
        <v>266</v>
      </c>
      <c r="F172" s="83" t="s">
        <v>527</v>
      </c>
      <c r="G172" s="50" t="str">
        <f>"9"</f>
        <v>9</v>
      </c>
      <c r="H172" t="str">
        <f t="shared" si="16"/>
        <v>16 fős egyenes kiesés</v>
      </c>
      <c r="I172" s="67" t="s">
        <v>302</v>
      </c>
      <c r="J172" t="s">
        <v>351</v>
      </c>
      <c r="K172" t="s">
        <v>325</v>
      </c>
      <c r="L172" t="str">
        <f t="shared" si="15"/>
        <v>HUN</v>
      </c>
      <c r="M172">
        <v>2</v>
      </c>
      <c r="N172" t="s">
        <v>304</v>
      </c>
      <c r="O172" t="s">
        <v>246</v>
      </c>
      <c r="P172" s="78">
        <v>45360</v>
      </c>
      <c r="Q172" t="str">
        <f t="shared" si="13"/>
        <v>Szabó Anna Tímea - Katana SE</v>
      </c>
      <c r="R172" t="s">
        <v>636</v>
      </c>
      <c r="S172" t="s">
        <v>636</v>
      </c>
      <c r="T172" t="s">
        <v>645</v>
      </c>
    </row>
    <row r="173" spans="1:20" x14ac:dyDescent="0.3">
      <c r="A173" t="s">
        <v>244</v>
      </c>
      <c r="B173" s="50">
        <v>2</v>
      </c>
      <c r="C173">
        <v>62</v>
      </c>
      <c r="D173" t="str">
        <f t="shared" ref="D173:D178" si="17">"Kata"</f>
        <v>Kata</v>
      </c>
      <c r="E173" t="s">
        <v>267</v>
      </c>
      <c r="F173" s="83" t="s">
        <v>526</v>
      </c>
      <c r="G173" s="50" t="str">
        <f t="shared" ref="G173:G178" si="18">"15"</f>
        <v>15</v>
      </c>
      <c r="H173" t="str">
        <f t="shared" si="16"/>
        <v>16 fős egyenes kiesés</v>
      </c>
      <c r="I173" s="50" t="str">
        <f>"1"</f>
        <v>1</v>
      </c>
      <c r="J173" t="str">
        <f>"Gál Petra Andrea"</f>
        <v>Gál Petra Andrea</v>
      </c>
      <c r="K173" t="s">
        <v>321</v>
      </c>
      <c r="L173" t="str">
        <f t="shared" si="15"/>
        <v>HUN</v>
      </c>
      <c r="M173">
        <v>6</v>
      </c>
      <c r="O173" t="s">
        <v>246</v>
      </c>
      <c r="P173" s="78">
        <v>45360</v>
      </c>
      <c r="Q173" t="str">
        <f t="shared" si="13"/>
        <v>Gál Petra Andrea - Fitt SE</v>
      </c>
      <c r="R173" t="s">
        <v>636</v>
      </c>
      <c r="S173" t="s">
        <v>636</v>
      </c>
      <c r="T173" t="s">
        <v>645</v>
      </c>
    </row>
    <row r="174" spans="1:20" x14ac:dyDescent="0.3">
      <c r="A174" t="s">
        <v>244</v>
      </c>
      <c r="B174" s="50">
        <v>2</v>
      </c>
      <c r="C174">
        <v>63</v>
      </c>
      <c r="D174" t="str">
        <f t="shared" si="17"/>
        <v>Kata</v>
      </c>
      <c r="E174" t="s">
        <v>267</v>
      </c>
      <c r="F174" s="83" t="s">
        <v>526</v>
      </c>
      <c r="G174" s="50" t="str">
        <f t="shared" si="18"/>
        <v>15</v>
      </c>
      <c r="H174" t="str">
        <f t="shared" si="16"/>
        <v>16 fős egyenes kiesés</v>
      </c>
      <c r="I174" s="50" t="str">
        <f>"2"</f>
        <v>2</v>
      </c>
      <c r="J174" t="str">
        <f>"Tóth-Krisó Míra"</f>
        <v>Tóth-Krisó Míra</v>
      </c>
      <c r="K174" t="s">
        <v>325</v>
      </c>
      <c r="L174" t="str">
        <f t="shared" si="15"/>
        <v>HUN</v>
      </c>
      <c r="M174">
        <v>5</v>
      </c>
      <c r="O174" t="s">
        <v>246</v>
      </c>
      <c r="P174" s="78">
        <v>45360</v>
      </c>
      <c r="Q174" t="str">
        <f t="shared" si="13"/>
        <v>Tóth-Krisó Míra - Katana SE</v>
      </c>
      <c r="R174" t="s">
        <v>636</v>
      </c>
      <c r="S174" t="s">
        <v>636</v>
      </c>
      <c r="T174" t="s">
        <v>645</v>
      </c>
    </row>
    <row r="175" spans="1:20" x14ac:dyDescent="0.3">
      <c r="A175" t="s">
        <v>244</v>
      </c>
      <c r="B175" s="50">
        <v>2</v>
      </c>
      <c r="C175">
        <v>64</v>
      </c>
      <c r="D175" t="str">
        <f t="shared" si="17"/>
        <v>Kata</v>
      </c>
      <c r="E175" t="s">
        <v>267</v>
      </c>
      <c r="F175" s="83" t="s">
        <v>526</v>
      </c>
      <c r="G175" s="50" t="str">
        <f t="shared" si="18"/>
        <v>15</v>
      </c>
      <c r="H175" t="str">
        <f t="shared" si="16"/>
        <v>16 fős egyenes kiesés</v>
      </c>
      <c r="I175" s="50" t="str">
        <f>"3"</f>
        <v>3</v>
      </c>
      <c r="J175" t="str">
        <f>"Kovács Linett"</f>
        <v>Kovács Linett</v>
      </c>
      <c r="K175" t="s">
        <v>332</v>
      </c>
      <c r="L175" t="str">
        <f t="shared" si="15"/>
        <v>HUN</v>
      </c>
      <c r="M175">
        <v>3</v>
      </c>
      <c r="O175" t="s">
        <v>246</v>
      </c>
      <c r="P175" s="78">
        <v>45360</v>
      </c>
      <c r="Q175" t="str">
        <f t="shared" si="13"/>
        <v>Kovács Linett - RDKKSE</v>
      </c>
      <c r="R175" t="s">
        <v>636</v>
      </c>
      <c r="S175" t="s">
        <v>636</v>
      </c>
      <c r="T175" t="s">
        <v>645</v>
      </c>
    </row>
    <row r="176" spans="1:20" x14ac:dyDescent="0.3">
      <c r="A176" t="s">
        <v>244</v>
      </c>
      <c r="B176" s="50">
        <v>2</v>
      </c>
      <c r="C176">
        <v>65</v>
      </c>
      <c r="D176" t="str">
        <f t="shared" si="17"/>
        <v>Kata</v>
      </c>
      <c r="E176" t="s">
        <v>267</v>
      </c>
      <c r="F176" s="83" t="s">
        <v>526</v>
      </c>
      <c r="G176" s="50" t="str">
        <f t="shared" si="18"/>
        <v>15</v>
      </c>
      <c r="H176" t="str">
        <f t="shared" si="16"/>
        <v>16 fős egyenes kiesés</v>
      </c>
      <c r="I176" s="50" t="str">
        <f>"3"</f>
        <v>3</v>
      </c>
      <c r="J176" t="str">
        <f>"Mihályi Tünde"</f>
        <v>Mihályi Tünde</v>
      </c>
      <c r="K176" t="s">
        <v>47</v>
      </c>
      <c r="L176" t="str">
        <f t="shared" si="15"/>
        <v>HUN</v>
      </c>
      <c r="M176">
        <v>3</v>
      </c>
      <c r="O176" t="s">
        <v>246</v>
      </c>
      <c r="P176" s="78">
        <v>45360</v>
      </c>
      <c r="Q176" t="str">
        <f t="shared" si="13"/>
        <v>Mihályi Tünde - BHMSE</v>
      </c>
      <c r="R176" t="s">
        <v>636</v>
      </c>
      <c r="S176" t="s">
        <v>636</v>
      </c>
      <c r="T176" t="s">
        <v>645</v>
      </c>
    </row>
    <row r="177" spans="1:20" x14ac:dyDescent="0.3">
      <c r="A177" t="s">
        <v>244</v>
      </c>
      <c r="B177" s="50">
        <v>2</v>
      </c>
      <c r="C177">
        <v>65</v>
      </c>
      <c r="D177" t="str">
        <f t="shared" si="17"/>
        <v>Kata</v>
      </c>
      <c r="E177" t="s">
        <v>267</v>
      </c>
      <c r="F177" s="83" t="s">
        <v>526</v>
      </c>
      <c r="G177" s="50" t="str">
        <f t="shared" si="18"/>
        <v>15</v>
      </c>
      <c r="H177" t="str">
        <f t="shared" si="16"/>
        <v>16 fős egyenes kiesés</v>
      </c>
      <c r="I177" s="67" t="s">
        <v>302</v>
      </c>
      <c r="J177" t="s">
        <v>352</v>
      </c>
      <c r="K177" t="s">
        <v>315</v>
      </c>
      <c r="L177" t="str">
        <f t="shared" si="15"/>
        <v>HUN</v>
      </c>
      <c r="M177">
        <v>1</v>
      </c>
      <c r="N177" t="s">
        <v>304</v>
      </c>
      <c r="O177" t="s">
        <v>246</v>
      </c>
      <c r="P177" s="78">
        <v>45360</v>
      </c>
      <c r="Q177" t="str">
        <f t="shared" si="13"/>
        <v>Szelőczei Noémi - Cs.S.E.</v>
      </c>
      <c r="R177" t="s">
        <v>636</v>
      </c>
      <c r="S177" t="s">
        <v>636</v>
      </c>
      <c r="T177" t="s">
        <v>645</v>
      </c>
    </row>
    <row r="178" spans="1:20" x14ac:dyDescent="0.3">
      <c r="A178" t="s">
        <v>244</v>
      </c>
      <c r="B178" s="50">
        <v>2</v>
      </c>
      <c r="C178">
        <v>65</v>
      </c>
      <c r="D178" t="str">
        <f t="shared" si="17"/>
        <v>Kata</v>
      </c>
      <c r="E178" t="s">
        <v>267</v>
      </c>
      <c r="F178" s="83" t="s">
        <v>526</v>
      </c>
      <c r="G178" s="50" t="str">
        <f t="shared" si="18"/>
        <v>15</v>
      </c>
      <c r="H178" t="str">
        <f t="shared" si="16"/>
        <v>16 fős egyenes kiesés</v>
      </c>
      <c r="I178" s="67" t="s">
        <v>302</v>
      </c>
      <c r="J178" t="s">
        <v>353</v>
      </c>
      <c r="K178" t="s">
        <v>324</v>
      </c>
      <c r="L178" t="str">
        <f t="shared" si="15"/>
        <v>HUN</v>
      </c>
      <c r="M178">
        <v>1</v>
      </c>
      <c r="N178" t="s">
        <v>304</v>
      </c>
      <c r="O178" t="s">
        <v>246</v>
      </c>
      <c r="P178" s="78">
        <v>45360</v>
      </c>
      <c r="Q178" t="str">
        <f t="shared" si="13"/>
        <v>Gergácz Róza - Kapuvári SE</v>
      </c>
      <c r="R178" t="s">
        <v>636</v>
      </c>
      <c r="S178" t="s">
        <v>636</v>
      </c>
      <c r="T178" t="s">
        <v>645</v>
      </c>
    </row>
    <row r="179" spans="1:20" x14ac:dyDescent="0.3">
      <c r="A179" t="s">
        <v>244</v>
      </c>
      <c r="B179" s="50">
        <v>2</v>
      </c>
      <c r="C179">
        <v>66</v>
      </c>
      <c r="D179" t="str">
        <f t="shared" ref="D179:D198" si="19">"Kumite"</f>
        <v>Kumite</v>
      </c>
      <c r="E179" t="s">
        <v>269</v>
      </c>
      <c r="F179" s="83" t="s">
        <v>529</v>
      </c>
      <c r="G179" s="50" t="str">
        <f>"4"</f>
        <v>4</v>
      </c>
      <c r="H179" t="str">
        <f>"4 fős körmérkőzés"</f>
        <v>4 fős körmérkőzés</v>
      </c>
      <c r="I179" s="50" t="str">
        <f>"1"</f>
        <v>1</v>
      </c>
      <c r="J179" t="str">
        <f>"Gombos-Weidinger Barnabás"</f>
        <v>Gombos-Weidinger Barnabás</v>
      </c>
      <c r="K179" t="s">
        <v>47</v>
      </c>
      <c r="L179" t="str">
        <f t="shared" si="15"/>
        <v>HUN</v>
      </c>
      <c r="M179">
        <v>6</v>
      </c>
      <c r="O179" t="s">
        <v>246</v>
      </c>
      <c r="P179" s="78">
        <v>45360</v>
      </c>
      <c r="Q179" t="str">
        <f t="shared" si="13"/>
        <v>Gombos-Weidinger Barnabás - BHMSE</v>
      </c>
      <c r="R179" t="s">
        <v>636</v>
      </c>
      <c r="S179" t="s">
        <v>636</v>
      </c>
      <c r="T179" t="s">
        <v>645</v>
      </c>
    </row>
    <row r="180" spans="1:20" x14ac:dyDescent="0.3">
      <c r="A180" t="s">
        <v>244</v>
      </c>
      <c r="B180" s="50">
        <v>2</v>
      </c>
      <c r="C180">
        <v>67</v>
      </c>
      <c r="D180" t="str">
        <f t="shared" si="19"/>
        <v>Kumite</v>
      </c>
      <c r="E180" t="s">
        <v>269</v>
      </c>
      <c r="F180" s="83" t="s">
        <v>529</v>
      </c>
      <c r="G180" s="50" t="str">
        <f>"4"</f>
        <v>4</v>
      </c>
      <c r="H180" t="str">
        <f>"4 fős körmérkőzés"</f>
        <v>4 fős körmérkőzés</v>
      </c>
      <c r="I180" s="50" t="str">
        <f>"2"</f>
        <v>2</v>
      </c>
      <c r="J180" t="str">
        <f>"Lukács Filip"</f>
        <v>Lukács Filip</v>
      </c>
      <c r="K180" t="s">
        <v>47</v>
      </c>
      <c r="L180" t="str">
        <f t="shared" si="15"/>
        <v>HUN</v>
      </c>
      <c r="M180">
        <v>5</v>
      </c>
      <c r="O180" t="s">
        <v>246</v>
      </c>
      <c r="P180" s="78">
        <v>45360</v>
      </c>
      <c r="Q180" t="str">
        <f t="shared" si="13"/>
        <v>Lukács Filip - BHMSE</v>
      </c>
      <c r="R180" t="s">
        <v>636</v>
      </c>
      <c r="S180" t="s">
        <v>636</v>
      </c>
      <c r="T180" t="s">
        <v>645</v>
      </c>
    </row>
    <row r="181" spans="1:20" x14ac:dyDescent="0.3">
      <c r="A181" t="s">
        <v>244</v>
      </c>
      <c r="B181" s="50">
        <v>2</v>
      </c>
      <c r="C181">
        <v>68</v>
      </c>
      <c r="D181" t="str">
        <f t="shared" si="19"/>
        <v>Kumite</v>
      </c>
      <c r="E181" t="s">
        <v>269</v>
      </c>
      <c r="F181" s="83" t="s">
        <v>529</v>
      </c>
      <c r="G181" s="50" t="str">
        <f>"4"</f>
        <v>4</v>
      </c>
      <c r="H181" t="str">
        <f>"4 fős körmérkőzés"</f>
        <v>4 fős körmérkőzés</v>
      </c>
      <c r="I181" s="50" t="str">
        <f>"3"</f>
        <v>3</v>
      </c>
      <c r="J181" t="str">
        <f>"Gáncs Arnold"</f>
        <v>Gáncs Arnold</v>
      </c>
      <c r="K181" t="s">
        <v>117</v>
      </c>
      <c r="L181" t="str">
        <f t="shared" si="15"/>
        <v>HUN</v>
      </c>
      <c r="M181">
        <v>3</v>
      </c>
      <c r="O181" t="s">
        <v>246</v>
      </c>
      <c r="P181" s="78">
        <v>45360</v>
      </c>
      <c r="Q181" t="str">
        <f t="shared" si="13"/>
        <v>Gáncs Arnold - Griff SE</v>
      </c>
      <c r="R181" t="s">
        <v>636</v>
      </c>
      <c r="S181" t="s">
        <v>636</v>
      </c>
      <c r="T181" t="s">
        <v>645</v>
      </c>
    </row>
    <row r="182" spans="1:20" x14ac:dyDescent="0.3">
      <c r="A182" t="s">
        <v>244</v>
      </c>
      <c r="B182" s="50">
        <v>2</v>
      </c>
      <c r="C182">
        <v>69</v>
      </c>
      <c r="D182" t="str">
        <f t="shared" si="19"/>
        <v>Kumite</v>
      </c>
      <c r="E182" t="s">
        <v>270</v>
      </c>
      <c r="F182" s="83" t="s">
        <v>530</v>
      </c>
      <c r="G182" s="50" t="str">
        <f>"3"</f>
        <v>3</v>
      </c>
      <c r="H182" t="str">
        <f>"3 fős körmérkőzés"</f>
        <v>3 fős körmérkőzés</v>
      </c>
      <c r="I182" s="50" t="str">
        <f>"1"</f>
        <v>1</v>
      </c>
      <c r="J182" t="str">
        <f>"Valkovszki Máté"</f>
        <v>Valkovszki Máté</v>
      </c>
      <c r="K182" t="s">
        <v>47</v>
      </c>
      <c r="L182" t="str">
        <f t="shared" si="15"/>
        <v>HUN</v>
      </c>
      <c r="M182">
        <v>4</v>
      </c>
      <c r="O182" t="s">
        <v>246</v>
      </c>
      <c r="P182" s="78">
        <v>45360</v>
      </c>
      <c r="Q182" t="str">
        <f t="shared" si="13"/>
        <v>Valkovszki Máté - BHMSE</v>
      </c>
      <c r="R182" t="s">
        <v>636</v>
      </c>
      <c r="S182" t="s">
        <v>636</v>
      </c>
      <c r="T182" t="s">
        <v>645</v>
      </c>
    </row>
    <row r="183" spans="1:20" x14ac:dyDescent="0.3">
      <c r="A183" t="s">
        <v>244</v>
      </c>
      <c r="B183" s="50">
        <v>2</v>
      </c>
      <c r="C183">
        <v>70</v>
      </c>
      <c r="D183" t="str">
        <f t="shared" si="19"/>
        <v>Kumite</v>
      </c>
      <c r="E183" t="s">
        <v>270</v>
      </c>
      <c r="F183" s="83" t="s">
        <v>530</v>
      </c>
      <c r="G183" s="50" t="str">
        <f>"3"</f>
        <v>3</v>
      </c>
      <c r="H183" t="str">
        <f>"3 fős körmérkőzés"</f>
        <v>3 fős körmérkőzés</v>
      </c>
      <c r="I183" s="50" t="str">
        <f>"2"</f>
        <v>2</v>
      </c>
      <c r="J183" t="str">
        <f>"Sztojka Norbert Kevin"</f>
        <v>Sztojka Norbert Kevin</v>
      </c>
      <c r="K183" t="s">
        <v>79</v>
      </c>
      <c r="L183" t="str">
        <f t="shared" si="15"/>
        <v>HUN</v>
      </c>
      <c r="M183">
        <v>3</v>
      </c>
      <c r="O183" t="s">
        <v>246</v>
      </c>
      <c r="P183" s="78">
        <v>45360</v>
      </c>
      <c r="Q183" t="str">
        <f t="shared" si="13"/>
        <v>Sztojka Norbert Kevin - Ippon KKSE</v>
      </c>
      <c r="R183" t="s">
        <v>636</v>
      </c>
      <c r="S183" t="s">
        <v>636</v>
      </c>
      <c r="T183" t="s">
        <v>645</v>
      </c>
    </row>
    <row r="184" spans="1:20" x14ac:dyDescent="0.3">
      <c r="A184" t="s">
        <v>244</v>
      </c>
      <c r="B184" s="50">
        <v>2</v>
      </c>
      <c r="C184">
        <v>71</v>
      </c>
      <c r="D184" t="str">
        <f t="shared" si="19"/>
        <v>Kumite</v>
      </c>
      <c r="E184" t="s">
        <v>270</v>
      </c>
      <c r="F184" s="83" t="s">
        <v>530</v>
      </c>
      <c r="G184" s="50" t="str">
        <f>"3"</f>
        <v>3</v>
      </c>
      <c r="H184" t="str">
        <f>"3 fős körmérkőzés"</f>
        <v>3 fős körmérkőzés</v>
      </c>
      <c r="I184" s="50" t="str">
        <f>"3"</f>
        <v>3</v>
      </c>
      <c r="J184" t="str">
        <f>"Csonták Huba"</f>
        <v>Csonták Huba</v>
      </c>
      <c r="K184" t="s">
        <v>321</v>
      </c>
      <c r="L184" t="str">
        <f t="shared" si="15"/>
        <v>HUN</v>
      </c>
      <c r="M184">
        <v>0</v>
      </c>
      <c r="N184" t="s">
        <v>158</v>
      </c>
      <c r="O184" t="s">
        <v>246</v>
      </c>
      <c r="P184" s="78">
        <v>45360</v>
      </c>
      <c r="Q184" t="str">
        <f t="shared" si="13"/>
        <v>Csonták Huba - Fitt SE</v>
      </c>
      <c r="R184" t="s">
        <v>636</v>
      </c>
      <c r="S184" t="s">
        <v>636</v>
      </c>
      <c r="T184" t="s">
        <v>645</v>
      </c>
    </row>
    <row r="185" spans="1:20" x14ac:dyDescent="0.3">
      <c r="A185" t="s">
        <v>244</v>
      </c>
      <c r="B185" s="50">
        <v>2</v>
      </c>
      <c r="C185">
        <v>72</v>
      </c>
      <c r="D185" t="str">
        <f t="shared" si="19"/>
        <v>Kumite</v>
      </c>
      <c r="E185" t="s">
        <v>271</v>
      </c>
      <c r="F185" s="83" t="s">
        <v>531</v>
      </c>
      <c r="G185" s="50" t="str">
        <f>"2"</f>
        <v>2</v>
      </c>
      <c r="H185" t="str">
        <f>"2 fős egyenes kiesés"</f>
        <v>2 fős egyenes kiesés</v>
      </c>
      <c r="I185" s="50" t="str">
        <f>"1"</f>
        <v>1</v>
      </c>
      <c r="J185" t="str">
        <f>"Horváth Nándor"</f>
        <v>Horváth Nándor</v>
      </c>
      <c r="K185" t="s">
        <v>314</v>
      </c>
      <c r="L185" t="str">
        <f t="shared" si="15"/>
        <v>HUN</v>
      </c>
      <c r="M185">
        <v>3</v>
      </c>
      <c r="O185" t="s">
        <v>246</v>
      </c>
      <c r="P185" s="78">
        <v>45360</v>
      </c>
      <c r="Q185" t="str">
        <f t="shared" si="13"/>
        <v>Horváth Nándor - Castrum</v>
      </c>
      <c r="R185" t="s">
        <v>636</v>
      </c>
      <c r="S185" t="s">
        <v>636</v>
      </c>
      <c r="T185" t="s">
        <v>645</v>
      </c>
    </row>
    <row r="186" spans="1:20" x14ac:dyDescent="0.3">
      <c r="A186" t="s">
        <v>244</v>
      </c>
      <c r="B186" s="50">
        <v>2</v>
      </c>
      <c r="C186">
        <v>73</v>
      </c>
      <c r="D186" t="str">
        <f t="shared" si="19"/>
        <v>Kumite</v>
      </c>
      <c r="E186" t="s">
        <v>271</v>
      </c>
      <c r="F186" s="83" t="s">
        <v>531</v>
      </c>
      <c r="G186" s="50" t="str">
        <f>"2"</f>
        <v>2</v>
      </c>
      <c r="H186" t="str">
        <f>"2 fős egyenes kiesés"</f>
        <v>2 fős egyenes kiesés</v>
      </c>
      <c r="I186" s="50" t="str">
        <f>"2"</f>
        <v>2</v>
      </c>
      <c r="J186" t="str">
        <f>"Kiss Dominik István"</f>
        <v>Kiss Dominik István</v>
      </c>
      <c r="K186" t="s">
        <v>311</v>
      </c>
      <c r="L186" t="str">
        <f t="shared" si="15"/>
        <v>HUN</v>
      </c>
      <c r="M186">
        <v>0</v>
      </c>
      <c r="N186" t="s">
        <v>158</v>
      </c>
      <c r="O186" t="s">
        <v>246</v>
      </c>
      <c r="P186" s="78">
        <v>45360</v>
      </c>
      <c r="Q186" t="str">
        <f t="shared" si="13"/>
        <v xml:space="preserve">Kiss Dominik István - Balatoni Multi S.E. </v>
      </c>
      <c r="R186" t="s">
        <v>636</v>
      </c>
      <c r="S186" t="s">
        <v>636</v>
      </c>
      <c r="T186" t="s">
        <v>645</v>
      </c>
    </row>
    <row r="187" spans="1:20" x14ac:dyDescent="0.3">
      <c r="A187" t="s">
        <v>244</v>
      </c>
      <c r="B187" s="50">
        <v>2</v>
      </c>
      <c r="C187">
        <v>74</v>
      </c>
      <c r="D187" t="str">
        <f t="shared" si="19"/>
        <v>Kumite</v>
      </c>
      <c r="E187" t="s">
        <v>272</v>
      </c>
      <c r="F187" s="83" t="s">
        <v>532</v>
      </c>
      <c r="G187" s="50" t="str">
        <f t="shared" ref="G187:G192" si="20">"12"</f>
        <v>12</v>
      </c>
      <c r="H187" t="str">
        <f t="shared" ref="H187:H192" si="21">"16 fős egyenes kiesés"</f>
        <v>16 fős egyenes kiesés</v>
      </c>
      <c r="I187" s="50" t="str">
        <f>"1"</f>
        <v>1</v>
      </c>
      <c r="J187" t="str">
        <f>"Bábel József"</f>
        <v>Bábel József</v>
      </c>
      <c r="K187" t="s">
        <v>11</v>
      </c>
      <c r="L187" t="str">
        <f t="shared" si="15"/>
        <v>HUN</v>
      </c>
      <c r="M187">
        <v>8</v>
      </c>
      <c r="O187" t="s">
        <v>246</v>
      </c>
      <c r="P187" s="78">
        <v>45360</v>
      </c>
      <c r="Q187" t="str">
        <f t="shared" si="13"/>
        <v>Bábel József - Spirit SE.</v>
      </c>
      <c r="R187" t="s">
        <v>636</v>
      </c>
      <c r="S187" t="s">
        <v>636</v>
      </c>
      <c r="T187" t="s">
        <v>645</v>
      </c>
    </row>
    <row r="188" spans="1:20" x14ac:dyDescent="0.3">
      <c r="A188" t="s">
        <v>244</v>
      </c>
      <c r="B188" s="50">
        <v>2</v>
      </c>
      <c r="C188">
        <v>75</v>
      </c>
      <c r="D188" t="str">
        <f t="shared" si="19"/>
        <v>Kumite</v>
      </c>
      <c r="E188" t="s">
        <v>272</v>
      </c>
      <c r="F188" s="83" t="s">
        <v>532</v>
      </c>
      <c r="G188" s="50" t="str">
        <f t="shared" si="20"/>
        <v>12</v>
      </c>
      <c r="H188" t="str">
        <f t="shared" si="21"/>
        <v>16 fős egyenes kiesés</v>
      </c>
      <c r="I188" s="50" t="str">
        <f>"2"</f>
        <v>2</v>
      </c>
      <c r="J188" t="str">
        <f>"Németh Kristóf"</f>
        <v>Németh Kristóf</v>
      </c>
      <c r="K188" t="s">
        <v>324</v>
      </c>
      <c r="L188" t="str">
        <f t="shared" si="15"/>
        <v>HUN</v>
      </c>
      <c r="M188">
        <v>6</v>
      </c>
      <c r="O188" t="s">
        <v>246</v>
      </c>
      <c r="P188" s="78">
        <v>45360</v>
      </c>
      <c r="Q188" t="str">
        <f t="shared" si="13"/>
        <v>Németh Kristóf - Kapuvári SE</v>
      </c>
      <c r="R188" t="s">
        <v>636</v>
      </c>
      <c r="S188" t="s">
        <v>636</v>
      </c>
      <c r="T188" t="s">
        <v>645</v>
      </c>
    </row>
    <row r="189" spans="1:20" x14ac:dyDescent="0.3">
      <c r="A189" t="s">
        <v>244</v>
      </c>
      <c r="B189" s="50">
        <v>2</v>
      </c>
      <c r="C189">
        <v>76</v>
      </c>
      <c r="D189" t="str">
        <f t="shared" si="19"/>
        <v>Kumite</v>
      </c>
      <c r="E189" t="s">
        <v>272</v>
      </c>
      <c r="F189" s="83" t="s">
        <v>532</v>
      </c>
      <c r="G189" s="50" t="str">
        <f t="shared" si="20"/>
        <v>12</v>
      </c>
      <c r="H189" t="str">
        <f t="shared" si="21"/>
        <v>16 fős egyenes kiesés</v>
      </c>
      <c r="I189" s="50" t="str">
        <f>"3"</f>
        <v>3</v>
      </c>
      <c r="J189" t="str">
        <f>"Izsák-Rudolf Gergő"</f>
        <v>Izsák-Rudolf Gergő</v>
      </c>
      <c r="K189" t="s">
        <v>37</v>
      </c>
      <c r="L189" t="str">
        <f t="shared" si="15"/>
        <v>HUN</v>
      </c>
      <c r="M189">
        <v>4</v>
      </c>
      <c r="O189" t="s">
        <v>246</v>
      </c>
      <c r="P189" s="78">
        <v>45360</v>
      </c>
      <c r="Q189" t="str">
        <f t="shared" si="13"/>
        <v>Izsák-Rudolf Gergő - Kamikaze S</v>
      </c>
      <c r="R189" t="s">
        <v>636</v>
      </c>
      <c r="S189" t="s">
        <v>636</v>
      </c>
      <c r="T189" t="s">
        <v>645</v>
      </c>
    </row>
    <row r="190" spans="1:20" x14ac:dyDescent="0.3">
      <c r="A190" t="s">
        <v>244</v>
      </c>
      <c r="B190" s="50">
        <v>2</v>
      </c>
      <c r="C190">
        <v>77</v>
      </c>
      <c r="D190" t="str">
        <f t="shared" si="19"/>
        <v>Kumite</v>
      </c>
      <c r="E190" t="s">
        <v>272</v>
      </c>
      <c r="F190" s="83" t="s">
        <v>532</v>
      </c>
      <c r="G190" s="50" t="str">
        <f t="shared" si="20"/>
        <v>12</v>
      </c>
      <c r="H190" t="str">
        <f t="shared" si="21"/>
        <v>16 fős egyenes kiesés</v>
      </c>
      <c r="I190" s="50" t="str">
        <f>"3"</f>
        <v>3</v>
      </c>
      <c r="J190" t="str">
        <f>"Szalontai Levente"</f>
        <v>Szalontai Levente</v>
      </c>
      <c r="K190" t="s">
        <v>150</v>
      </c>
      <c r="L190" t="str">
        <f t="shared" si="15"/>
        <v>HUN</v>
      </c>
      <c r="M190">
        <v>4</v>
      </c>
      <c r="O190" t="s">
        <v>246</v>
      </c>
      <c r="P190" s="78">
        <v>45360</v>
      </c>
      <c r="Q190" t="str">
        <f t="shared" si="13"/>
        <v>Szalontai Levente - KSE Tarján</v>
      </c>
      <c r="R190" t="s">
        <v>636</v>
      </c>
      <c r="S190" t="s">
        <v>636</v>
      </c>
      <c r="T190" t="s">
        <v>645</v>
      </c>
    </row>
    <row r="191" spans="1:20" x14ac:dyDescent="0.3">
      <c r="A191" t="s">
        <v>244</v>
      </c>
      <c r="B191" s="50">
        <v>2</v>
      </c>
      <c r="C191">
        <v>77</v>
      </c>
      <c r="D191" t="str">
        <f t="shared" si="19"/>
        <v>Kumite</v>
      </c>
      <c r="E191" t="s">
        <v>272</v>
      </c>
      <c r="F191" s="83" t="s">
        <v>532</v>
      </c>
      <c r="G191" s="50" t="str">
        <f t="shared" si="20"/>
        <v>12</v>
      </c>
      <c r="H191" t="str">
        <f t="shared" si="21"/>
        <v>16 fős egyenes kiesés</v>
      </c>
      <c r="I191" s="67" t="s">
        <v>302</v>
      </c>
      <c r="J191" t="s">
        <v>354</v>
      </c>
      <c r="K191" t="s">
        <v>65</v>
      </c>
      <c r="L191" t="str">
        <f t="shared" si="15"/>
        <v>HUN</v>
      </c>
      <c r="M191">
        <v>2</v>
      </c>
      <c r="N191" t="s">
        <v>304</v>
      </c>
      <c r="O191" t="s">
        <v>246</v>
      </c>
      <c r="P191" s="78">
        <v>45360</v>
      </c>
      <c r="Q191" t="str">
        <f t="shared" si="13"/>
        <v>Magasi Attila - Főnix Dojo</v>
      </c>
      <c r="R191" t="s">
        <v>636</v>
      </c>
      <c r="S191" t="s">
        <v>636</v>
      </c>
      <c r="T191" t="s">
        <v>645</v>
      </c>
    </row>
    <row r="192" spans="1:20" x14ac:dyDescent="0.3">
      <c r="A192" t="s">
        <v>244</v>
      </c>
      <c r="B192" s="50">
        <v>2</v>
      </c>
      <c r="C192">
        <v>77</v>
      </c>
      <c r="D192" t="str">
        <f t="shared" si="19"/>
        <v>Kumite</v>
      </c>
      <c r="E192" t="s">
        <v>272</v>
      </c>
      <c r="F192" s="83" t="s">
        <v>532</v>
      </c>
      <c r="G192" s="50" t="str">
        <f t="shared" si="20"/>
        <v>12</v>
      </c>
      <c r="H192" t="str">
        <f t="shared" si="21"/>
        <v>16 fős egyenes kiesés</v>
      </c>
      <c r="I192" s="67" t="s">
        <v>302</v>
      </c>
      <c r="J192" t="s">
        <v>355</v>
      </c>
      <c r="K192" t="s">
        <v>167</v>
      </c>
      <c r="L192" t="str">
        <f t="shared" si="15"/>
        <v>HUN</v>
      </c>
      <c r="M192">
        <v>2</v>
      </c>
      <c r="N192" t="s">
        <v>304</v>
      </c>
      <c r="O192" t="s">
        <v>246</v>
      </c>
      <c r="P192" s="78">
        <v>45360</v>
      </c>
      <c r="Q192" t="str">
        <f t="shared" si="13"/>
        <v>Kóri Iván - Nagykátai Bushido SE</v>
      </c>
      <c r="R192" t="s">
        <v>636</v>
      </c>
      <c r="S192" t="s">
        <v>636</v>
      </c>
      <c r="T192" t="s">
        <v>645</v>
      </c>
    </row>
    <row r="193" spans="1:20" x14ac:dyDescent="0.3">
      <c r="A193" t="s">
        <v>244</v>
      </c>
      <c r="B193" s="50">
        <v>2</v>
      </c>
      <c r="C193">
        <v>78</v>
      </c>
      <c r="D193" t="str">
        <f t="shared" si="19"/>
        <v>Kumite</v>
      </c>
      <c r="E193" t="s">
        <v>273</v>
      </c>
      <c r="F193" s="83" t="s">
        <v>535</v>
      </c>
      <c r="G193" s="50" t="str">
        <f>"4"</f>
        <v>4</v>
      </c>
      <c r="H193" t="str">
        <f>"4 fős körmérkőzés"</f>
        <v>4 fős körmérkőzés</v>
      </c>
      <c r="I193" s="50" t="str">
        <f>"1"</f>
        <v>1</v>
      </c>
      <c r="J193" t="str">
        <f>"Kiss Bence Balázs"</f>
        <v>Kiss Bence Balázs</v>
      </c>
      <c r="K193" t="s">
        <v>79</v>
      </c>
      <c r="L193" t="str">
        <f t="shared" si="15"/>
        <v>HUN</v>
      </c>
      <c r="M193">
        <v>6</v>
      </c>
      <c r="O193" t="s">
        <v>246</v>
      </c>
      <c r="P193" s="78">
        <v>45360</v>
      </c>
      <c r="Q193" t="str">
        <f t="shared" si="13"/>
        <v>Kiss Bence Balázs - Ippon KKSE</v>
      </c>
      <c r="R193" t="s">
        <v>636</v>
      </c>
      <c r="S193" t="s">
        <v>636</v>
      </c>
      <c r="T193" t="s">
        <v>645</v>
      </c>
    </row>
    <row r="194" spans="1:20" x14ac:dyDescent="0.3">
      <c r="A194" t="s">
        <v>244</v>
      </c>
      <c r="B194" s="50">
        <v>2</v>
      </c>
      <c r="C194">
        <v>79</v>
      </c>
      <c r="D194" t="str">
        <f t="shared" si="19"/>
        <v>Kumite</v>
      </c>
      <c r="E194" t="s">
        <v>273</v>
      </c>
      <c r="F194" s="83" t="s">
        <v>535</v>
      </c>
      <c r="G194" s="50" t="str">
        <f>"4"</f>
        <v>4</v>
      </c>
      <c r="H194" t="str">
        <f>"4 fős körmérkőzés"</f>
        <v>4 fős körmérkőzés</v>
      </c>
      <c r="I194" s="50" t="str">
        <f>"2"</f>
        <v>2</v>
      </c>
      <c r="J194" t="str">
        <f>"Tóth Károly"</f>
        <v>Tóth Károly</v>
      </c>
      <c r="K194" t="s">
        <v>67</v>
      </c>
      <c r="L194" t="str">
        <f t="shared" si="15"/>
        <v>HUN</v>
      </c>
      <c r="M194">
        <v>5</v>
      </c>
      <c r="O194" t="s">
        <v>246</v>
      </c>
      <c r="P194" s="78">
        <v>45360</v>
      </c>
      <c r="Q194" t="str">
        <f t="shared" si="13"/>
        <v>Tóth Károly - Rakurai</v>
      </c>
      <c r="R194" t="s">
        <v>636</v>
      </c>
      <c r="S194" t="s">
        <v>636</v>
      </c>
      <c r="T194" t="s">
        <v>645</v>
      </c>
    </row>
    <row r="195" spans="1:20" x14ac:dyDescent="0.3">
      <c r="A195" t="s">
        <v>244</v>
      </c>
      <c r="B195" s="50">
        <v>2</v>
      </c>
      <c r="C195">
        <v>80</v>
      </c>
      <c r="D195" t="str">
        <f t="shared" si="19"/>
        <v>Kumite</v>
      </c>
      <c r="E195" t="s">
        <v>273</v>
      </c>
      <c r="F195" s="83" t="s">
        <v>535</v>
      </c>
      <c r="G195" s="50" t="str">
        <f>"4"</f>
        <v>4</v>
      </c>
      <c r="H195" t="str">
        <f>"4 fős körmérkőzés"</f>
        <v>4 fős körmérkőzés</v>
      </c>
      <c r="I195" s="50" t="str">
        <f>"3"</f>
        <v>3</v>
      </c>
      <c r="J195" t="str">
        <f>"Gallyas Ákos László"</f>
        <v>Gallyas Ákos László</v>
      </c>
      <c r="K195" t="s">
        <v>327</v>
      </c>
      <c r="L195" t="str">
        <f t="shared" si="15"/>
        <v>HUN</v>
      </c>
      <c r="M195">
        <v>3</v>
      </c>
      <c r="O195" t="s">
        <v>246</v>
      </c>
      <c r="P195" s="78">
        <v>45360</v>
      </c>
      <c r="Q195" t="str">
        <f t="shared" ref="Q195:Q258" si="22">J195&amp;" - "&amp;K195</f>
        <v>Gallyas Ákos László - Keszth.KKK</v>
      </c>
      <c r="R195" t="s">
        <v>636</v>
      </c>
      <c r="S195" t="s">
        <v>636</v>
      </c>
      <c r="T195" t="s">
        <v>645</v>
      </c>
    </row>
    <row r="196" spans="1:20" x14ac:dyDescent="0.3">
      <c r="A196" t="s">
        <v>244</v>
      </c>
      <c r="B196" s="50">
        <v>2</v>
      </c>
      <c r="C196">
        <v>81</v>
      </c>
      <c r="D196" t="str">
        <f t="shared" si="19"/>
        <v>Kumite</v>
      </c>
      <c r="E196" t="s">
        <v>274</v>
      </c>
      <c r="F196" s="83" t="s">
        <v>533</v>
      </c>
      <c r="G196" s="50" t="str">
        <f>"6"</f>
        <v>6</v>
      </c>
      <c r="H196" t="str">
        <f>"6 fős vegyes"</f>
        <v>6 fős vegyes</v>
      </c>
      <c r="I196" s="50" t="str">
        <f>"1"</f>
        <v>1</v>
      </c>
      <c r="J196" t="str">
        <f>"Garamszegi Zente"</f>
        <v>Garamszegi Zente</v>
      </c>
      <c r="K196" t="s">
        <v>323</v>
      </c>
      <c r="L196" t="str">
        <f t="shared" si="15"/>
        <v>HUN</v>
      </c>
      <c r="M196">
        <v>6</v>
      </c>
      <c r="O196" t="s">
        <v>246</v>
      </c>
      <c r="P196" s="78">
        <v>45360</v>
      </c>
      <c r="Q196" t="str">
        <f t="shared" si="22"/>
        <v>Garamszegi Zente - HARCOSOK KLUBJA</v>
      </c>
      <c r="R196" t="s">
        <v>636</v>
      </c>
      <c r="S196" t="s">
        <v>636</v>
      </c>
      <c r="T196" t="s">
        <v>645</v>
      </c>
    </row>
    <row r="197" spans="1:20" x14ac:dyDescent="0.3">
      <c r="A197" t="s">
        <v>244</v>
      </c>
      <c r="B197" s="50">
        <v>2</v>
      </c>
      <c r="C197">
        <v>82</v>
      </c>
      <c r="D197" t="str">
        <f t="shared" si="19"/>
        <v>Kumite</v>
      </c>
      <c r="E197" t="s">
        <v>274</v>
      </c>
      <c r="F197" s="83" t="s">
        <v>533</v>
      </c>
      <c r="G197" s="50" t="str">
        <f>"6"</f>
        <v>6</v>
      </c>
      <c r="H197" t="str">
        <f>"6 fős vegyes"</f>
        <v>6 fős vegyes</v>
      </c>
      <c r="I197" s="50" t="str">
        <f>"2"</f>
        <v>2</v>
      </c>
      <c r="J197" t="str">
        <f>"Németh Adrián"</f>
        <v>Németh Adrián</v>
      </c>
      <c r="K197" t="s">
        <v>315</v>
      </c>
      <c r="L197" t="str">
        <f t="shared" si="15"/>
        <v>HUN</v>
      </c>
      <c r="M197">
        <v>5</v>
      </c>
      <c r="O197" t="s">
        <v>246</v>
      </c>
      <c r="P197" s="78">
        <v>45360</v>
      </c>
      <c r="Q197" t="str">
        <f t="shared" si="22"/>
        <v>Németh Adrián - Cs.S.E.</v>
      </c>
      <c r="R197" t="s">
        <v>636</v>
      </c>
      <c r="S197" t="s">
        <v>636</v>
      </c>
      <c r="T197" t="s">
        <v>645</v>
      </c>
    </row>
    <row r="198" spans="1:20" x14ac:dyDescent="0.3">
      <c r="A198" t="s">
        <v>244</v>
      </c>
      <c r="B198" s="50">
        <v>2</v>
      </c>
      <c r="C198">
        <v>83</v>
      </c>
      <c r="D198" t="str">
        <f t="shared" si="19"/>
        <v>Kumite</v>
      </c>
      <c r="E198" t="s">
        <v>274</v>
      </c>
      <c r="F198" s="83" t="s">
        <v>533</v>
      </c>
      <c r="G198" s="50" t="str">
        <f>"6"</f>
        <v>6</v>
      </c>
      <c r="H198" t="str">
        <f>"6 fős vegyes"</f>
        <v>6 fős vegyes</v>
      </c>
      <c r="I198" s="50" t="str">
        <f>"3"</f>
        <v>3</v>
      </c>
      <c r="J198" t="str">
        <f>"Szabó Levente"</f>
        <v>Szabó Levente</v>
      </c>
      <c r="K198" t="s">
        <v>323</v>
      </c>
      <c r="L198" t="str">
        <f t="shared" si="15"/>
        <v>HUN</v>
      </c>
      <c r="M198">
        <v>3</v>
      </c>
      <c r="O198" t="s">
        <v>246</v>
      </c>
      <c r="P198" s="78">
        <v>45360</v>
      </c>
      <c r="Q198" t="str">
        <f t="shared" si="22"/>
        <v>Szabó Levente - HARCOSOK KLUBJA</v>
      </c>
      <c r="R198" t="s">
        <v>636</v>
      </c>
      <c r="S198" t="s">
        <v>636</v>
      </c>
      <c r="T198" t="s">
        <v>645</v>
      </c>
    </row>
    <row r="199" spans="1:20" x14ac:dyDescent="0.3">
      <c r="A199" t="s">
        <v>244</v>
      </c>
      <c r="B199" s="50">
        <v>2</v>
      </c>
      <c r="C199">
        <v>84</v>
      </c>
      <c r="D199" t="str">
        <f>"Kata"</f>
        <v>Kata</v>
      </c>
      <c r="E199" t="s">
        <v>275</v>
      </c>
      <c r="F199" s="83" t="s">
        <v>537</v>
      </c>
      <c r="G199" s="50" t="str">
        <f>"10"</f>
        <v>10</v>
      </c>
      <c r="H199" t="str">
        <f>"16 fős egyenes kiesés"</f>
        <v>16 fős egyenes kiesés</v>
      </c>
      <c r="I199" s="50" t="str">
        <f>"1"</f>
        <v>1</v>
      </c>
      <c r="J199" t="str">
        <f>"Németh Adrián"</f>
        <v>Németh Adrián</v>
      </c>
      <c r="K199" t="s">
        <v>315</v>
      </c>
      <c r="L199" t="str">
        <f t="shared" si="15"/>
        <v>HUN</v>
      </c>
      <c r="M199">
        <v>6</v>
      </c>
      <c r="O199" t="s">
        <v>246</v>
      </c>
      <c r="P199" s="78">
        <v>45360</v>
      </c>
      <c r="Q199" t="str">
        <f t="shared" si="22"/>
        <v>Németh Adrián - Cs.S.E.</v>
      </c>
      <c r="R199" t="s">
        <v>636</v>
      </c>
      <c r="S199" t="s">
        <v>636</v>
      </c>
      <c r="T199" t="s">
        <v>645</v>
      </c>
    </row>
    <row r="200" spans="1:20" x14ac:dyDescent="0.3">
      <c r="A200" t="s">
        <v>244</v>
      </c>
      <c r="B200" s="50">
        <v>2</v>
      </c>
      <c r="C200">
        <v>85</v>
      </c>
      <c r="D200" t="str">
        <f>"Kata"</f>
        <v>Kata</v>
      </c>
      <c r="E200" t="s">
        <v>275</v>
      </c>
      <c r="F200" s="83" t="s">
        <v>537</v>
      </c>
      <c r="G200" s="50" t="str">
        <f>"10"</f>
        <v>10</v>
      </c>
      <c r="H200" t="str">
        <f>"16 fős egyenes kiesés"</f>
        <v>16 fős egyenes kiesés</v>
      </c>
      <c r="I200" s="50" t="str">
        <f>"2"</f>
        <v>2</v>
      </c>
      <c r="J200" t="str">
        <f>"Németh Kristóf"</f>
        <v>Németh Kristóf</v>
      </c>
      <c r="K200" t="s">
        <v>324</v>
      </c>
      <c r="L200" t="str">
        <f t="shared" si="15"/>
        <v>HUN</v>
      </c>
      <c r="M200">
        <v>5</v>
      </c>
      <c r="O200" t="s">
        <v>246</v>
      </c>
      <c r="P200" s="78">
        <v>45360</v>
      </c>
      <c r="Q200" t="str">
        <f t="shared" si="22"/>
        <v>Németh Kristóf - Kapuvári SE</v>
      </c>
      <c r="R200" t="s">
        <v>636</v>
      </c>
      <c r="S200" t="s">
        <v>636</v>
      </c>
      <c r="T200" t="s">
        <v>645</v>
      </c>
    </row>
    <row r="201" spans="1:20" x14ac:dyDescent="0.3">
      <c r="A201" t="s">
        <v>244</v>
      </c>
      <c r="B201" s="50">
        <v>2</v>
      </c>
      <c r="C201">
        <v>86</v>
      </c>
      <c r="D201" t="str">
        <f>"Kata"</f>
        <v>Kata</v>
      </c>
      <c r="E201" t="s">
        <v>275</v>
      </c>
      <c r="F201" s="83" t="s">
        <v>537</v>
      </c>
      <c r="G201" s="50" t="str">
        <f>"10"</f>
        <v>10</v>
      </c>
      <c r="H201" t="str">
        <f>"16 fős egyenes kiesés"</f>
        <v>16 fős egyenes kiesés</v>
      </c>
      <c r="I201" s="50" t="str">
        <f>"3"</f>
        <v>3</v>
      </c>
      <c r="J201" t="str">
        <f>"Sánta Dániel"</f>
        <v>Sánta Dániel</v>
      </c>
      <c r="K201" t="s">
        <v>47</v>
      </c>
      <c r="L201" t="str">
        <f t="shared" si="15"/>
        <v>HUN</v>
      </c>
      <c r="M201">
        <v>3</v>
      </c>
      <c r="O201" t="s">
        <v>246</v>
      </c>
      <c r="P201" s="78">
        <v>45360</v>
      </c>
      <c r="Q201" t="str">
        <f t="shared" si="22"/>
        <v>Sánta Dániel - BHMSE</v>
      </c>
      <c r="R201" t="s">
        <v>636</v>
      </c>
      <c r="S201" t="s">
        <v>636</v>
      </c>
      <c r="T201" t="s">
        <v>645</v>
      </c>
    </row>
    <row r="202" spans="1:20" x14ac:dyDescent="0.3">
      <c r="A202" t="s">
        <v>244</v>
      </c>
      <c r="B202" s="50">
        <v>2</v>
      </c>
      <c r="C202">
        <v>87</v>
      </c>
      <c r="D202" t="str">
        <f>"Kata"</f>
        <v>Kata</v>
      </c>
      <c r="E202" t="s">
        <v>275</v>
      </c>
      <c r="F202" s="83" t="s">
        <v>537</v>
      </c>
      <c r="G202" s="50" t="str">
        <f>"10"</f>
        <v>10</v>
      </c>
      <c r="H202" t="str">
        <f>"16 fős egyenes kiesés"</f>
        <v>16 fős egyenes kiesés</v>
      </c>
      <c r="I202" s="50" t="str">
        <f>"3"</f>
        <v>3</v>
      </c>
      <c r="J202" t="str">
        <f>"Szalontai Levente"</f>
        <v>Szalontai Levente</v>
      </c>
      <c r="K202" t="s">
        <v>150</v>
      </c>
      <c r="L202" t="str">
        <f t="shared" si="15"/>
        <v>HUN</v>
      </c>
      <c r="M202">
        <v>3</v>
      </c>
      <c r="O202" t="s">
        <v>246</v>
      </c>
      <c r="P202" s="78">
        <v>45360</v>
      </c>
      <c r="Q202" t="str">
        <f t="shared" si="22"/>
        <v>Szalontai Levente - KSE Tarján</v>
      </c>
      <c r="R202" t="s">
        <v>636</v>
      </c>
      <c r="S202" t="s">
        <v>636</v>
      </c>
      <c r="T202" t="s">
        <v>645</v>
      </c>
    </row>
    <row r="203" spans="1:20" x14ac:dyDescent="0.3">
      <c r="A203" t="s">
        <v>244</v>
      </c>
      <c r="B203" s="50">
        <v>2</v>
      </c>
      <c r="C203">
        <v>87</v>
      </c>
      <c r="D203" t="str">
        <f>"Kata"</f>
        <v>Kata</v>
      </c>
      <c r="E203" t="s">
        <v>275</v>
      </c>
      <c r="F203" s="83" t="s">
        <v>537</v>
      </c>
      <c r="G203" s="50" t="str">
        <f>"10"</f>
        <v>10</v>
      </c>
      <c r="H203" t="str">
        <f>"16 fős egyenes kiesés"</f>
        <v>16 fős egyenes kiesés</v>
      </c>
      <c r="I203" s="67" t="s">
        <v>302</v>
      </c>
      <c r="J203" t="s">
        <v>356</v>
      </c>
      <c r="K203" t="s">
        <v>315</v>
      </c>
      <c r="L203" t="str">
        <f t="shared" si="15"/>
        <v>HUN</v>
      </c>
      <c r="M203">
        <v>1</v>
      </c>
      <c r="N203" t="s">
        <v>304</v>
      </c>
      <c r="O203" t="s">
        <v>246</v>
      </c>
      <c r="P203" s="78">
        <v>45360</v>
      </c>
      <c r="Q203" t="str">
        <f t="shared" si="22"/>
        <v>Németh Adrián - Cs.S.E.</v>
      </c>
      <c r="R203" t="s">
        <v>636</v>
      </c>
      <c r="S203" t="s">
        <v>636</v>
      </c>
      <c r="T203" t="s">
        <v>645</v>
      </c>
    </row>
    <row r="204" spans="1:20" x14ac:dyDescent="0.3">
      <c r="A204" t="s">
        <v>244</v>
      </c>
      <c r="B204" s="50">
        <v>2</v>
      </c>
      <c r="C204">
        <v>88</v>
      </c>
      <c r="D204" t="str">
        <f t="shared" ref="D204:D216" si="23">"Kumite"</f>
        <v>Kumite</v>
      </c>
      <c r="E204" t="s">
        <v>276</v>
      </c>
      <c r="F204" s="83" t="s">
        <v>536</v>
      </c>
      <c r="G204" s="50" t="str">
        <f>"6"</f>
        <v>6</v>
      </c>
      <c r="H204" t="str">
        <f>"6 fős vegyes"</f>
        <v>6 fős vegyes</v>
      </c>
      <c r="I204" s="50" t="str">
        <f>"1"</f>
        <v>1</v>
      </c>
      <c r="J204" t="str">
        <f>"Aranyosi Nikolett"</f>
        <v>Aranyosi Nikolett</v>
      </c>
      <c r="K204" t="s">
        <v>333</v>
      </c>
      <c r="L204" t="str">
        <f t="shared" si="15"/>
        <v>HUN</v>
      </c>
      <c r="M204">
        <v>6</v>
      </c>
      <c r="O204" t="s">
        <v>246</v>
      </c>
      <c r="P204" s="78">
        <v>45360</v>
      </c>
      <c r="Q204" t="str">
        <f t="shared" si="22"/>
        <v xml:space="preserve">Aranyosi Nikolett - Renmei se </v>
      </c>
      <c r="R204" t="s">
        <v>636</v>
      </c>
      <c r="S204" t="s">
        <v>636</v>
      </c>
      <c r="T204" t="s">
        <v>645</v>
      </c>
    </row>
    <row r="205" spans="1:20" x14ac:dyDescent="0.3">
      <c r="A205" t="s">
        <v>244</v>
      </c>
      <c r="B205" s="50">
        <v>2</v>
      </c>
      <c r="C205">
        <v>89</v>
      </c>
      <c r="D205" t="str">
        <f t="shared" si="23"/>
        <v>Kumite</v>
      </c>
      <c r="E205" t="s">
        <v>276</v>
      </c>
      <c r="F205" s="83" t="s">
        <v>536</v>
      </c>
      <c r="G205" s="50" t="str">
        <f>"6"</f>
        <v>6</v>
      </c>
      <c r="H205" t="str">
        <f>"6 fős vegyes"</f>
        <v>6 fős vegyes</v>
      </c>
      <c r="I205" s="50" t="str">
        <f>"2"</f>
        <v>2</v>
      </c>
      <c r="J205" t="str">
        <f>"Bábel Jázmin"</f>
        <v>Bábel Jázmin</v>
      </c>
      <c r="K205" t="s">
        <v>11</v>
      </c>
      <c r="L205" t="str">
        <f t="shared" si="15"/>
        <v>HUN</v>
      </c>
      <c r="M205">
        <v>5</v>
      </c>
      <c r="O205" t="s">
        <v>246</v>
      </c>
      <c r="P205" s="78">
        <v>45360</v>
      </c>
      <c r="Q205" t="str">
        <f t="shared" si="22"/>
        <v>Bábel Jázmin - Spirit SE.</v>
      </c>
      <c r="R205" t="s">
        <v>636</v>
      </c>
      <c r="S205" t="s">
        <v>636</v>
      </c>
      <c r="T205" t="s">
        <v>645</v>
      </c>
    </row>
    <row r="206" spans="1:20" x14ac:dyDescent="0.3">
      <c r="A206" t="s">
        <v>244</v>
      </c>
      <c r="B206" s="50">
        <v>2</v>
      </c>
      <c r="C206">
        <v>90</v>
      </c>
      <c r="D206" t="str">
        <f t="shared" si="23"/>
        <v>Kumite</v>
      </c>
      <c r="E206" t="s">
        <v>276</v>
      </c>
      <c r="F206" s="83" t="s">
        <v>536</v>
      </c>
      <c r="G206" s="50" t="str">
        <f>"6"</f>
        <v>6</v>
      </c>
      <c r="H206" t="str">
        <f>"6 fős vegyes"</f>
        <v>6 fős vegyes</v>
      </c>
      <c r="I206" s="50" t="str">
        <f>"3"</f>
        <v>3</v>
      </c>
      <c r="J206" t="str">
        <f>"Timár Alíz"</f>
        <v>Timár Alíz</v>
      </c>
      <c r="K206" t="s">
        <v>47</v>
      </c>
      <c r="L206" t="str">
        <f t="shared" si="15"/>
        <v>HUN</v>
      </c>
      <c r="M206">
        <v>3</v>
      </c>
      <c r="O206" t="s">
        <v>246</v>
      </c>
      <c r="P206" s="78">
        <v>45360</v>
      </c>
      <c r="Q206" t="str">
        <f t="shared" si="22"/>
        <v>Timár Alíz - BHMSE</v>
      </c>
      <c r="R206" t="s">
        <v>636</v>
      </c>
      <c r="S206" t="s">
        <v>636</v>
      </c>
      <c r="T206" t="s">
        <v>645</v>
      </c>
    </row>
    <row r="207" spans="1:20" x14ac:dyDescent="0.3">
      <c r="A207" t="s">
        <v>244</v>
      </c>
      <c r="B207" s="50">
        <v>2</v>
      </c>
      <c r="C207">
        <v>91</v>
      </c>
      <c r="D207" t="str">
        <f t="shared" si="23"/>
        <v>Kumite</v>
      </c>
      <c r="E207" t="s">
        <v>277</v>
      </c>
      <c r="F207" s="83" t="s">
        <v>539</v>
      </c>
      <c r="G207" s="50" t="str">
        <f>"8"</f>
        <v>8</v>
      </c>
      <c r="H207" t="str">
        <f>"8 fős egyenes kiesés"</f>
        <v>8 fős egyenes kiesés</v>
      </c>
      <c r="I207" s="50" t="str">
        <f>"1"</f>
        <v>1</v>
      </c>
      <c r="J207" t="str">
        <f>"Mészáros Dorka"</f>
        <v>Mészáros Dorka</v>
      </c>
      <c r="K207" t="s">
        <v>98</v>
      </c>
      <c r="L207" t="str">
        <f t="shared" si="15"/>
        <v>HUN</v>
      </c>
      <c r="M207">
        <v>6</v>
      </c>
      <c r="O207" t="s">
        <v>246</v>
      </c>
      <c r="P207" s="78">
        <v>45360</v>
      </c>
      <c r="Q207" t="str">
        <f t="shared" si="22"/>
        <v xml:space="preserve">Mészáros Dorka - TADASHII </v>
      </c>
      <c r="R207" t="s">
        <v>637</v>
      </c>
      <c r="S207" t="s">
        <v>170</v>
      </c>
      <c r="T207" t="s">
        <v>645</v>
      </c>
    </row>
    <row r="208" spans="1:20" x14ac:dyDescent="0.3">
      <c r="A208" t="s">
        <v>244</v>
      </c>
      <c r="B208" s="50">
        <v>2</v>
      </c>
      <c r="C208">
        <v>92</v>
      </c>
      <c r="D208" t="str">
        <f t="shared" si="23"/>
        <v>Kumite</v>
      </c>
      <c r="E208" t="s">
        <v>277</v>
      </c>
      <c r="F208" s="83" t="s">
        <v>539</v>
      </c>
      <c r="G208" s="50" t="str">
        <f>"8"</f>
        <v>8</v>
      </c>
      <c r="H208" t="str">
        <f>"8 fős egyenes kiesés"</f>
        <v>8 fős egyenes kiesés</v>
      </c>
      <c r="I208" s="50" t="str">
        <f>"2"</f>
        <v>2</v>
      </c>
      <c r="J208" t="str">
        <f>"Zsin Zsófia"</f>
        <v>Zsin Zsófia</v>
      </c>
      <c r="K208" t="s">
        <v>47</v>
      </c>
      <c r="L208" t="str">
        <f t="shared" si="15"/>
        <v>HUN</v>
      </c>
      <c r="M208">
        <v>5</v>
      </c>
      <c r="O208" t="s">
        <v>246</v>
      </c>
      <c r="P208" s="78">
        <v>45360</v>
      </c>
      <c r="Q208" t="str">
        <f t="shared" si="22"/>
        <v>Zsin Zsófia - BHMSE</v>
      </c>
      <c r="R208" t="s">
        <v>636</v>
      </c>
      <c r="S208" t="s">
        <v>636</v>
      </c>
      <c r="T208" t="s">
        <v>645</v>
      </c>
    </row>
    <row r="209" spans="1:20" x14ac:dyDescent="0.3">
      <c r="A209" t="s">
        <v>244</v>
      </c>
      <c r="B209" s="50">
        <v>2</v>
      </c>
      <c r="C209">
        <v>93</v>
      </c>
      <c r="D209" t="str">
        <f t="shared" si="23"/>
        <v>Kumite</v>
      </c>
      <c r="E209" t="s">
        <v>277</v>
      </c>
      <c r="F209" s="83" t="s">
        <v>539</v>
      </c>
      <c r="G209" s="50" t="str">
        <f>"8"</f>
        <v>8</v>
      </c>
      <c r="H209" t="str">
        <f>"8 fős egyenes kiesés"</f>
        <v>8 fős egyenes kiesés</v>
      </c>
      <c r="I209" s="50" t="str">
        <f>"3"</f>
        <v>3</v>
      </c>
      <c r="J209" t="str">
        <f>"Serfőző Lia Zoé"</f>
        <v>Serfőző Lia Zoé</v>
      </c>
      <c r="K209" t="s">
        <v>314</v>
      </c>
      <c r="L209" t="str">
        <f t="shared" si="15"/>
        <v>HUN</v>
      </c>
      <c r="M209">
        <v>3</v>
      </c>
      <c r="O209" t="s">
        <v>246</v>
      </c>
      <c r="P209" s="78">
        <v>45360</v>
      </c>
      <c r="Q209" t="str">
        <f t="shared" si="22"/>
        <v>Serfőző Lia Zoé - Castrum</v>
      </c>
      <c r="R209" t="s">
        <v>636</v>
      </c>
      <c r="S209" t="s">
        <v>636</v>
      </c>
      <c r="T209" t="s">
        <v>645</v>
      </c>
    </row>
    <row r="210" spans="1:20" x14ac:dyDescent="0.3">
      <c r="A210" t="s">
        <v>244</v>
      </c>
      <c r="B210" s="50">
        <v>2</v>
      </c>
      <c r="C210">
        <v>94</v>
      </c>
      <c r="D210" t="str">
        <f t="shared" si="23"/>
        <v>Kumite</v>
      </c>
      <c r="E210" t="s">
        <v>277</v>
      </c>
      <c r="F210" s="83" t="s">
        <v>539</v>
      </c>
      <c r="G210" s="50" t="str">
        <f>"8"</f>
        <v>8</v>
      </c>
      <c r="H210" t="str">
        <f>"8 fős egyenes kiesés"</f>
        <v>8 fős egyenes kiesés</v>
      </c>
      <c r="I210" s="50" t="str">
        <f>"3"</f>
        <v>3</v>
      </c>
      <c r="J210" t="str">
        <f>"Bognár Boglárka"</f>
        <v>Bognár Boglárka</v>
      </c>
      <c r="K210" t="s">
        <v>67</v>
      </c>
      <c r="L210" t="str">
        <f t="shared" si="15"/>
        <v>HUN</v>
      </c>
      <c r="M210">
        <v>3</v>
      </c>
      <c r="O210" t="s">
        <v>246</v>
      </c>
      <c r="P210" s="78">
        <v>45360</v>
      </c>
      <c r="Q210" t="str">
        <f t="shared" si="22"/>
        <v>Bognár Boglárka - Rakurai</v>
      </c>
      <c r="R210" t="s">
        <v>636</v>
      </c>
      <c r="S210" t="s">
        <v>636</v>
      </c>
      <c r="T210" t="s">
        <v>645</v>
      </c>
    </row>
    <row r="211" spans="1:20" x14ac:dyDescent="0.3">
      <c r="A211" t="s">
        <v>244</v>
      </c>
      <c r="B211" s="50">
        <v>2</v>
      </c>
      <c r="C211">
        <v>95</v>
      </c>
      <c r="D211" t="str">
        <f t="shared" si="23"/>
        <v>Kumite</v>
      </c>
      <c r="E211" t="s">
        <v>278</v>
      </c>
      <c r="F211" s="83" t="s">
        <v>540</v>
      </c>
      <c r="G211" s="50" t="str">
        <f>"3"</f>
        <v>3</v>
      </c>
      <c r="H211" t="str">
        <f>"3 fős körmérkőzés"</f>
        <v>3 fős körmérkőzés</v>
      </c>
      <c r="I211" s="50" t="str">
        <f>"1"</f>
        <v>1</v>
      </c>
      <c r="J211" t="str">
        <f>"Fránki Dorina"</f>
        <v>Fránki Dorina</v>
      </c>
      <c r="K211" t="s">
        <v>98</v>
      </c>
      <c r="L211" t="str">
        <f t="shared" si="15"/>
        <v>HUN</v>
      </c>
      <c r="M211">
        <v>4</v>
      </c>
      <c r="O211" t="s">
        <v>246</v>
      </c>
      <c r="P211" s="78">
        <v>45360</v>
      </c>
      <c r="Q211" t="str">
        <f t="shared" si="22"/>
        <v xml:space="preserve">Fránki Dorina - TADASHII </v>
      </c>
      <c r="R211" t="s">
        <v>637</v>
      </c>
      <c r="S211" t="s">
        <v>170</v>
      </c>
      <c r="T211" t="s">
        <v>645</v>
      </c>
    </row>
    <row r="212" spans="1:20" x14ac:dyDescent="0.3">
      <c r="A212" t="s">
        <v>244</v>
      </c>
      <c r="B212" s="50">
        <v>2</v>
      </c>
      <c r="C212">
        <v>96</v>
      </c>
      <c r="D212" t="str">
        <f t="shared" si="23"/>
        <v>Kumite</v>
      </c>
      <c r="E212" t="s">
        <v>278</v>
      </c>
      <c r="F212" s="83" t="s">
        <v>540</v>
      </c>
      <c r="G212" s="50" t="str">
        <f>"3"</f>
        <v>3</v>
      </c>
      <c r="H212" t="str">
        <f>"3 fős körmérkőzés"</f>
        <v>3 fős körmérkőzés</v>
      </c>
      <c r="I212" s="50" t="str">
        <f>"2"</f>
        <v>2</v>
      </c>
      <c r="J212" t="str">
        <f>"Pintér Vivien"</f>
        <v>Pintér Vivien</v>
      </c>
      <c r="K212" t="s">
        <v>325</v>
      </c>
      <c r="L212" t="str">
        <f t="shared" si="15"/>
        <v>HUN</v>
      </c>
      <c r="M212">
        <v>3</v>
      </c>
      <c r="O212" t="s">
        <v>246</v>
      </c>
      <c r="P212" s="78">
        <v>45360</v>
      </c>
      <c r="Q212" t="str">
        <f t="shared" si="22"/>
        <v>Pintér Vivien - Katana SE</v>
      </c>
      <c r="R212" t="s">
        <v>636</v>
      </c>
      <c r="S212" t="s">
        <v>636</v>
      </c>
      <c r="T212" t="s">
        <v>645</v>
      </c>
    </row>
    <row r="213" spans="1:20" x14ac:dyDescent="0.3">
      <c r="A213" t="s">
        <v>244</v>
      </c>
      <c r="B213" s="50">
        <v>2</v>
      </c>
      <c r="C213">
        <v>97</v>
      </c>
      <c r="D213" t="str">
        <f t="shared" si="23"/>
        <v>Kumite</v>
      </c>
      <c r="E213" t="s">
        <v>278</v>
      </c>
      <c r="F213" s="83" t="s">
        <v>540</v>
      </c>
      <c r="G213" s="50" t="str">
        <f>"3"</f>
        <v>3</v>
      </c>
      <c r="H213" t="str">
        <f>"3 fős körmérkőzés"</f>
        <v>3 fős körmérkőzés</v>
      </c>
      <c r="I213" s="50" t="str">
        <f>"3"</f>
        <v>3</v>
      </c>
      <c r="J213" t="str">
        <f>"Bot Izabella"</f>
        <v>Bot Izabella</v>
      </c>
      <c r="K213" t="s">
        <v>309</v>
      </c>
      <c r="L213" t="str">
        <f t="shared" si="15"/>
        <v>HUN</v>
      </c>
      <c r="M213">
        <v>0</v>
      </c>
      <c r="N213" t="s">
        <v>158</v>
      </c>
      <c r="O213" t="s">
        <v>246</v>
      </c>
      <c r="P213" s="78">
        <v>45360</v>
      </c>
      <c r="Q213" t="str">
        <f t="shared" si="22"/>
        <v>Bot Izabella - POWER SE.</v>
      </c>
      <c r="R213" t="s">
        <v>636</v>
      </c>
      <c r="S213" t="s">
        <v>636</v>
      </c>
      <c r="T213" t="s">
        <v>645</v>
      </c>
    </row>
    <row r="214" spans="1:20" x14ac:dyDescent="0.3">
      <c r="A214" t="s">
        <v>244</v>
      </c>
      <c r="B214" s="50">
        <v>2</v>
      </c>
      <c r="C214">
        <v>98</v>
      </c>
      <c r="D214" t="str">
        <f t="shared" si="23"/>
        <v>Kumite</v>
      </c>
      <c r="E214" t="s">
        <v>279</v>
      </c>
      <c r="F214" s="83" t="s">
        <v>543</v>
      </c>
      <c r="G214" s="50" t="str">
        <f>"4"</f>
        <v>4</v>
      </c>
      <c r="H214" t="str">
        <f>"4 fős körmérkőzés"</f>
        <v>4 fős körmérkőzés</v>
      </c>
      <c r="I214" s="50" t="str">
        <f>"1"</f>
        <v>1</v>
      </c>
      <c r="J214" t="str">
        <f>"Fránki Réka"</f>
        <v>Fránki Réka</v>
      </c>
      <c r="K214" t="s">
        <v>98</v>
      </c>
      <c r="L214" t="str">
        <f t="shared" si="15"/>
        <v>HUN</v>
      </c>
      <c r="M214">
        <v>6</v>
      </c>
      <c r="O214" t="s">
        <v>246</v>
      </c>
      <c r="P214" s="78">
        <v>45360</v>
      </c>
      <c r="Q214" t="str">
        <f t="shared" si="22"/>
        <v xml:space="preserve">Fránki Réka - TADASHII </v>
      </c>
      <c r="R214" t="s">
        <v>637</v>
      </c>
      <c r="S214" t="s">
        <v>170</v>
      </c>
      <c r="T214" t="s">
        <v>645</v>
      </c>
    </row>
    <row r="215" spans="1:20" x14ac:dyDescent="0.3">
      <c r="A215" t="s">
        <v>244</v>
      </c>
      <c r="B215" s="50">
        <v>2</v>
      </c>
      <c r="C215">
        <v>99</v>
      </c>
      <c r="D215" t="str">
        <f t="shared" si="23"/>
        <v>Kumite</v>
      </c>
      <c r="E215" t="s">
        <v>279</v>
      </c>
      <c r="F215" s="83" t="s">
        <v>543</v>
      </c>
      <c r="G215" s="50" t="str">
        <f>"4"</f>
        <v>4</v>
      </c>
      <c r="H215" t="str">
        <f>"4 fős körmérkőzés"</f>
        <v>4 fős körmérkőzés</v>
      </c>
      <c r="I215" s="50" t="str">
        <f>"2"</f>
        <v>2</v>
      </c>
      <c r="J215" t="str">
        <f>"Csonka Kata"</f>
        <v>Csonka Kata</v>
      </c>
      <c r="K215" t="s">
        <v>37</v>
      </c>
      <c r="L215" t="str">
        <f t="shared" si="15"/>
        <v>HUN</v>
      </c>
      <c r="M215">
        <v>5</v>
      </c>
      <c r="O215" t="s">
        <v>246</v>
      </c>
      <c r="P215" s="78">
        <v>45360</v>
      </c>
      <c r="Q215" t="str">
        <f t="shared" si="22"/>
        <v>Csonka Kata - Kamikaze S</v>
      </c>
      <c r="R215" t="s">
        <v>636</v>
      </c>
      <c r="S215" t="s">
        <v>636</v>
      </c>
      <c r="T215" t="s">
        <v>645</v>
      </c>
    </row>
    <row r="216" spans="1:20" x14ac:dyDescent="0.3">
      <c r="A216" t="s">
        <v>244</v>
      </c>
      <c r="B216" s="50">
        <v>2</v>
      </c>
      <c r="C216">
        <v>100</v>
      </c>
      <c r="D216" t="str">
        <f t="shared" si="23"/>
        <v>Kumite</v>
      </c>
      <c r="E216" t="s">
        <v>279</v>
      </c>
      <c r="F216" s="83" t="s">
        <v>543</v>
      </c>
      <c r="G216" s="50" t="str">
        <f>"4"</f>
        <v>4</v>
      </c>
      <c r="H216" t="str">
        <f>"4 fős körmérkőzés"</f>
        <v>4 fős körmérkőzés</v>
      </c>
      <c r="I216" s="50" t="str">
        <f>"3"</f>
        <v>3</v>
      </c>
      <c r="J216" t="str">
        <f>"Soós Flóra"</f>
        <v>Soós Flóra</v>
      </c>
      <c r="K216" t="s">
        <v>167</v>
      </c>
      <c r="L216" t="str">
        <f t="shared" si="15"/>
        <v>HUN</v>
      </c>
      <c r="M216">
        <v>3</v>
      </c>
      <c r="O216" t="s">
        <v>246</v>
      </c>
      <c r="P216" s="78">
        <v>45360</v>
      </c>
      <c r="Q216" t="str">
        <f t="shared" si="22"/>
        <v>Soós Flóra - Nagykátai Bushido SE</v>
      </c>
      <c r="R216" t="s">
        <v>636</v>
      </c>
      <c r="S216" t="s">
        <v>636</v>
      </c>
      <c r="T216" t="s">
        <v>645</v>
      </c>
    </row>
    <row r="217" spans="1:20" x14ac:dyDescent="0.3">
      <c r="A217" t="s">
        <v>244</v>
      </c>
      <c r="B217" s="50">
        <v>2</v>
      </c>
      <c r="C217">
        <v>101</v>
      </c>
      <c r="D217" t="str">
        <f>"Kata"</f>
        <v>Kata</v>
      </c>
      <c r="E217" t="s">
        <v>268</v>
      </c>
      <c r="F217" s="83" t="s">
        <v>538</v>
      </c>
      <c r="G217" s="50" t="str">
        <f>"6"</f>
        <v>6</v>
      </c>
      <c r="H217" t="str">
        <f>"6 fős vegyes"</f>
        <v>6 fős vegyes</v>
      </c>
      <c r="I217" s="50" t="str">
        <f>"1"</f>
        <v>1</v>
      </c>
      <c r="J217" t="str">
        <f>"Aranyosi Nikolett"</f>
        <v>Aranyosi Nikolett</v>
      </c>
      <c r="K217" t="s">
        <v>333</v>
      </c>
      <c r="L217" t="str">
        <f t="shared" si="15"/>
        <v>HUN</v>
      </c>
      <c r="M217">
        <v>5</v>
      </c>
      <c r="O217" t="s">
        <v>246</v>
      </c>
      <c r="P217" s="78">
        <v>45360</v>
      </c>
      <c r="Q217" t="str">
        <f t="shared" si="22"/>
        <v xml:space="preserve">Aranyosi Nikolett - Renmei se </v>
      </c>
      <c r="R217" t="s">
        <v>636</v>
      </c>
      <c r="S217" t="s">
        <v>636</v>
      </c>
      <c r="T217" t="s">
        <v>645</v>
      </c>
    </row>
    <row r="218" spans="1:20" x14ac:dyDescent="0.3">
      <c r="A218" t="s">
        <v>244</v>
      </c>
      <c r="B218" s="50">
        <v>2</v>
      </c>
      <c r="C218">
        <v>102</v>
      </c>
      <c r="D218" t="str">
        <f>"Kata"</f>
        <v>Kata</v>
      </c>
      <c r="E218" t="s">
        <v>268</v>
      </c>
      <c r="F218" s="83" t="s">
        <v>538</v>
      </c>
      <c r="G218" s="50" t="str">
        <f>"6"</f>
        <v>6</v>
      </c>
      <c r="H218" t="str">
        <f>"6 fős vegyes"</f>
        <v>6 fős vegyes</v>
      </c>
      <c r="I218" s="50" t="str">
        <f>"2"</f>
        <v>2</v>
      </c>
      <c r="J218" t="str">
        <f>"Riegler Rebeka Gréta"</f>
        <v>Riegler Rebeka Gréta</v>
      </c>
      <c r="K218" t="s">
        <v>65</v>
      </c>
      <c r="L218" t="str">
        <f t="shared" si="15"/>
        <v>HUN</v>
      </c>
      <c r="M218">
        <v>4</v>
      </c>
      <c r="O218" t="s">
        <v>246</v>
      </c>
      <c r="P218" s="78">
        <v>45360</v>
      </c>
      <c r="Q218" t="str">
        <f t="shared" si="22"/>
        <v>Riegler Rebeka Gréta - Főnix Dojo</v>
      </c>
      <c r="R218" t="s">
        <v>636</v>
      </c>
      <c r="S218" t="s">
        <v>636</v>
      </c>
      <c r="T218" t="s">
        <v>645</v>
      </c>
    </row>
    <row r="219" spans="1:20" x14ac:dyDescent="0.3">
      <c r="A219" t="s">
        <v>244</v>
      </c>
      <c r="B219" s="50">
        <v>2</v>
      </c>
      <c r="C219">
        <v>103</v>
      </c>
      <c r="D219" t="str">
        <f>"Kata"</f>
        <v>Kata</v>
      </c>
      <c r="E219" t="s">
        <v>268</v>
      </c>
      <c r="F219" s="83" t="s">
        <v>538</v>
      </c>
      <c r="G219" s="50" t="str">
        <f>"6"</f>
        <v>6</v>
      </c>
      <c r="H219" t="str">
        <f>"6 fős vegyes"</f>
        <v>6 fős vegyes</v>
      </c>
      <c r="I219" s="50" t="str">
        <f>"3"</f>
        <v>3</v>
      </c>
      <c r="J219" t="str">
        <f>"Sülyi Luca"</f>
        <v>Sülyi Luca</v>
      </c>
      <c r="K219" t="s">
        <v>65</v>
      </c>
      <c r="L219" t="str">
        <f t="shared" si="15"/>
        <v>HUN</v>
      </c>
      <c r="M219">
        <v>2</v>
      </c>
      <c r="O219" t="s">
        <v>246</v>
      </c>
      <c r="P219" s="78">
        <v>45360</v>
      </c>
      <c r="Q219" t="str">
        <f t="shared" si="22"/>
        <v>Sülyi Luca - Főnix Dojo</v>
      </c>
      <c r="R219" t="s">
        <v>636</v>
      </c>
      <c r="S219" t="s">
        <v>636</v>
      </c>
      <c r="T219" t="s">
        <v>645</v>
      </c>
    </row>
    <row r="220" spans="1:20" x14ac:dyDescent="0.3">
      <c r="A220" t="s">
        <v>244</v>
      </c>
      <c r="B220" s="50">
        <v>2</v>
      </c>
      <c r="C220">
        <v>104</v>
      </c>
      <c r="D220" t="str">
        <f t="shared" ref="D220:D235" si="24">"Kumite"</f>
        <v>Kumite</v>
      </c>
      <c r="E220" t="s">
        <v>280</v>
      </c>
      <c r="F220" s="83" t="s">
        <v>541</v>
      </c>
      <c r="G220" s="50" t="str">
        <f t="shared" ref="G220:G225" si="25">"3"</f>
        <v>3</v>
      </c>
      <c r="H220" t="str">
        <f t="shared" ref="H220:H225" si="26">"3 fős körmérkőzés"</f>
        <v>3 fős körmérkőzés</v>
      </c>
      <c r="I220" s="50" t="str">
        <f>"1"</f>
        <v>1</v>
      </c>
      <c r="J220" t="str">
        <f>"Geiszt Márton"</f>
        <v>Geiszt Márton</v>
      </c>
      <c r="K220" t="s">
        <v>65</v>
      </c>
      <c r="L220" t="str">
        <f t="shared" si="15"/>
        <v>HUN</v>
      </c>
      <c r="M220">
        <v>4</v>
      </c>
      <c r="O220" t="s">
        <v>246</v>
      </c>
      <c r="P220" s="78">
        <v>45360</v>
      </c>
      <c r="Q220" t="str">
        <f t="shared" si="22"/>
        <v>Geiszt Márton - Főnix Dojo</v>
      </c>
      <c r="R220" t="s">
        <v>636</v>
      </c>
      <c r="S220" t="s">
        <v>636</v>
      </c>
      <c r="T220" t="s">
        <v>645</v>
      </c>
    </row>
    <row r="221" spans="1:20" x14ac:dyDescent="0.3">
      <c r="A221" t="s">
        <v>244</v>
      </c>
      <c r="B221" s="50">
        <v>2</v>
      </c>
      <c r="C221">
        <v>105</v>
      </c>
      <c r="D221" t="str">
        <f t="shared" si="24"/>
        <v>Kumite</v>
      </c>
      <c r="E221" t="s">
        <v>280</v>
      </c>
      <c r="F221" s="83" t="s">
        <v>541</v>
      </c>
      <c r="G221" s="50" t="str">
        <f t="shared" si="25"/>
        <v>3</v>
      </c>
      <c r="H221" t="str">
        <f t="shared" si="26"/>
        <v>3 fős körmérkőzés</v>
      </c>
      <c r="I221" s="50" t="str">
        <f>"2"</f>
        <v>2</v>
      </c>
      <c r="J221" t="str">
        <f>"Botár Zalán"</f>
        <v>Botár Zalán</v>
      </c>
      <c r="K221" t="s">
        <v>321</v>
      </c>
      <c r="L221" t="str">
        <f t="shared" si="15"/>
        <v>HUN</v>
      </c>
      <c r="M221">
        <v>3</v>
      </c>
      <c r="O221" t="s">
        <v>246</v>
      </c>
      <c r="P221" s="78">
        <v>45360</v>
      </c>
      <c r="Q221" t="str">
        <f t="shared" si="22"/>
        <v>Botár Zalán - Fitt SE</v>
      </c>
      <c r="R221" t="s">
        <v>636</v>
      </c>
      <c r="S221" t="s">
        <v>636</v>
      </c>
      <c r="T221" t="s">
        <v>645</v>
      </c>
    </row>
    <row r="222" spans="1:20" x14ac:dyDescent="0.3">
      <c r="A222" t="s">
        <v>244</v>
      </c>
      <c r="B222" s="50">
        <v>2</v>
      </c>
      <c r="C222">
        <v>106</v>
      </c>
      <c r="D222" t="str">
        <f t="shared" si="24"/>
        <v>Kumite</v>
      </c>
      <c r="E222" t="s">
        <v>280</v>
      </c>
      <c r="F222" s="83" t="s">
        <v>541</v>
      </c>
      <c r="G222" s="50" t="str">
        <f t="shared" si="25"/>
        <v>3</v>
      </c>
      <c r="H222" t="str">
        <f t="shared" si="26"/>
        <v>3 fős körmérkőzés</v>
      </c>
      <c r="I222" s="50" t="str">
        <f>"3"</f>
        <v>3</v>
      </c>
      <c r="J222" t="str">
        <f>"Sörös Dániel"</f>
        <v>Sörös Dániel</v>
      </c>
      <c r="K222" t="s">
        <v>150</v>
      </c>
      <c r="L222" t="str">
        <f t="shared" si="15"/>
        <v>HUN</v>
      </c>
      <c r="M222">
        <v>0</v>
      </c>
      <c r="N222" t="s">
        <v>158</v>
      </c>
      <c r="O222" t="s">
        <v>246</v>
      </c>
      <c r="P222" s="78">
        <v>45360</v>
      </c>
      <c r="Q222" t="str">
        <f t="shared" si="22"/>
        <v>Sörös Dániel - KSE Tarján</v>
      </c>
      <c r="R222" t="s">
        <v>636</v>
      </c>
      <c r="S222" t="s">
        <v>636</v>
      </c>
      <c r="T222" t="s">
        <v>645</v>
      </c>
    </row>
    <row r="223" spans="1:20" x14ac:dyDescent="0.3">
      <c r="A223" t="s">
        <v>244</v>
      </c>
      <c r="B223" s="50">
        <v>2</v>
      </c>
      <c r="C223">
        <v>107</v>
      </c>
      <c r="D223" t="str">
        <f t="shared" si="24"/>
        <v>Kumite</v>
      </c>
      <c r="E223" t="s">
        <v>281</v>
      </c>
      <c r="F223" s="83" t="s">
        <v>542</v>
      </c>
      <c r="G223" s="50" t="str">
        <f t="shared" si="25"/>
        <v>3</v>
      </c>
      <c r="H223" t="str">
        <f t="shared" si="26"/>
        <v>3 fős körmérkőzés</v>
      </c>
      <c r="I223" s="50" t="str">
        <f>"1"</f>
        <v>1</v>
      </c>
      <c r="J223" t="str">
        <f>"Bene László"</f>
        <v>Bene László</v>
      </c>
      <c r="K223" t="s">
        <v>11</v>
      </c>
      <c r="L223" t="str">
        <f t="shared" si="15"/>
        <v>HUN</v>
      </c>
      <c r="M223">
        <v>4</v>
      </c>
      <c r="O223" t="s">
        <v>246</v>
      </c>
      <c r="P223" s="78">
        <v>45360</v>
      </c>
      <c r="Q223" t="str">
        <f t="shared" si="22"/>
        <v>Bene László - Spirit SE.</v>
      </c>
      <c r="R223" t="s">
        <v>636</v>
      </c>
      <c r="S223" t="s">
        <v>636</v>
      </c>
      <c r="T223" t="s">
        <v>645</v>
      </c>
    </row>
    <row r="224" spans="1:20" x14ac:dyDescent="0.3">
      <c r="A224" t="s">
        <v>244</v>
      </c>
      <c r="B224" s="50">
        <v>2</v>
      </c>
      <c r="C224">
        <v>108</v>
      </c>
      <c r="D224" t="str">
        <f t="shared" si="24"/>
        <v>Kumite</v>
      </c>
      <c r="E224" t="s">
        <v>281</v>
      </c>
      <c r="F224" s="83" t="s">
        <v>542</v>
      </c>
      <c r="G224" s="50" t="str">
        <f t="shared" si="25"/>
        <v>3</v>
      </c>
      <c r="H224" t="str">
        <f t="shared" si="26"/>
        <v>3 fős körmérkőzés</v>
      </c>
      <c r="I224" s="50" t="str">
        <f>"2"</f>
        <v>2</v>
      </c>
      <c r="J224" t="str">
        <f>"Keller Dániel"</f>
        <v>Keller Dániel</v>
      </c>
      <c r="K224" t="s">
        <v>313</v>
      </c>
      <c r="L224" t="str">
        <f t="shared" si="15"/>
        <v>HUN</v>
      </c>
      <c r="M224">
        <v>3</v>
      </c>
      <c r="O224" t="s">
        <v>246</v>
      </c>
      <c r="P224" s="78">
        <v>45360</v>
      </c>
      <c r="Q224" t="str">
        <f t="shared" si="22"/>
        <v>Keller Dániel - Bushido Kaposvár</v>
      </c>
      <c r="R224" t="s">
        <v>636</v>
      </c>
      <c r="S224" t="s">
        <v>636</v>
      </c>
      <c r="T224" t="s">
        <v>645</v>
      </c>
    </row>
    <row r="225" spans="1:20" x14ac:dyDescent="0.3">
      <c r="A225" t="s">
        <v>244</v>
      </c>
      <c r="B225" s="50">
        <v>2</v>
      </c>
      <c r="C225">
        <v>109</v>
      </c>
      <c r="D225" t="str">
        <f t="shared" si="24"/>
        <v>Kumite</v>
      </c>
      <c r="E225" t="s">
        <v>281</v>
      </c>
      <c r="F225" s="83" t="s">
        <v>542</v>
      </c>
      <c r="G225" s="50" t="str">
        <f t="shared" si="25"/>
        <v>3</v>
      </c>
      <c r="H225" t="str">
        <f t="shared" si="26"/>
        <v>3 fős körmérkőzés</v>
      </c>
      <c r="I225" s="50" t="str">
        <f>"3"</f>
        <v>3</v>
      </c>
      <c r="J225" t="str">
        <f>"Tóth Gábor"</f>
        <v>Tóth Gábor</v>
      </c>
      <c r="K225" t="s">
        <v>321</v>
      </c>
      <c r="L225" t="str">
        <f t="shared" ref="L225:L288" si="27">"HUN"</f>
        <v>HUN</v>
      </c>
      <c r="M225">
        <v>0</v>
      </c>
      <c r="N225" t="s">
        <v>158</v>
      </c>
      <c r="O225" t="s">
        <v>246</v>
      </c>
      <c r="P225" s="78">
        <v>45360</v>
      </c>
      <c r="Q225" t="str">
        <f t="shared" si="22"/>
        <v>Tóth Gábor - Fitt SE</v>
      </c>
      <c r="R225" t="s">
        <v>636</v>
      </c>
      <c r="S225" t="s">
        <v>636</v>
      </c>
      <c r="T225" t="s">
        <v>645</v>
      </c>
    </row>
    <row r="226" spans="1:20" x14ac:dyDescent="0.3">
      <c r="A226" t="s">
        <v>244</v>
      </c>
      <c r="B226" s="50">
        <v>2</v>
      </c>
      <c r="C226">
        <v>110</v>
      </c>
      <c r="D226" t="str">
        <f t="shared" si="24"/>
        <v>Kumite</v>
      </c>
      <c r="E226" t="s">
        <v>282</v>
      </c>
      <c r="F226" s="83" t="s">
        <v>544</v>
      </c>
      <c r="G226" s="50" t="str">
        <f>"6"</f>
        <v>6</v>
      </c>
      <c r="H226" t="str">
        <f>"6 fős vegyes"</f>
        <v>6 fős vegyes</v>
      </c>
      <c r="I226" s="50" t="str">
        <f>"1"</f>
        <v>1</v>
      </c>
      <c r="J226" t="str">
        <f>"ifj. Horváth Tamás"</f>
        <v>ifj. Horváth Tamás</v>
      </c>
      <c r="K226" t="s">
        <v>323</v>
      </c>
      <c r="L226" t="str">
        <f t="shared" si="27"/>
        <v>HUN</v>
      </c>
      <c r="M226">
        <v>6</v>
      </c>
      <c r="O226" t="s">
        <v>246</v>
      </c>
      <c r="P226" s="78">
        <v>45360</v>
      </c>
      <c r="Q226" t="str">
        <f t="shared" si="22"/>
        <v>ifj. Horváth Tamás - HARCOSOK KLUBJA</v>
      </c>
      <c r="R226" t="s">
        <v>636</v>
      </c>
      <c r="S226" t="s">
        <v>636</v>
      </c>
      <c r="T226" t="s">
        <v>645</v>
      </c>
    </row>
    <row r="227" spans="1:20" x14ac:dyDescent="0.3">
      <c r="A227" t="s">
        <v>244</v>
      </c>
      <c r="B227" s="50">
        <v>2</v>
      </c>
      <c r="C227">
        <v>111</v>
      </c>
      <c r="D227" t="str">
        <f t="shared" si="24"/>
        <v>Kumite</v>
      </c>
      <c r="E227" t="s">
        <v>282</v>
      </c>
      <c r="F227" s="83" t="s">
        <v>544</v>
      </c>
      <c r="G227" s="50" t="str">
        <f>"6"</f>
        <v>6</v>
      </c>
      <c r="H227" t="str">
        <f>"6 fős vegyes"</f>
        <v>6 fős vegyes</v>
      </c>
      <c r="I227" s="50" t="str">
        <f>"2"</f>
        <v>2</v>
      </c>
      <c r="J227" t="str">
        <f>"Fazakas Áprád"</f>
        <v>Fazakas Áprád</v>
      </c>
      <c r="K227" t="s">
        <v>323</v>
      </c>
      <c r="L227" t="str">
        <f t="shared" si="27"/>
        <v>HUN</v>
      </c>
      <c r="M227">
        <v>5</v>
      </c>
      <c r="O227" t="s">
        <v>246</v>
      </c>
      <c r="P227" s="78">
        <v>45360</v>
      </c>
      <c r="Q227" t="str">
        <f t="shared" si="22"/>
        <v>Fazakas Áprád - HARCOSOK KLUBJA</v>
      </c>
      <c r="R227" t="s">
        <v>636</v>
      </c>
      <c r="S227" t="s">
        <v>636</v>
      </c>
      <c r="T227" t="s">
        <v>645</v>
      </c>
    </row>
    <row r="228" spans="1:20" x14ac:dyDescent="0.3">
      <c r="A228" t="s">
        <v>244</v>
      </c>
      <c r="B228" s="50">
        <v>2</v>
      </c>
      <c r="C228">
        <v>112</v>
      </c>
      <c r="D228" t="str">
        <f t="shared" si="24"/>
        <v>Kumite</v>
      </c>
      <c r="E228" t="s">
        <v>282</v>
      </c>
      <c r="F228" s="83" t="s">
        <v>544</v>
      </c>
      <c r="G228" s="50" t="str">
        <f>"6"</f>
        <v>6</v>
      </c>
      <c r="H228" t="str">
        <f>"6 fős vegyes"</f>
        <v>6 fős vegyes</v>
      </c>
      <c r="I228" s="50" t="str">
        <f>"3"</f>
        <v>3</v>
      </c>
      <c r="J228" t="str">
        <f>"Antal Ákos"</f>
        <v>Antal Ákos</v>
      </c>
      <c r="K228" t="s">
        <v>11</v>
      </c>
      <c r="L228" t="str">
        <f t="shared" si="27"/>
        <v>HUN</v>
      </c>
      <c r="M228">
        <v>3</v>
      </c>
      <c r="O228" t="s">
        <v>246</v>
      </c>
      <c r="P228" s="78">
        <v>45360</v>
      </c>
      <c r="Q228" t="str">
        <f t="shared" si="22"/>
        <v>Antal Ákos - Spirit SE.</v>
      </c>
      <c r="R228" t="s">
        <v>636</v>
      </c>
      <c r="S228" t="s">
        <v>636</v>
      </c>
      <c r="T228" t="s">
        <v>645</v>
      </c>
    </row>
    <row r="229" spans="1:20" x14ac:dyDescent="0.3">
      <c r="A229" t="s">
        <v>244</v>
      </c>
      <c r="B229" s="50">
        <v>2</v>
      </c>
      <c r="C229">
        <v>113</v>
      </c>
      <c r="D229" t="str">
        <f t="shared" si="24"/>
        <v>Kumite</v>
      </c>
      <c r="E229" t="s">
        <v>283</v>
      </c>
      <c r="F229" s="83" t="s">
        <v>545</v>
      </c>
      <c r="G229" s="50" t="str">
        <f>"3"</f>
        <v>3</v>
      </c>
      <c r="H229" t="str">
        <f>"3 fős körmérkőzés"</f>
        <v>3 fős körmérkőzés</v>
      </c>
      <c r="I229" s="50" t="str">
        <f>"1"</f>
        <v>1</v>
      </c>
      <c r="J229" t="str">
        <f>"Semsey Marcell"</f>
        <v>Semsey Marcell</v>
      </c>
      <c r="K229" t="s">
        <v>47</v>
      </c>
      <c r="L229" t="str">
        <f t="shared" si="27"/>
        <v>HUN</v>
      </c>
      <c r="M229">
        <v>4</v>
      </c>
      <c r="O229" t="s">
        <v>246</v>
      </c>
      <c r="P229" s="78">
        <v>45360</v>
      </c>
      <c r="Q229" t="str">
        <f t="shared" si="22"/>
        <v>Semsey Marcell - BHMSE</v>
      </c>
      <c r="R229" t="s">
        <v>636</v>
      </c>
      <c r="S229" t="s">
        <v>636</v>
      </c>
      <c r="T229" t="s">
        <v>645</v>
      </c>
    </row>
    <row r="230" spans="1:20" x14ac:dyDescent="0.3">
      <c r="A230" t="s">
        <v>244</v>
      </c>
      <c r="B230" s="50">
        <v>2</v>
      </c>
      <c r="C230">
        <v>114</v>
      </c>
      <c r="D230" t="str">
        <f t="shared" si="24"/>
        <v>Kumite</v>
      </c>
      <c r="E230" t="s">
        <v>283</v>
      </c>
      <c r="F230" s="83" t="s">
        <v>545</v>
      </c>
      <c r="G230" s="50" t="str">
        <f>"3"</f>
        <v>3</v>
      </c>
      <c r="H230" t="str">
        <f>"3 fős körmérkőzés"</f>
        <v>3 fős körmérkőzés</v>
      </c>
      <c r="I230" s="50" t="str">
        <f>"2"</f>
        <v>2</v>
      </c>
      <c r="J230" t="str">
        <f>"Gál Márk"</f>
        <v>Gál Márk</v>
      </c>
      <c r="K230" t="s">
        <v>47</v>
      </c>
      <c r="L230" t="str">
        <f t="shared" si="27"/>
        <v>HUN</v>
      </c>
      <c r="M230">
        <v>3</v>
      </c>
      <c r="O230" t="s">
        <v>246</v>
      </c>
      <c r="P230" s="78">
        <v>45360</v>
      </c>
      <c r="Q230" t="str">
        <f t="shared" si="22"/>
        <v>Gál Márk - BHMSE</v>
      </c>
      <c r="R230" t="s">
        <v>636</v>
      </c>
      <c r="S230" t="s">
        <v>636</v>
      </c>
      <c r="T230" t="s">
        <v>645</v>
      </c>
    </row>
    <row r="231" spans="1:20" x14ac:dyDescent="0.3">
      <c r="A231" t="s">
        <v>244</v>
      </c>
      <c r="B231" s="50">
        <v>2</v>
      </c>
      <c r="C231">
        <v>115</v>
      </c>
      <c r="D231" t="str">
        <f t="shared" si="24"/>
        <v>Kumite</v>
      </c>
      <c r="E231" t="s">
        <v>283</v>
      </c>
      <c r="F231" s="83" t="s">
        <v>545</v>
      </c>
      <c r="G231" s="50" t="str">
        <f>"3"</f>
        <v>3</v>
      </c>
      <c r="H231" t="str">
        <f>"3 fős körmérkőzés"</f>
        <v>3 fős körmérkőzés</v>
      </c>
      <c r="I231" s="50" t="str">
        <f>"3"</f>
        <v>3</v>
      </c>
      <c r="J231" t="str">
        <f>"Benedek Tamás"</f>
        <v>Benedek Tamás</v>
      </c>
      <c r="K231" t="s">
        <v>79</v>
      </c>
      <c r="L231" t="str">
        <f t="shared" si="27"/>
        <v>HUN</v>
      </c>
      <c r="M231">
        <v>0</v>
      </c>
      <c r="N231" t="s">
        <v>158</v>
      </c>
      <c r="O231" t="s">
        <v>246</v>
      </c>
      <c r="P231" s="78">
        <v>45360</v>
      </c>
      <c r="Q231" t="str">
        <f t="shared" si="22"/>
        <v>Benedek Tamás - Ippon KKSE</v>
      </c>
      <c r="R231" t="s">
        <v>636</v>
      </c>
      <c r="S231" t="s">
        <v>636</v>
      </c>
      <c r="T231" t="s">
        <v>645</v>
      </c>
    </row>
    <row r="232" spans="1:20" x14ac:dyDescent="0.3">
      <c r="A232" t="s">
        <v>244</v>
      </c>
      <c r="B232" s="50">
        <v>2</v>
      </c>
      <c r="C232">
        <v>116</v>
      </c>
      <c r="D232" t="str">
        <f t="shared" si="24"/>
        <v>Kumite</v>
      </c>
      <c r="E232" t="s">
        <v>284</v>
      </c>
      <c r="F232" s="83" t="s">
        <v>547</v>
      </c>
      <c r="G232" s="50" t="str">
        <f>"5"</f>
        <v>5</v>
      </c>
      <c r="H232" t="str">
        <f>"5 fős körmérkőzés"</f>
        <v>5 fős körmérkőzés</v>
      </c>
      <c r="I232" s="50" t="str">
        <f>"1"</f>
        <v>1</v>
      </c>
      <c r="J232" t="str">
        <f>"Molnár Benő"</f>
        <v>Molnár Benő</v>
      </c>
      <c r="K232" t="s">
        <v>117</v>
      </c>
      <c r="L232" t="str">
        <f t="shared" si="27"/>
        <v>HUN</v>
      </c>
      <c r="M232">
        <v>8</v>
      </c>
      <c r="O232" t="s">
        <v>246</v>
      </c>
      <c r="P232" s="78">
        <v>45360</v>
      </c>
      <c r="Q232" t="str">
        <f t="shared" si="22"/>
        <v>Molnár Benő - Griff SE</v>
      </c>
      <c r="R232" t="s">
        <v>636</v>
      </c>
      <c r="S232" t="s">
        <v>636</v>
      </c>
      <c r="T232" t="s">
        <v>645</v>
      </c>
    </row>
    <row r="233" spans="1:20" x14ac:dyDescent="0.3">
      <c r="A233" t="s">
        <v>244</v>
      </c>
      <c r="B233" s="50">
        <v>2</v>
      </c>
      <c r="C233">
        <v>117</v>
      </c>
      <c r="D233" t="str">
        <f t="shared" si="24"/>
        <v>Kumite</v>
      </c>
      <c r="E233" t="s">
        <v>284</v>
      </c>
      <c r="F233" s="83" t="s">
        <v>547</v>
      </c>
      <c r="G233" s="50" t="str">
        <f>"5"</f>
        <v>5</v>
      </c>
      <c r="H233" t="str">
        <f>"5 fős körmérkőzés"</f>
        <v>5 fős körmérkőzés</v>
      </c>
      <c r="I233" s="50" t="str">
        <f>"2"</f>
        <v>2</v>
      </c>
      <c r="J233" t="str">
        <f>"Bede Szabolcs"</f>
        <v>Bede Szabolcs</v>
      </c>
      <c r="K233" t="s">
        <v>79</v>
      </c>
      <c r="L233" t="str">
        <f t="shared" si="27"/>
        <v>HUN</v>
      </c>
      <c r="M233">
        <v>6</v>
      </c>
      <c r="O233" t="s">
        <v>246</v>
      </c>
      <c r="P233" s="78">
        <v>45360</v>
      </c>
      <c r="Q233" t="str">
        <f t="shared" si="22"/>
        <v>Bede Szabolcs - Ippon KKSE</v>
      </c>
      <c r="R233" t="s">
        <v>636</v>
      </c>
      <c r="S233" t="s">
        <v>636</v>
      </c>
      <c r="T233" t="s">
        <v>645</v>
      </c>
    </row>
    <row r="234" spans="1:20" x14ac:dyDescent="0.3">
      <c r="A234" t="s">
        <v>244</v>
      </c>
      <c r="B234" s="50">
        <v>2</v>
      </c>
      <c r="C234">
        <v>118</v>
      </c>
      <c r="D234" t="str">
        <f t="shared" si="24"/>
        <v>Kumite</v>
      </c>
      <c r="E234" t="s">
        <v>284</v>
      </c>
      <c r="F234" s="83" t="s">
        <v>547</v>
      </c>
      <c r="G234" s="50" t="str">
        <f>"5"</f>
        <v>5</v>
      </c>
      <c r="H234" t="str">
        <f>"5 fős körmérkőzés"</f>
        <v>5 fős körmérkőzés</v>
      </c>
      <c r="I234" s="50" t="str">
        <f>"3"</f>
        <v>3</v>
      </c>
      <c r="J234" t="str">
        <f>"Raisz Attila"</f>
        <v>Raisz Attila</v>
      </c>
      <c r="K234" t="s">
        <v>47</v>
      </c>
      <c r="L234" t="str">
        <f t="shared" si="27"/>
        <v>HUN</v>
      </c>
      <c r="M234">
        <v>4</v>
      </c>
      <c r="O234" t="s">
        <v>246</v>
      </c>
      <c r="P234" s="78">
        <v>45360</v>
      </c>
      <c r="Q234" t="str">
        <f t="shared" si="22"/>
        <v>Raisz Attila - BHMSE</v>
      </c>
      <c r="R234" t="s">
        <v>636</v>
      </c>
      <c r="S234" t="s">
        <v>636</v>
      </c>
      <c r="T234" t="s">
        <v>645</v>
      </c>
    </row>
    <row r="235" spans="1:20" x14ac:dyDescent="0.3">
      <c r="A235" t="s">
        <v>244</v>
      </c>
      <c r="B235" s="50">
        <v>2</v>
      </c>
      <c r="C235">
        <v>118</v>
      </c>
      <c r="D235" t="str">
        <f t="shared" si="24"/>
        <v>Kumite</v>
      </c>
      <c r="E235" t="s">
        <v>284</v>
      </c>
      <c r="F235" s="83" t="s">
        <v>547</v>
      </c>
      <c r="G235" s="50" t="str">
        <f>"5"</f>
        <v>5</v>
      </c>
      <c r="H235" t="str">
        <f>"5 fős körmérkőzés"</f>
        <v>5 fős körmérkőzés</v>
      </c>
      <c r="I235" s="50">
        <v>4</v>
      </c>
      <c r="J235" t="s">
        <v>357</v>
      </c>
      <c r="K235" t="s">
        <v>47</v>
      </c>
      <c r="L235" t="str">
        <f t="shared" si="27"/>
        <v>HUN</v>
      </c>
      <c r="M235">
        <v>3</v>
      </c>
      <c r="O235" t="s">
        <v>246</v>
      </c>
      <c r="P235" s="78">
        <v>45360</v>
      </c>
      <c r="Q235" t="str">
        <f t="shared" si="22"/>
        <v>Horváth Milán Noel - BHMSE</v>
      </c>
      <c r="R235" t="s">
        <v>636</v>
      </c>
      <c r="S235" t="s">
        <v>636</v>
      </c>
      <c r="T235" t="s">
        <v>645</v>
      </c>
    </row>
    <row r="236" spans="1:20" x14ac:dyDescent="0.3">
      <c r="A236" t="s">
        <v>244</v>
      </c>
      <c r="B236" s="50">
        <v>2</v>
      </c>
      <c r="C236">
        <v>119</v>
      </c>
      <c r="D236" t="str">
        <f>"Kata"</f>
        <v>Kata</v>
      </c>
      <c r="E236" t="s">
        <v>285</v>
      </c>
      <c r="F236" s="83" t="s">
        <v>548</v>
      </c>
      <c r="G236" s="50" t="str">
        <f>"3"</f>
        <v>3</v>
      </c>
      <c r="H236" t="str">
        <f>"3 fős körmérkőzés"</f>
        <v>3 fős körmérkőzés</v>
      </c>
      <c r="I236" s="50" t="str">
        <f>"1"</f>
        <v>1</v>
      </c>
      <c r="J236" t="str">
        <f>"Bűdy Sándor"</f>
        <v>Bűdy Sándor</v>
      </c>
      <c r="K236" t="s">
        <v>47</v>
      </c>
      <c r="L236" t="str">
        <f t="shared" si="27"/>
        <v>HUN</v>
      </c>
      <c r="M236">
        <v>3</v>
      </c>
      <c r="O236" t="s">
        <v>246</v>
      </c>
      <c r="P236" s="78">
        <v>45360</v>
      </c>
      <c r="Q236" t="str">
        <f t="shared" si="22"/>
        <v>Bűdy Sándor - BHMSE</v>
      </c>
      <c r="R236" t="s">
        <v>636</v>
      </c>
      <c r="S236" t="s">
        <v>636</v>
      </c>
      <c r="T236" t="s">
        <v>645</v>
      </c>
    </row>
    <row r="237" spans="1:20" x14ac:dyDescent="0.3">
      <c r="A237" t="s">
        <v>244</v>
      </c>
      <c r="B237" s="50">
        <v>2</v>
      </c>
      <c r="C237">
        <v>120</v>
      </c>
      <c r="D237" t="str">
        <f>"Kata"</f>
        <v>Kata</v>
      </c>
      <c r="E237" t="s">
        <v>285</v>
      </c>
      <c r="F237" s="83" t="s">
        <v>548</v>
      </c>
      <c r="G237" s="50" t="str">
        <f>"3"</f>
        <v>3</v>
      </c>
      <c r="H237" t="str">
        <f>"3 fős körmérkőzés"</f>
        <v>3 fős körmérkőzés</v>
      </c>
      <c r="I237" s="50" t="str">
        <f>"2"</f>
        <v>2</v>
      </c>
      <c r="J237" t="str">
        <f>"Kolonics Márk"</f>
        <v>Kolonics Márk</v>
      </c>
      <c r="K237" t="s">
        <v>98</v>
      </c>
      <c r="L237" t="str">
        <f t="shared" si="27"/>
        <v>HUN</v>
      </c>
      <c r="M237">
        <v>2</v>
      </c>
      <c r="O237" t="s">
        <v>246</v>
      </c>
      <c r="P237" s="78">
        <v>45360</v>
      </c>
      <c r="Q237" t="str">
        <f t="shared" si="22"/>
        <v xml:space="preserve">Kolonics Márk - TADASHII </v>
      </c>
      <c r="R237" t="s">
        <v>637</v>
      </c>
      <c r="S237" t="s">
        <v>170</v>
      </c>
      <c r="T237" t="s">
        <v>645</v>
      </c>
    </row>
    <row r="238" spans="1:20" x14ac:dyDescent="0.3">
      <c r="A238" t="s">
        <v>244</v>
      </c>
      <c r="B238" s="50">
        <v>2</v>
      </c>
      <c r="C238">
        <v>121</v>
      </c>
      <c r="D238" t="str">
        <f>"Kata"</f>
        <v>Kata</v>
      </c>
      <c r="E238" t="s">
        <v>285</v>
      </c>
      <c r="F238" s="83" t="s">
        <v>548</v>
      </c>
      <c r="G238" s="50" t="str">
        <f>"3"</f>
        <v>3</v>
      </c>
      <c r="H238" t="str">
        <f>"3 fős körmérkőzés"</f>
        <v>3 fős körmérkőzés</v>
      </c>
      <c r="I238" s="50" t="str">
        <f>"3"</f>
        <v>3</v>
      </c>
      <c r="J238" t="str">
        <f>"Geiszt Márton"</f>
        <v>Geiszt Márton</v>
      </c>
      <c r="K238" t="s">
        <v>65</v>
      </c>
      <c r="L238" t="str">
        <f t="shared" si="27"/>
        <v>HUN</v>
      </c>
      <c r="M238">
        <v>0</v>
      </c>
      <c r="N238" t="s">
        <v>158</v>
      </c>
      <c r="O238" t="s">
        <v>246</v>
      </c>
      <c r="P238" s="78">
        <v>45360</v>
      </c>
      <c r="Q238" t="str">
        <f t="shared" si="22"/>
        <v>Geiszt Márton - Főnix Dojo</v>
      </c>
      <c r="R238" t="s">
        <v>636</v>
      </c>
      <c r="S238" t="s">
        <v>636</v>
      </c>
      <c r="T238" t="s">
        <v>645</v>
      </c>
    </row>
    <row r="239" spans="1:20" x14ac:dyDescent="0.3">
      <c r="A239" t="s">
        <v>244</v>
      </c>
      <c r="B239" s="50">
        <v>2</v>
      </c>
      <c r="C239">
        <v>122</v>
      </c>
      <c r="D239" t="str">
        <f t="shared" ref="D239:D251" si="28">"Kumite"</f>
        <v>Kumite</v>
      </c>
      <c r="E239" t="s">
        <v>293</v>
      </c>
      <c r="F239" s="83" t="s">
        <v>546</v>
      </c>
      <c r="G239" s="50" t="str">
        <f>"5"</f>
        <v>5</v>
      </c>
      <c r="H239" t="str">
        <f>"5 fős körmérkőzés"</f>
        <v>5 fős körmérkőzés</v>
      </c>
      <c r="I239" s="50" t="str">
        <f>"1"</f>
        <v>1</v>
      </c>
      <c r="J239" t="str">
        <f>"Németh Virág"</f>
        <v>Németh Virág</v>
      </c>
      <c r="K239" t="s">
        <v>314</v>
      </c>
      <c r="L239" t="str">
        <f t="shared" si="27"/>
        <v>HUN</v>
      </c>
      <c r="M239">
        <v>8</v>
      </c>
      <c r="O239" t="s">
        <v>246</v>
      </c>
      <c r="P239" s="78">
        <v>45360</v>
      </c>
      <c r="Q239" t="str">
        <f t="shared" si="22"/>
        <v>Németh Virág - Castrum</v>
      </c>
      <c r="R239" t="s">
        <v>636</v>
      </c>
      <c r="S239" t="s">
        <v>636</v>
      </c>
      <c r="T239" t="s">
        <v>645</v>
      </c>
    </row>
    <row r="240" spans="1:20" x14ac:dyDescent="0.3">
      <c r="A240" t="s">
        <v>244</v>
      </c>
      <c r="B240" s="50">
        <v>2</v>
      </c>
      <c r="C240">
        <v>123</v>
      </c>
      <c r="D240" t="str">
        <f t="shared" si="28"/>
        <v>Kumite</v>
      </c>
      <c r="E240" t="s">
        <v>293</v>
      </c>
      <c r="F240" s="83" t="s">
        <v>546</v>
      </c>
      <c r="G240" s="50" t="str">
        <f>"5"</f>
        <v>5</v>
      </c>
      <c r="H240" t="str">
        <f>"5 fős körmérkőzés"</f>
        <v>5 fős körmérkőzés</v>
      </c>
      <c r="I240" s="50" t="str">
        <f>"2"</f>
        <v>2</v>
      </c>
      <c r="J240" t="str">
        <f>"Finta Zelma"</f>
        <v>Finta Zelma</v>
      </c>
      <c r="K240" t="s">
        <v>67</v>
      </c>
      <c r="L240" t="str">
        <f t="shared" si="27"/>
        <v>HUN</v>
      </c>
      <c r="M240">
        <v>6</v>
      </c>
      <c r="O240" t="s">
        <v>246</v>
      </c>
      <c r="P240" s="78">
        <v>45360</v>
      </c>
      <c r="Q240" t="str">
        <f t="shared" si="22"/>
        <v>Finta Zelma - Rakurai</v>
      </c>
      <c r="R240" t="s">
        <v>636</v>
      </c>
      <c r="S240" t="s">
        <v>636</v>
      </c>
      <c r="T240" t="s">
        <v>645</v>
      </c>
    </row>
    <row r="241" spans="1:20" x14ac:dyDescent="0.3">
      <c r="A241" t="s">
        <v>244</v>
      </c>
      <c r="B241" s="50">
        <v>2</v>
      </c>
      <c r="C241">
        <v>124</v>
      </c>
      <c r="D241" t="str">
        <f t="shared" si="28"/>
        <v>Kumite</v>
      </c>
      <c r="E241" t="s">
        <v>293</v>
      </c>
      <c r="F241" s="83" t="s">
        <v>546</v>
      </c>
      <c r="G241" s="50" t="str">
        <f>"5"</f>
        <v>5</v>
      </c>
      <c r="H241" t="str">
        <f>"5 fős körmérkőzés"</f>
        <v>5 fős körmérkőzés</v>
      </c>
      <c r="I241" s="50" t="str">
        <f>"3"</f>
        <v>3</v>
      </c>
      <c r="J241" t="str">
        <f>"Benkő Sára"</f>
        <v>Benkő Sára</v>
      </c>
      <c r="K241" t="s">
        <v>79</v>
      </c>
      <c r="L241" t="str">
        <f t="shared" si="27"/>
        <v>HUN</v>
      </c>
      <c r="M241">
        <v>4</v>
      </c>
      <c r="O241" t="s">
        <v>246</v>
      </c>
      <c r="P241" s="78">
        <v>45360</v>
      </c>
      <c r="Q241" t="str">
        <f t="shared" si="22"/>
        <v>Benkő Sára - Ippon KKSE</v>
      </c>
      <c r="R241" t="s">
        <v>636</v>
      </c>
      <c r="S241" t="s">
        <v>636</v>
      </c>
      <c r="T241" t="s">
        <v>645</v>
      </c>
    </row>
    <row r="242" spans="1:20" x14ac:dyDescent="0.3">
      <c r="A242" t="s">
        <v>244</v>
      </c>
      <c r="B242" s="50">
        <v>2</v>
      </c>
      <c r="C242">
        <v>125</v>
      </c>
      <c r="D242" t="str">
        <f t="shared" si="28"/>
        <v>Kumite</v>
      </c>
      <c r="E242" t="s">
        <v>294</v>
      </c>
      <c r="F242" s="83" t="s">
        <v>550</v>
      </c>
      <c r="G242" s="50" t="str">
        <f>"3"</f>
        <v>3</v>
      </c>
      <c r="H242" t="str">
        <f>"3 fős körmérkőzés"</f>
        <v>3 fős körmérkőzés</v>
      </c>
      <c r="I242" s="50" t="str">
        <f>"1"</f>
        <v>1</v>
      </c>
      <c r="J242" t="str">
        <f>"Lukács Kamilla"</f>
        <v>Lukács Kamilla</v>
      </c>
      <c r="K242" t="s">
        <v>47</v>
      </c>
      <c r="L242" t="str">
        <f t="shared" si="27"/>
        <v>HUN</v>
      </c>
      <c r="M242">
        <v>4</v>
      </c>
      <c r="O242" t="s">
        <v>246</v>
      </c>
      <c r="P242" s="78">
        <v>45360</v>
      </c>
      <c r="Q242" t="str">
        <f t="shared" si="22"/>
        <v>Lukács Kamilla - BHMSE</v>
      </c>
      <c r="R242" t="s">
        <v>636</v>
      </c>
      <c r="S242" t="s">
        <v>636</v>
      </c>
      <c r="T242" t="s">
        <v>645</v>
      </c>
    </row>
    <row r="243" spans="1:20" x14ac:dyDescent="0.3">
      <c r="A243" t="s">
        <v>244</v>
      </c>
      <c r="B243" s="50">
        <v>2</v>
      </c>
      <c r="C243">
        <v>126</v>
      </c>
      <c r="D243" t="str">
        <f t="shared" si="28"/>
        <v>Kumite</v>
      </c>
      <c r="E243" t="s">
        <v>294</v>
      </c>
      <c r="F243" s="83" t="s">
        <v>550</v>
      </c>
      <c r="G243" s="50" t="str">
        <f>"3"</f>
        <v>3</v>
      </c>
      <c r="H243" t="str">
        <f>"3 fős körmérkőzés"</f>
        <v>3 fős körmérkőzés</v>
      </c>
      <c r="I243" s="50" t="str">
        <f>"2"</f>
        <v>2</v>
      </c>
      <c r="J243" t="str">
        <f>"Bognár Luca"</f>
        <v>Bognár Luca</v>
      </c>
      <c r="K243" t="s">
        <v>67</v>
      </c>
      <c r="L243" t="str">
        <f t="shared" si="27"/>
        <v>HUN</v>
      </c>
      <c r="M243">
        <v>3</v>
      </c>
      <c r="O243" t="s">
        <v>246</v>
      </c>
      <c r="P243" s="78">
        <v>45360</v>
      </c>
      <c r="Q243" t="str">
        <f t="shared" si="22"/>
        <v>Bognár Luca - Rakurai</v>
      </c>
      <c r="R243" t="s">
        <v>636</v>
      </c>
      <c r="S243" t="s">
        <v>636</v>
      </c>
      <c r="T243" t="s">
        <v>645</v>
      </c>
    </row>
    <row r="244" spans="1:20" x14ac:dyDescent="0.3">
      <c r="A244" t="s">
        <v>244</v>
      </c>
      <c r="B244" s="50">
        <v>2</v>
      </c>
      <c r="C244">
        <v>127</v>
      </c>
      <c r="D244" t="str">
        <f t="shared" si="28"/>
        <v>Kumite</v>
      </c>
      <c r="E244" t="s">
        <v>294</v>
      </c>
      <c r="F244" s="83" t="s">
        <v>550</v>
      </c>
      <c r="G244" s="50" t="str">
        <f>"3"</f>
        <v>3</v>
      </c>
      <c r="H244" t="str">
        <f>"3 fős körmérkőzés"</f>
        <v>3 fős körmérkőzés</v>
      </c>
      <c r="I244" s="50" t="str">
        <f>"3"</f>
        <v>3</v>
      </c>
      <c r="J244" t="str">
        <f>"Nyisztor Lea"</f>
        <v>Nyisztor Lea</v>
      </c>
      <c r="K244" t="s">
        <v>98</v>
      </c>
      <c r="L244" t="str">
        <f t="shared" si="27"/>
        <v>HUN</v>
      </c>
      <c r="M244">
        <v>0</v>
      </c>
      <c r="N244" t="s">
        <v>158</v>
      </c>
      <c r="O244" t="s">
        <v>246</v>
      </c>
      <c r="P244" s="78">
        <v>45360</v>
      </c>
      <c r="Q244" t="str">
        <f t="shared" si="22"/>
        <v xml:space="preserve">Nyisztor Lea - TADASHII </v>
      </c>
      <c r="R244" t="s">
        <v>637</v>
      </c>
      <c r="S244" t="s">
        <v>170</v>
      </c>
      <c r="T244" t="s">
        <v>645</v>
      </c>
    </row>
    <row r="245" spans="1:20" x14ac:dyDescent="0.3">
      <c r="A245" t="s">
        <v>244</v>
      </c>
      <c r="B245" s="50">
        <v>2</v>
      </c>
      <c r="C245">
        <v>128</v>
      </c>
      <c r="D245" t="str">
        <f t="shared" si="28"/>
        <v>Kumite</v>
      </c>
      <c r="E245" t="s">
        <v>295</v>
      </c>
      <c r="F245" s="83" t="s">
        <v>551</v>
      </c>
      <c r="G245" s="50" t="str">
        <f>"4"</f>
        <v>4</v>
      </c>
      <c r="H245" t="str">
        <f>"4 fős körmérkőzés"</f>
        <v>4 fős körmérkőzés</v>
      </c>
      <c r="I245" s="50" t="str">
        <f>"1"</f>
        <v>1</v>
      </c>
      <c r="J245" t="str">
        <f>"Éles Léna"</f>
        <v>Éles Léna</v>
      </c>
      <c r="K245" t="s">
        <v>47</v>
      </c>
      <c r="L245" t="str">
        <f t="shared" si="27"/>
        <v>HUN</v>
      </c>
      <c r="M245">
        <v>6</v>
      </c>
      <c r="O245" t="s">
        <v>246</v>
      </c>
      <c r="P245" s="78">
        <v>45360</v>
      </c>
      <c r="Q245" t="str">
        <f t="shared" si="22"/>
        <v>Éles Léna - BHMSE</v>
      </c>
      <c r="R245" t="s">
        <v>636</v>
      </c>
      <c r="S245" t="s">
        <v>636</v>
      </c>
      <c r="T245" t="s">
        <v>645</v>
      </c>
    </row>
    <row r="246" spans="1:20" x14ac:dyDescent="0.3">
      <c r="A246" t="s">
        <v>244</v>
      </c>
      <c r="B246" s="50">
        <v>2</v>
      </c>
      <c r="C246">
        <v>129</v>
      </c>
      <c r="D246" t="str">
        <f t="shared" si="28"/>
        <v>Kumite</v>
      </c>
      <c r="E246" t="s">
        <v>295</v>
      </c>
      <c r="F246" s="83" t="s">
        <v>551</v>
      </c>
      <c r="G246" s="50" t="str">
        <f>"4"</f>
        <v>4</v>
      </c>
      <c r="H246" t="str">
        <f>"4 fős körmérkőzés"</f>
        <v>4 fős körmérkőzés</v>
      </c>
      <c r="I246" s="50" t="str">
        <f>"2"</f>
        <v>2</v>
      </c>
      <c r="J246" t="str">
        <f>"Szücs Hanna"</f>
        <v>Szücs Hanna</v>
      </c>
      <c r="K246" t="s">
        <v>314</v>
      </c>
      <c r="L246" t="str">
        <f t="shared" si="27"/>
        <v>HUN</v>
      </c>
      <c r="M246">
        <v>5</v>
      </c>
      <c r="O246" t="s">
        <v>246</v>
      </c>
      <c r="P246" s="78">
        <v>45360</v>
      </c>
      <c r="Q246" t="str">
        <f t="shared" si="22"/>
        <v>Szücs Hanna - Castrum</v>
      </c>
      <c r="R246" t="s">
        <v>636</v>
      </c>
      <c r="S246" t="s">
        <v>636</v>
      </c>
      <c r="T246" t="s">
        <v>645</v>
      </c>
    </row>
    <row r="247" spans="1:20" x14ac:dyDescent="0.3">
      <c r="A247" t="s">
        <v>244</v>
      </c>
      <c r="B247" s="50">
        <v>2</v>
      </c>
      <c r="C247">
        <v>130</v>
      </c>
      <c r="D247" t="str">
        <f t="shared" si="28"/>
        <v>Kumite</v>
      </c>
      <c r="E247" t="s">
        <v>295</v>
      </c>
      <c r="F247" s="83" t="s">
        <v>551</v>
      </c>
      <c r="G247" s="50" t="str">
        <f>"4"</f>
        <v>4</v>
      </c>
      <c r="H247" t="str">
        <f>"4 fős körmérkőzés"</f>
        <v>4 fős körmérkőzés</v>
      </c>
      <c r="I247" s="50" t="str">
        <f>"3"</f>
        <v>3</v>
      </c>
      <c r="J247" t="str">
        <f>"Szél Dominika"</f>
        <v>Szél Dominika</v>
      </c>
      <c r="K247" t="s">
        <v>328</v>
      </c>
      <c r="L247" t="str">
        <f t="shared" si="27"/>
        <v>HUN</v>
      </c>
      <c r="M247">
        <v>3</v>
      </c>
      <c r="O247" t="s">
        <v>246</v>
      </c>
      <c r="P247" s="78">
        <v>45360</v>
      </c>
      <c r="Q247" t="str">
        <f t="shared" si="22"/>
        <v>Szél Dominika - KyoDabas SE.</v>
      </c>
      <c r="R247" t="s">
        <v>636</v>
      </c>
      <c r="S247" t="s">
        <v>636</v>
      </c>
      <c r="T247" t="s">
        <v>645</v>
      </c>
    </row>
    <row r="248" spans="1:20" x14ac:dyDescent="0.3">
      <c r="A248" t="s">
        <v>244</v>
      </c>
      <c r="B248" s="50">
        <v>2</v>
      </c>
      <c r="C248">
        <v>131</v>
      </c>
      <c r="D248" t="str">
        <f t="shared" si="28"/>
        <v>Kumite</v>
      </c>
      <c r="E248" t="s">
        <v>296</v>
      </c>
      <c r="F248" s="83" t="s">
        <v>552</v>
      </c>
      <c r="G248" s="50" t="str">
        <f>"2"</f>
        <v>2</v>
      </c>
      <c r="H248" t="str">
        <f>"2 fős egyenes kiesés"</f>
        <v>2 fős egyenes kiesés</v>
      </c>
      <c r="I248" s="50" t="str">
        <f>"1"</f>
        <v>1</v>
      </c>
      <c r="J248" t="str">
        <f>"Kiss Aliz"</f>
        <v>Kiss Aliz</v>
      </c>
      <c r="K248" t="s">
        <v>333</v>
      </c>
      <c r="L248" t="str">
        <f t="shared" si="27"/>
        <v>HUN</v>
      </c>
      <c r="M248">
        <v>3</v>
      </c>
      <c r="O248" t="s">
        <v>246</v>
      </c>
      <c r="P248" s="78">
        <v>45360</v>
      </c>
      <c r="Q248" t="str">
        <f t="shared" si="22"/>
        <v xml:space="preserve">Kiss Aliz - Renmei se </v>
      </c>
      <c r="R248" t="s">
        <v>636</v>
      </c>
      <c r="S248" t="s">
        <v>636</v>
      </c>
      <c r="T248" t="s">
        <v>645</v>
      </c>
    </row>
    <row r="249" spans="1:20" x14ac:dyDescent="0.3">
      <c r="A249" t="s">
        <v>244</v>
      </c>
      <c r="B249" s="50">
        <v>2</v>
      </c>
      <c r="C249">
        <v>132</v>
      </c>
      <c r="D249" t="str">
        <f t="shared" si="28"/>
        <v>Kumite</v>
      </c>
      <c r="E249" t="s">
        <v>296</v>
      </c>
      <c r="F249" s="83" t="s">
        <v>552</v>
      </c>
      <c r="G249" s="50" t="str">
        <f>"2"</f>
        <v>2</v>
      </c>
      <c r="H249" t="str">
        <f>"2 fős egyenes kiesés"</f>
        <v>2 fős egyenes kiesés</v>
      </c>
      <c r="I249" s="50" t="str">
        <f>"2"</f>
        <v>2</v>
      </c>
      <c r="J249" t="str">
        <f>"Varga Luca Zsófia "</f>
        <v xml:space="preserve">Varga Luca Zsófia </v>
      </c>
      <c r="K249" t="s">
        <v>307</v>
      </c>
      <c r="L249" t="str">
        <f t="shared" si="27"/>
        <v>HUN</v>
      </c>
      <c r="M249">
        <v>0</v>
      </c>
      <c r="N249" t="s">
        <v>158</v>
      </c>
      <c r="O249" t="s">
        <v>246</v>
      </c>
      <c r="P249" s="78">
        <v>45360</v>
      </c>
      <c r="Q249" t="str">
        <f t="shared" si="22"/>
        <v>Varga Luca Zsófia  - Rokku KKSE</v>
      </c>
      <c r="R249" t="s">
        <v>636</v>
      </c>
      <c r="S249" t="s">
        <v>636</v>
      </c>
      <c r="T249" t="s">
        <v>645</v>
      </c>
    </row>
    <row r="250" spans="1:20" x14ac:dyDescent="0.3">
      <c r="A250" t="s">
        <v>244</v>
      </c>
      <c r="B250" s="50">
        <v>2</v>
      </c>
      <c r="C250">
        <v>133</v>
      </c>
      <c r="D250" t="str">
        <f t="shared" si="28"/>
        <v>Kumite</v>
      </c>
      <c r="E250" t="s">
        <v>297</v>
      </c>
      <c r="F250" s="83" t="s">
        <v>553</v>
      </c>
      <c r="G250" s="50" t="str">
        <f>"2"</f>
        <v>2</v>
      </c>
      <c r="H250" t="str">
        <f>"2 fős egyenes kiesés"</f>
        <v>2 fős egyenes kiesés</v>
      </c>
      <c r="I250" s="50" t="str">
        <f>"1"</f>
        <v>1</v>
      </c>
      <c r="J250" t="str">
        <f>"Németh-Lakos Zolna"</f>
        <v>Németh-Lakos Zolna</v>
      </c>
      <c r="K250" t="s">
        <v>37</v>
      </c>
      <c r="L250" t="str">
        <f t="shared" si="27"/>
        <v>HUN</v>
      </c>
      <c r="M250">
        <v>3</v>
      </c>
      <c r="O250" t="s">
        <v>246</v>
      </c>
      <c r="P250" s="78">
        <v>45360</v>
      </c>
      <c r="Q250" t="str">
        <f t="shared" si="22"/>
        <v>Németh-Lakos Zolna - Kamikaze S</v>
      </c>
      <c r="R250" t="s">
        <v>636</v>
      </c>
      <c r="S250" t="s">
        <v>636</v>
      </c>
      <c r="T250" t="s">
        <v>645</v>
      </c>
    </row>
    <row r="251" spans="1:20" x14ac:dyDescent="0.3">
      <c r="A251" t="s">
        <v>244</v>
      </c>
      <c r="B251" s="50">
        <v>2</v>
      </c>
      <c r="C251">
        <v>134</v>
      </c>
      <c r="D251" t="str">
        <f t="shared" si="28"/>
        <v>Kumite</v>
      </c>
      <c r="E251" t="s">
        <v>297</v>
      </c>
      <c r="F251" s="83" t="s">
        <v>553</v>
      </c>
      <c r="G251" s="50" t="str">
        <f>"2"</f>
        <v>2</v>
      </c>
      <c r="H251" t="str">
        <f>"2 fős egyenes kiesés"</f>
        <v>2 fős egyenes kiesés</v>
      </c>
      <c r="I251" s="50" t="str">
        <f>"2"</f>
        <v>2</v>
      </c>
      <c r="J251" t="str">
        <f>"Varga Luca Zsófia "</f>
        <v xml:space="preserve">Varga Luca Zsófia </v>
      </c>
      <c r="K251" t="s">
        <v>307</v>
      </c>
      <c r="L251" t="str">
        <f t="shared" si="27"/>
        <v>HUN</v>
      </c>
      <c r="M251">
        <v>0</v>
      </c>
      <c r="N251" t="s">
        <v>158</v>
      </c>
      <c r="O251" t="s">
        <v>246</v>
      </c>
      <c r="P251" s="78">
        <v>45360</v>
      </c>
      <c r="Q251" t="str">
        <f t="shared" si="22"/>
        <v>Varga Luca Zsófia  - Rokku KKSE</v>
      </c>
      <c r="R251" t="s">
        <v>636</v>
      </c>
      <c r="S251" t="s">
        <v>636</v>
      </c>
      <c r="T251" t="s">
        <v>645</v>
      </c>
    </row>
    <row r="252" spans="1:20" x14ac:dyDescent="0.3">
      <c r="A252" t="s">
        <v>244</v>
      </c>
      <c r="B252" s="50">
        <v>2</v>
      </c>
      <c r="C252">
        <v>135</v>
      </c>
      <c r="D252" t="str">
        <f>"Kata"</f>
        <v>Kata</v>
      </c>
      <c r="E252" t="s">
        <v>298</v>
      </c>
      <c r="F252" s="83" t="s">
        <v>549</v>
      </c>
      <c r="G252" s="50" t="str">
        <f>"8"</f>
        <v>8</v>
      </c>
      <c r="H252" t="str">
        <f>"8 fős egyenes kiesés"</f>
        <v>8 fős egyenes kiesés</v>
      </c>
      <c r="I252" s="50" t="str">
        <f>"1"</f>
        <v>1</v>
      </c>
      <c r="J252" t="str">
        <f>"Kiss Aliz"</f>
        <v>Kiss Aliz</v>
      </c>
      <c r="K252" t="s">
        <v>333</v>
      </c>
      <c r="L252" t="str">
        <f t="shared" si="27"/>
        <v>HUN</v>
      </c>
      <c r="M252">
        <v>5</v>
      </c>
      <c r="O252" t="s">
        <v>246</v>
      </c>
      <c r="P252" s="78">
        <v>45360</v>
      </c>
      <c r="Q252" t="str">
        <f t="shared" si="22"/>
        <v xml:space="preserve">Kiss Aliz - Renmei se </v>
      </c>
      <c r="R252" t="s">
        <v>636</v>
      </c>
      <c r="S252" t="s">
        <v>636</v>
      </c>
      <c r="T252" t="s">
        <v>645</v>
      </c>
    </row>
    <row r="253" spans="1:20" x14ac:dyDescent="0.3">
      <c r="A253" t="s">
        <v>244</v>
      </c>
      <c r="B253" s="50">
        <v>2</v>
      </c>
      <c r="C253">
        <v>136</v>
      </c>
      <c r="D253" t="str">
        <f>"Kata"</f>
        <v>Kata</v>
      </c>
      <c r="E253" t="s">
        <v>298</v>
      </c>
      <c r="F253" s="83" t="s">
        <v>549</v>
      </c>
      <c r="G253" s="50" t="str">
        <f>"8"</f>
        <v>8</v>
      </c>
      <c r="H253" t="str">
        <f>"8 fős egyenes kiesés"</f>
        <v>8 fős egyenes kiesés</v>
      </c>
      <c r="I253" s="50" t="str">
        <f>"2"</f>
        <v>2</v>
      </c>
      <c r="J253" t="str">
        <f>"Bognár Luca"</f>
        <v>Bognár Luca</v>
      </c>
      <c r="K253" t="s">
        <v>67</v>
      </c>
      <c r="L253" t="str">
        <f t="shared" si="27"/>
        <v>HUN</v>
      </c>
      <c r="M253">
        <v>4</v>
      </c>
      <c r="O253" t="s">
        <v>246</v>
      </c>
      <c r="P253" s="78">
        <v>45360</v>
      </c>
      <c r="Q253" t="str">
        <f t="shared" si="22"/>
        <v>Bognár Luca - Rakurai</v>
      </c>
      <c r="R253" t="s">
        <v>636</v>
      </c>
      <c r="S253" t="s">
        <v>636</v>
      </c>
      <c r="T253" t="s">
        <v>645</v>
      </c>
    </row>
    <row r="254" spans="1:20" x14ac:dyDescent="0.3">
      <c r="A254" t="s">
        <v>244</v>
      </c>
      <c r="B254" s="50">
        <v>2</v>
      </c>
      <c r="C254">
        <v>137</v>
      </c>
      <c r="D254" t="str">
        <f>"Kata"</f>
        <v>Kata</v>
      </c>
      <c r="E254" t="s">
        <v>298</v>
      </c>
      <c r="F254" s="83" t="s">
        <v>549</v>
      </c>
      <c r="G254" s="50" t="str">
        <f>"8"</f>
        <v>8</v>
      </c>
      <c r="H254" t="str">
        <f>"8 fős egyenes kiesés"</f>
        <v>8 fős egyenes kiesés</v>
      </c>
      <c r="I254" s="50" t="str">
        <f>"3"</f>
        <v>3</v>
      </c>
      <c r="J254" t="str">
        <f>"Németh Panka"</f>
        <v>Németh Panka</v>
      </c>
      <c r="K254" t="s">
        <v>315</v>
      </c>
      <c r="L254" t="str">
        <f t="shared" si="27"/>
        <v>HUN</v>
      </c>
      <c r="M254">
        <v>2</v>
      </c>
      <c r="O254" t="s">
        <v>246</v>
      </c>
      <c r="P254" s="78">
        <v>45360</v>
      </c>
      <c r="Q254" t="str">
        <f t="shared" si="22"/>
        <v>Németh Panka - Cs.S.E.</v>
      </c>
      <c r="R254" t="s">
        <v>636</v>
      </c>
      <c r="S254" t="s">
        <v>636</v>
      </c>
      <c r="T254" t="s">
        <v>645</v>
      </c>
    </row>
    <row r="255" spans="1:20" x14ac:dyDescent="0.3">
      <c r="A255" t="s">
        <v>244</v>
      </c>
      <c r="B255" s="50">
        <v>2</v>
      </c>
      <c r="C255">
        <v>138</v>
      </c>
      <c r="D255" t="str">
        <f>"Kata"</f>
        <v>Kata</v>
      </c>
      <c r="E255" t="s">
        <v>298</v>
      </c>
      <c r="F255" s="83" t="s">
        <v>549</v>
      </c>
      <c r="G255" s="50" t="str">
        <f>"8"</f>
        <v>8</v>
      </c>
      <c r="H255" t="str">
        <f>"8 fős egyenes kiesés"</f>
        <v>8 fős egyenes kiesés</v>
      </c>
      <c r="I255" s="50" t="str">
        <f>"3"</f>
        <v>3</v>
      </c>
      <c r="J255" t="str">
        <f>"Sümegh Anna"</f>
        <v>Sümegh Anna</v>
      </c>
      <c r="K255" t="s">
        <v>333</v>
      </c>
      <c r="L255" t="str">
        <f t="shared" si="27"/>
        <v>HUN</v>
      </c>
      <c r="M255">
        <v>2</v>
      </c>
      <c r="O255" t="s">
        <v>246</v>
      </c>
      <c r="P255" s="78">
        <v>45360</v>
      </c>
      <c r="Q255" t="str">
        <f t="shared" si="22"/>
        <v xml:space="preserve">Sümegh Anna - Renmei se </v>
      </c>
      <c r="R255" t="s">
        <v>636</v>
      </c>
      <c r="S255" t="s">
        <v>636</v>
      </c>
      <c r="T255" t="s">
        <v>645</v>
      </c>
    </row>
    <row r="256" spans="1:20" s="80" customFormat="1" x14ac:dyDescent="0.3">
      <c r="A256" s="80" t="s">
        <v>244</v>
      </c>
      <c r="B256" s="81">
        <v>2</v>
      </c>
      <c r="C256" s="80">
        <v>139</v>
      </c>
      <c r="D256" s="80" t="str">
        <f t="shared" ref="D256:D266" si="29">"Kumite"</f>
        <v>Kumite</v>
      </c>
      <c r="E256" s="80" t="s">
        <v>286</v>
      </c>
      <c r="F256" s="80" t="s">
        <v>496</v>
      </c>
      <c r="G256" s="81" t="str">
        <f>"5"</f>
        <v>5</v>
      </c>
      <c r="H256" s="80" t="str">
        <f>"5 fős körmérkőzés"</f>
        <v>5 fős körmérkőzés</v>
      </c>
      <c r="I256" s="81" t="str">
        <f>"1"</f>
        <v>1</v>
      </c>
      <c r="J256" s="80" t="str">
        <f>"Bükkösdi Martin"</f>
        <v>Bükkösdi Martin</v>
      </c>
      <c r="K256" s="80" t="s">
        <v>313</v>
      </c>
      <c r="L256" s="80" t="str">
        <f t="shared" si="27"/>
        <v>HUN</v>
      </c>
      <c r="M256" s="80">
        <v>0</v>
      </c>
      <c r="N256" s="80" t="s">
        <v>247</v>
      </c>
      <c r="O256" s="80" t="s">
        <v>246</v>
      </c>
      <c r="P256" s="82">
        <v>45360</v>
      </c>
      <c r="Q256" s="80" t="str">
        <f t="shared" si="22"/>
        <v>Bükkösdi Martin - Bushido Kaposvár</v>
      </c>
      <c r="R256" s="80" t="s">
        <v>636</v>
      </c>
      <c r="S256" s="80" t="s">
        <v>636</v>
      </c>
      <c r="T256" t="s">
        <v>645</v>
      </c>
    </row>
    <row r="257" spans="1:20" s="80" customFormat="1" x14ac:dyDescent="0.3">
      <c r="A257" s="80" t="s">
        <v>244</v>
      </c>
      <c r="B257" s="81">
        <v>2</v>
      </c>
      <c r="C257" s="80">
        <v>140</v>
      </c>
      <c r="D257" s="80" t="str">
        <f t="shared" si="29"/>
        <v>Kumite</v>
      </c>
      <c r="E257" s="80" t="s">
        <v>286</v>
      </c>
      <c r="F257" s="80" t="s">
        <v>496</v>
      </c>
      <c r="G257" s="81" t="str">
        <f>"5"</f>
        <v>5</v>
      </c>
      <c r="H257" s="80" t="str">
        <f>"5 fős körmérkőzés"</f>
        <v>5 fős körmérkőzés</v>
      </c>
      <c r="I257" s="81" t="str">
        <f>"2"</f>
        <v>2</v>
      </c>
      <c r="J257" s="80" t="str">
        <f>"Keller Krisztián"</f>
        <v>Keller Krisztián</v>
      </c>
      <c r="K257" s="80" t="s">
        <v>313</v>
      </c>
      <c r="L257" s="80" t="str">
        <f t="shared" si="27"/>
        <v>HUN</v>
      </c>
      <c r="M257" s="80">
        <v>0</v>
      </c>
      <c r="N257" s="80" t="s">
        <v>247</v>
      </c>
      <c r="O257" s="80" t="s">
        <v>246</v>
      </c>
      <c r="P257" s="82">
        <v>45360</v>
      </c>
      <c r="Q257" s="80" t="str">
        <f t="shared" si="22"/>
        <v>Keller Krisztián - Bushido Kaposvár</v>
      </c>
      <c r="R257" s="80" t="s">
        <v>636</v>
      </c>
      <c r="S257" s="80" t="s">
        <v>636</v>
      </c>
      <c r="T257" t="s">
        <v>645</v>
      </c>
    </row>
    <row r="258" spans="1:20" s="80" customFormat="1" x14ac:dyDescent="0.3">
      <c r="A258" s="80" t="s">
        <v>244</v>
      </c>
      <c r="B258" s="81">
        <v>2</v>
      </c>
      <c r="C258" s="80">
        <v>141</v>
      </c>
      <c r="D258" s="80" t="str">
        <f t="shared" si="29"/>
        <v>Kumite</v>
      </c>
      <c r="E258" s="80" t="s">
        <v>286</v>
      </c>
      <c r="F258" s="80" t="s">
        <v>496</v>
      </c>
      <c r="G258" s="81" t="str">
        <f>"5"</f>
        <v>5</v>
      </c>
      <c r="H258" s="80" t="str">
        <f>"5 fős körmérkőzés"</f>
        <v>5 fős körmérkőzés</v>
      </c>
      <c r="I258" s="81" t="str">
        <f>"3"</f>
        <v>3</v>
      </c>
      <c r="J258" s="80" t="str">
        <f>"Szürös Dominik István"</f>
        <v>Szürös Dominik István</v>
      </c>
      <c r="K258" s="80" t="s">
        <v>337</v>
      </c>
      <c r="L258" s="80" t="str">
        <f t="shared" si="27"/>
        <v>HUN</v>
      </c>
      <c r="M258" s="80">
        <v>0</v>
      </c>
      <c r="N258" s="80" t="s">
        <v>247</v>
      </c>
      <c r="O258" s="80" t="s">
        <v>246</v>
      </c>
      <c r="P258" s="82">
        <v>45360</v>
      </c>
      <c r="Q258" s="80" t="str">
        <f t="shared" si="22"/>
        <v>Szürös Dominik István - UDSE</v>
      </c>
      <c r="R258" t="s">
        <v>637</v>
      </c>
      <c r="S258" s="80" t="s">
        <v>170</v>
      </c>
      <c r="T258" t="s">
        <v>645</v>
      </c>
    </row>
    <row r="259" spans="1:20" s="80" customFormat="1" x14ac:dyDescent="0.3">
      <c r="A259" s="80" t="s">
        <v>244</v>
      </c>
      <c r="B259" s="81">
        <v>2</v>
      </c>
      <c r="C259" s="80">
        <v>142</v>
      </c>
      <c r="D259" s="80" t="str">
        <f t="shared" si="29"/>
        <v>Kumite</v>
      </c>
      <c r="E259" s="80" t="s">
        <v>287</v>
      </c>
      <c r="F259" s="80" t="s">
        <v>498</v>
      </c>
      <c r="G259" s="81" t="str">
        <f>"3"</f>
        <v>3</v>
      </c>
      <c r="H259" s="80" t="str">
        <f>"3 fős körmérkőzés"</f>
        <v>3 fős körmérkőzés</v>
      </c>
      <c r="I259" s="81" t="str">
        <f>"1"</f>
        <v>1</v>
      </c>
      <c r="J259" s="80" t="str">
        <f>"Gáspár Botond"</f>
        <v>Gáspár Botond</v>
      </c>
      <c r="K259" s="80" t="s">
        <v>65</v>
      </c>
      <c r="L259" s="80" t="str">
        <f t="shared" si="27"/>
        <v>HUN</v>
      </c>
      <c r="M259" s="80">
        <v>0</v>
      </c>
      <c r="N259" s="80" t="s">
        <v>247</v>
      </c>
      <c r="O259" s="80" t="s">
        <v>246</v>
      </c>
      <c r="P259" s="82">
        <v>45360</v>
      </c>
      <c r="Q259" s="80" t="str">
        <f t="shared" ref="Q259:Q322" si="30">J259&amp;" - "&amp;K259</f>
        <v>Gáspár Botond - Főnix Dojo</v>
      </c>
      <c r="R259" s="80" t="s">
        <v>636</v>
      </c>
      <c r="S259" s="80" t="s">
        <v>636</v>
      </c>
      <c r="T259" t="s">
        <v>645</v>
      </c>
    </row>
    <row r="260" spans="1:20" s="80" customFormat="1" x14ac:dyDescent="0.3">
      <c r="A260" s="80" t="s">
        <v>244</v>
      </c>
      <c r="B260" s="81">
        <v>2</v>
      </c>
      <c r="C260" s="80">
        <v>143</v>
      </c>
      <c r="D260" s="80" t="str">
        <f t="shared" si="29"/>
        <v>Kumite</v>
      </c>
      <c r="E260" s="80" t="s">
        <v>287</v>
      </c>
      <c r="F260" s="80" t="s">
        <v>498</v>
      </c>
      <c r="G260" s="81" t="str">
        <f>"3"</f>
        <v>3</v>
      </c>
      <c r="H260" s="80" t="str">
        <f>"3 fős körmérkőzés"</f>
        <v>3 fős körmérkőzés</v>
      </c>
      <c r="I260" s="81" t="str">
        <f>"2"</f>
        <v>2</v>
      </c>
      <c r="J260" s="80" t="str">
        <f>"Novák Péter"</f>
        <v>Novák Péter</v>
      </c>
      <c r="K260" s="80" t="s">
        <v>338</v>
      </c>
      <c r="L260" s="80" t="str">
        <f t="shared" si="27"/>
        <v>HUN</v>
      </c>
      <c r="M260" s="80">
        <v>0</v>
      </c>
      <c r="N260" s="80" t="s">
        <v>247</v>
      </c>
      <c r="O260" s="80" t="s">
        <v>246</v>
      </c>
      <c r="P260" s="82">
        <v>45360</v>
      </c>
      <c r="Q260" s="80" t="str">
        <f t="shared" si="30"/>
        <v>Novák Péter - VKKKK SE</v>
      </c>
      <c r="R260" s="80" t="s">
        <v>637</v>
      </c>
      <c r="S260" s="80" t="s">
        <v>170</v>
      </c>
      <c r="T260" t="s">
        <v>645</v>
      </c>
    </row>
    <row r="261" spans="1:20" s="80" customFormat="1" x14ac:dyDescent="0.3">
      <c r="A261" s="80" t="s">
        <v>244</v>
      </c>
      <c r="B261" s="81">
        <v>2</v>
      </c>
      <c r="C261" s="80">
        <v>144</v>
      </c>
      <c r="D261" s="80" t="str">
        <f t="shared" si="29"/>
        <v>Kumite</v>
      </c>
      <c r="E261" s="80" t="s">
        <v>287</v>
      </c>
      <c r="F261" s="80" t="s">
        <v>498</v>
      </c>
      <c r="G261" s="81" t="str">
        <f>"3"</f>
        <v>3</v>
      </c>
      <c r="H261" s="80" t="str">
        <f>"3 fős körmérkőzés"</f>
        <v>3 fős körmérkőzés</v>
      </c>
      <c r="I261" s="81" t="str">
        <f>"3"</f>
        <v>3</v>
      </c>
      <c r="J261" s="80" t="str">
        <f>"Mesterházy Mihály"</f>
        <v>Mesterházy Mihály</v>
      </c>
      <c r="K261" s="80" t="s">
        <v>327</v>
      </c>
      <c r="L261" s="80" t="str">
        <f t="shared" si="27"/>
        <v>HUN</v>
      </c>
      <c r="M261" s="80">
        <v>0</v>
      </c>
      <c r="N261" s="80" t="s">
        <v>247</v>
      </c>
      <c r="O261" s="80" t="s">
        <v>246</v>
      </c>
      <c r="P261" s="82">
        <v>45360</v>
      </c>
      <c r="Q261" s="80" t="str">
        <f t="shared" si="30"/>
        <v>Mesterházy Mihály - Keszth.KKK</v>
      </c>
      <c r="R261" s="80" t="s">
        <v>636</v>
      </c>
      <c r="S261" s="80" t="s">
        <v>636</v>
      </c>
      <c r="T261" t="s">
        <v>645</v>
      </c>
    </row>
    <row r="262" spans="1:20" s="80" customFormat="1" x14ac:dyDescent="0.3">
      <c r="A262" s="80" t="s">
        <v>244</v>
      </c>
      <c r="B262" s="81">
        <v>2</v>
      </c>
      <c r="C262" s="80">
        <v>145</v>
      </c>
      <c r="D262" s="80" t="str">
        <f t="shared" si="29"/>
        <v>Kumite</v>
      </c>
      <c r="E262" s="80" t="s">
        <v>288</v>
      </c>
      <c r="F262" s="80" t="s">
        <v>499</v>
      </c>
      <c r="G262" s="81" t="str">
        <f>"3"</f>
        <v>3</v>
      </c>
      <c r="H262" s="80" t="str">
        <f>"3 fős körmérkőzés"</f>
        <v>3 fős körmérkőzés</v>
      </c>
      <c r="I262" s="81" t="str">
        <f>"2"</f>
        <v>2</v>
      </c>
      <c r="J262" s="80" t="str">
        <f>"Ádám Gergő"</f>
        <v>Ádám Gergő</v>
      </c>
      <c r="K262" s="80" t="s">
        <v>37</v>
      </c>
      <c r="L262" s="80" t="str">
        <f t="shared" si="27"/>
        <v>HUN</v>
      </c>
      <c r="M262" s="80">
        <v>0</v>
      </c>
      <c r="N262" s="80" t="s">
        <v>247</v>
      </c>
      <c r="O262" s="80" t="s">
        <v>246</v>
      </c>
      <c r="P262" s="82">
        <v>45360</v>
      </c>
      <c r="Q262" s="80" t="str">
        <f t="shared" si="30"/>
        <v>Ádám Gergő - Kamikaze S</v>
      </c>
      <c r="R262" s="80" t="s">
        <v>636</v>
      </c>
      <c r="S262" s="80" t="s">
        <v>636</v>
      </c>
      <c r="T262" t="s">
        <v>645</v>
      </c>
    </row>
    <row r="263" spans="1:20" s="80" customFormat="1" x14ac:dyDescent="0.3">
      <c r="A263" s="80" t="s">
        <v>244</v>
      </c>
      <c r="B263" s="81">
        <v>2</v>
      </c>
      <c r="C263" s="80">
        <v>146</v>
      </c>
      <c r="D263" s="80" t="str">
        <f t="shared" si="29"/>
        <v>Kumite</v>
      </c>
      <c r="E263" s="80" t="s">
        <v>288</v>
      </c>
      <c r="F263" s="80" t="s">
        <v>499</v>
      </c>
      <c r="G263" s="81" t="str">
        <f>"3"</f>
        <v>3</v>
      </c>
      <c r="H263" s="80" t="str">
        <f>"3 fős körmérkőzés"</f>
        <v>3 fős körmérkőzés</v>
      </c>
      <c r="I263" s="81" t="str">
        <f>"3"</f>
        <v>3</v>
      </c>
      <c r="J263" s="80" t="str">
        <f>"Hámori Csongor "</f>
        <v xml:space="preserve">Hámori Csongor </v>
      </c>
      <c r="K263" s="80" t="s">
        <v>324</v>
      </c>
      <c r="L263" s="80" t="str">
        <f t="shared" si="27"/>
        <v>HUN</v>
      </c>
      <c r="M263" s="80">
        <v>0</v>
      </c>
      <c r="N263" s="80" t="s">
        <v>247</v>
      </c>
      <c r="O263" s="80" t="s">
        <v>246</v>
      </c>
      <c r="P263" s="82">
        <v>45360</v>
      </c>
      <c r="Q263" s="80" t="str">
        <f t="shared" si="30"/>
        <v>Hámori Csongor  - Kapuvári SE</v>
      </c>
      <c r="R263" s="80" t="s">
        <v>636</v>
      </c>
      <c r="S263" s="80" t="s">
        <v>636</v>
      </c>
      <c r="T263" t="s">
        <v>645</v>
      </c>
    </row>
    <row r="264" spans="1:20" s="80" customFormat="1" x14ac:dyDescent="0.3">
      <c r="A264" s="80" t="s">
        <v>244</v>
      </c>
      <c r="B264" s="81">
        <v>2</v>
      </c>
      <c r="C264" s="80">
        <v>147</v>
      </c>
      <c r="D264" s="80" t="str">
        <f t="shared" si="29"/>
        <v>Kumite</v>
      </c>
      <c r="E264" s="80" t="s">
        <v>289</v>
      </c>
      <c r="F264" s="80" t="s">
        <v>500</v>
      </c>
      <c r="G264" s="81" t="str">
        <f>"4"</f>
        <v>4</v>
      </c>
      <c r="H264" s="80" t="str">
        <f>"4 fős körmérkőzés"</f>
        <v>4 fős körmérkőzés</v>
      </c>
      <c r="I264" s="81" t="str">
        <f>"1"</f>
        <v>1</v>
      </c>
      <c r="J264" s="80" t="str">
        <f>"Spanjevic Dániel"</f>
        <v>Spanjevic Dániel</v>
      </c>
      <c r="K264" s="80" t="s">
        <v>47</v>
      </c>
      <c r="L264" s="80" t="str">
        <f t="shared" si="27"/>
        <v>HUN</v>
      </c>
      <c r="M264" s="80">
        <v>0</v>
      </c>
      <c r="N264" s="80" t="s">
        <v>247</v>
      </c>
      <c r="O264" s="80" t="s">
        <v>246</v>
      </c>
      <c r="P264" s="82">
        <v>45360</v>
      </c>
      <c r="Q264" s="80" t="str">
        <f t="shared" si="30"/>
        <v>Spanjevic Dániel - BHMSE</v>
      </c>
      <c r="R264" s="80" t="s">
        <v>636</v>
      </c>
      <c r="S264" s="80" t="s">
        <v>636</v>
      </c>
      <c r="T264" t="s">
        <v>645</v>
      </c>
    </row>
    <row r="265" spans="1:20" s="80" customFormat="1" x14ac:dyDescent="0.3">
      <c r="A265" s="80" t="s">
        <v>244</v>
      </c>
      <c r="B265" s="81">
        <v>2</v>
      </c>
      <c r="C265" s="80">
        <v>148</v>
      </c>
      <c r="D265" s="80" t="str">
        <f t="shared" si="29"/>
        <v>Kumite</v>
      </c>
      <c r="E265" s="80" t="s">
        <v>289</v>
      </c>
      <c r="F265" s="80" t="s">
        <v>500</v>
      </c>
      <c r="G265" s="81" t="str">
        <f>"4"</f>
        <v>4</v>
      </c>
      <c r="H265" s="80" t="str">
        <f>"4 fős körmérkőzés"</f>
        <v>4 fős körmérkőzés</v>
      </c>
      <c r="I265" s="81" t="str">
        <f>"2"</f>
        <v>2</v>
      </c>
      <c r="J265" s="80" t="str">
        <f>"Simon Boldizsár"</f>
        <v>Simon Boldizsár</v>
      </c>
      <c r="K265" s="80" t="s">
        <v>45</v>
      </c>
      <c r="L265" s="80" t="str">
        <f t="shared" si="27"/>
        <v>HUN</v>
      </c>
      <c r="M265" s="80">
        <v>0</v>
      </c>
      <c r="N265" s="80" t="s">
        <v>247</v>
      </c>
      <c r="O265" s="80" t="s">
        <v>246</v>
      </c>
      <c r="P265" s="82">
        <v>45360</v>
      </c>
      <c r="Q265" s="80" t="str">
        <f t="shared" si="30"/>
        <v xml:space="preserve">Simon Boldizsár - Kiai Dojo </v>
      </c>
      <c r="R265" s="80" t="s">
        <v>636</v>
      </c>
      <c r="S265" s="80" t="s">
        <v>636</v>
      </c>
      <c r="T265" t="s">
        <v>645</v>
      </c>
    </row>
    <row r="266" spans="1:20" s="80" customFormat="1" x14ac:dyDescent="0.3">
      <c r="A266" s="80" t="s">
        <v>244</v>
      </c>
      <c r="B266" s="81">
        <v>2</v>
      </c>
      <c r="C266" s="80">
        <v>149</v>
      </c>
      <c r="D266" s="80" t="str">
        <f t="shared" si="29"/>
        <v>Kumite</v>
      </c>
      <c r="E266" s="80" t="s">
        <v>289</v>
      </c>
      <c r="F266" s="80" t="s">
        <v>500</v>
      </c>
      <c r="G266" s="81" t="str">
        <f>"4"</f>
        <v>4</v>
      </c>
      <c r="H266" s="80" t="str">
        <f>"4 fős körmérkőzés"</f>
        <v>4 fős körmérkőzés</v>
      </c>
      <c r="I266" s="81" t="str">
        <f>"3"</f>
        <v>3</v>
      </c>
      <c r="J266" s="80" t="str">
        <f>"Vati András"</f>
        <v>Vati András</v>
      </c>
      <c r="K266" s="80" t="s">
        <v>313</v>
      </c>
      <c r="L266" s="80" t="str">
        <f t="shared" si="27"/>
        <v>HUN</v>
      </c>
      <c r="M266" s="80">
        <v>0</v>
      </c>
      <c r="N266" s="80" t="s">
        <v>247</v>
      </c>
      <c r="O266" s="80" t="s">
        <v>246</v>
      </c>
      <c r="P266" s="82">
        <v>45360</v>
      </c>
      <c r="Q266" s="80" t="str">
        <f t="shared" si="30"/>
        <v>Vati András - Bushido Kaposvár</v>
      </c>
      <c r="R266" s="80" t="s">
        <v>636</v>
      </c>
      <c r="S266" s="80" t="s">
        <v>636</v>
      </c>
      <c r="T266" t="s">
        <v>645</v>
      </c>
    </row>
    <row r="267" spans="1:20" s="80" customFormat="1" x14ac:dyDescent="0.3">
      <c r="A267" s="80" t="s">
        <v>244</v>
      </c>
      <c r="B267" s="81">
        <v>2</v>
      </c>
      <c r="C267" s="80">
        <v>150</v>
      </c>
      <c r="D267" s="80" t="str">
        <f>"Kata"</f>
        <v>Kata</v>
      </c>
      <c r="E267" s="80" t="s">
        <v>290</v>
      </c>
      <c r="F267" s="80" t="s">
        <v>502</v>
      </c>
      <c r="G267" s="81" t="str">
        <f>"2"</f>
        <v>2</v>
      </c>
      <c r="H267" s="80" t="str">
        <f>"2 fős egyenes kiesés"</f>
        <v>2 fős egyenes kiesés</v>
      </c>
      <c r="I267" s="81" t="str">
        <f>"1"</f>
        <v>1</v>
      </c>
      <c r="J267" s="80" t="str">
        <f>"Novák Péter"</f>
        <v>Novák Péter</v>
      </c>
      <c r="K267" s="80" t="s">
        <v>338</v>
      </c>
      <c r="L267" s="80" t="str">
        <f t="shared" si="27"/>
        <v>HUN</v>
      </c>
      <c r="M267" s="80">
        <v>0</v>
      </c>
      <c r="N267" s="80" t="s">
        <v>247</v>
      </c>
      <c r="O267" s="80" t="s">
        <v>246</v>
      </c>
      <c r="P267" s="82">
        <v>45360</v>
      </c>
      <c r="Q267" s="80" t="str">
        <f t="shared" si="30"/>
        <v>Novák Péter - VKKKK SE</v>
      </c>
      <c r="R267" s="80" t="s">
        <v>637</v>
      </c>
      <c r="S267" s="80" t="s">
        <v>170</v>
      </c>
      <c r="T267" t="s">
        <v>645</v>
      </c>
    </row>
    <row r="268" spans="1:20" s="80" customFormat="1" x14ac:dyDescent="0.3">
      <c r="A268" s="80" t="s">
        <v>244</v>
      </c>
      <c r="B268" s="81">
        <v>2</v>
      </c>
      <c r="C268" s="80">
        <v>151</v>
      </c>
      <c r="D268" s="80" t="str">
        <f>"Kata"</f>
        <v>Kata</v>
      </c>
      <c r="E268" s="80" t="s">
        <v>290</v>
      </c>
      <c r="F268" s="80" t="s">
        <v>502</v>
      </c>
      <c r="G268" s="81" t="str">
        <f>"2"</f>
        <v>2</v>
      </c>
      <c r="H268" s="80" t="str">
        <f>"2 fős egyenes kiesés"</f>
        <v>2 fős egyenes kiesés</v>
      </c>
      <c r="I268" s="81" t="str">
        <f>"2"</f>
        <v>2</v>
      </c>
      <c r="J268" s="80" t="str">
        <f>"Spanjevic Dániel"</f>
        <v>Spanjevic Dániel</v>
      </c>
      <c r="K268" s="80" t="s">
        <v>47</v>
      </c>
      <c r="L268" s="80" t="str">
        <f t="shared" si="27"/>
        <v>HUN</v>
      </c>
      <c r="M268" s="80">
        <v>0</v>
      </c>
      <c r="N268" s="80" t="s">
        <v>247</v>
      </c>
      <c r="O268" s="80" t="s">
        <v>246</v>
      </c>
      <c r="P268" s="82">
        <v>45360</v>
      </c>
      <c r="Q268" s="80" t="str">
        <f t="shared" si="30"/>
        <v>Spanjevic Dániel - BHMSE</v>
      </c>
      <c r="R268" s="80" t="s">
        <v>636</v>
      </c>
      <c r="S268" s="80" t="s">
        <v>636</v>
      </c>
      <c r="T268" t="s">
        <v>645</v>
      </c>
    </row>
    <row r="269" spans="1:20" s="80" customFormat="1" x14ac:dyDescent="0.3">
      <c r="A269" s="80" t="s">
        <v>244</v>
      </c>
      <c r="B269" s="81">
        <v>2</v>
      </c>
      <c r="C269" s="80">
        <v>152</v>
      </c>
      <c r="D269" s="80" t="str">
        <f t="shared" ref="D269:D274" si="31">"Kumite"</f>
        <v>Kumite</v>
      </c>
      <c r="E269" s="80" t="s">
        <v>299</v>
      </c>
      <c r="F269" s="80" t="s">
        <v>505</v>
      </c>
      <c r="G269" s="81" t="str">
        <f>"4"</f>
        <v>4</v>
      </c>
      <c r="H269" s="80" t="str">
        <f>"4 fős körmérkőzés"</f>
        <v>4 fős körmérkőzés</v>
      </c>
      <c r="I269" s="81" t="str">
        <f>"1"</f>
        <v>1</v>
      </c>
      <c r="J269" s="80" t="str">
        <f>"Bánky Liliána"</f>
        <v>Bánky Liliána</v>
      </c>
      <c r="K269" s="80" t="s">
        <v>47</v>
      </c>
      <c r="L269" s="80" t="str">
        <f t="shared" si="27"/>
        <v>HUN</v>
      </c>
      <c r="M269" s="80">
        <v>0</v>
      </c>
      <c r="N269" s="80" t="s">
        <v>247</v>
      </c>
      <c r="O269" s="80" t="s">
        <v>246</v>
      </c>
      <c r="P269" s="82">
        <v>45360</v>
      </c>
      <c r="Q269" s="80" t="str">
        <f t="shared" si="30"/>
        <v>Bánky Liliána - BHMSE</v>
      </c>
      <c r="R269" s="80" t="s">
        <v>636</v>
      </c>
      <c r="S269" s="80" t="s">
        <v>636</v>
      </c>
      <c r="T269" t="s">
        <v>645</v>
      </c>
    </row>
    <row r="270" spans="1:20" s="80" customFormat="1" x14ac:dyDescent="0.3">
      <c r="A270" s="80" t="s">
        <v>244</v>
      </c>
      <c r="B270" s="81">
        <v>2</v>
      </c>
      <c r="C270" s="80">
        <v>153</v>
      </c>
      <c r="D270" s="80" t="str">
        <f t="shared" si="31"/>
        <v>Kumite</v>
      </c>
      <c r="E270" s="80" t="s">
        <v>299</v>
      </c>
      <c r="F270" s="80" t="s">
        <v>505</v>
      </c>
      <c r="G270" s="81" t="str">
        <f>"4"</f>
        <v>4</v>
      </c>
      <c r="H270" s="80" t="str">
        <f>"4 fős körmérkőzés"</f>
        <v>4 fős körmérkőzés</v>
      </c>
      <c r="I270" s="81" t="str">
        <f>"2"</f>
        <v>2</v>
      </c>
      <c r="J270" s="80" t="str">
        <f>"Bagdi Alexa Zita"</f>
        <v>Bagdi Alexa Zita</v>
      </c>
      <c r="K270" s="80" t="s">
        <v>47</v>
      </c>
      <c r="L270" s="80" t="str">
        <f t="shared" si="27"/>
        <v>HUN</v>
      </c>
      <c r="M270" s="80">
        <v>0</v>
      </c>
      <c r="N270" s="80" t="s">
        <v>247</v>
      </c>
      <c r="O270" s="80" t="s">
        <v>246</v>
      </c>
      <c r="P270" s="82">
        <v>45360</v>
      </c>
      <c r="Q270" s="80" t="str">
        <f t="shared" si="30"/>
        <v>Bagdi Alexa Zita - BHMSE</v>
      </c>
      <c r="R270" s="80" t="s">
        <v>636</v>
      </c>
      <c r="S270" s="80" t="s">
        <v>636</v>
      </c>
      <c r="T270" t="s">
        <v>645</v>
      </c>
    </row>
    <row r="271" spans="1:20" s="80" customFormat="1" x14ac:dyDescent="0.3">
      <c r="A271" s="80" t="s">
        <v>244</v>
      </c>
      <c r="B271" s="81">
        <v>2</v>
      </c>
      <c r="C271" s="80">
        <v>154</v>
      </c>
      <c r="D271" s="80" t="str">
        <f t="shared" si="31"/>
        <v>Kumite</v>
      </c>
      <c r="E271" s="80" t="s">
        <v>299</v>
      </c>
      <c r="F271" s="80" t="s">
        <v>505</v>
      </c>
      <c r="G271" s="81" t="str">
        <f>"4"</f>
        <v>4</v>
      </c>
      <c r="H271" s="80" t="str">
        <f>"4 fős körmérkőzés"</f>
        <v>4 fős körmérkőzés</v>
      </c>
      <c r="I271" s="81" t="str">
        <f>"3"</f>
        <v>3</v>
      </c>
      <c r="J271" s="80" t="str">
        <f>"Imre Zoé Julianna"</f>
        <v>Imre Zoé Julianna</v>
      </c>
      <c r="K271" s="80" t="s">
        <v>150</v>
      </c>
      <c r="L271" s="80" t="str">
        <f t="shared" si="27"/>
        <v>HUN</v>
      </c>
      <c r="M271" s="80">
        <v>0</v>
      </c>
      <c r="N271" s="80" t="s">
        <v>247</v>
      </c>
      <c r="O271" s="80" t="s">
        <v>246</v>
      </c>
      <c r="P271" s="82">
        <v>45360</v>
      </c>
      <c r="Q271" s="80" t="str">
        <f t="shared" si="30"/>
        <v>Imre Zoé Julianna - KSE Tarján</v>
      </c>
      <c r="R271" s="80" t="s">
        <v>636</v>
      </c>
      <c r="S271" s="80" t="s">
        <v>636</v>
      </c>
      <c r="T271" t="s">
        <v>645</v>
      </c>
    </row>
    <row r="272" spans="1:20" s="80" customFormat="1" x14ac:dyDescent="0.3">
      <c r="A272" s="80" t="s">
        <v>244</v>
      </c>
      <c r="B272" s="81">
        <v>2</v>
      </c>
      <c r="C272" s="80">
        <v>155</v>
      </c>
      <c r="D272" s="80" t="str">
        <f t="shared" si="31"/>
        <v>Kumite</v>
      </c>
      <c r="E272" s="80" t="s">
        <v>300</v>
      </c>
      <c r="F272" s="80" t="s">
        <v>508</v>
      </c>
      <c r="G272" s="81" t="str">
        <f>"3"</f>
        <v>3</v>
      </c>
      <c r="H272" s="80" t="str">
        <f>"3 fős körmérkőzés"</f>
        <v>3 fős körmérkőzés</v>
      </c>
      <c r="I272" s="81" t="str">
        <f>"1"</f>
        <v>1</v>
      </c>
      <c r="J272" s="80" t="str">
        <f>"Varga Borbála"</f>
        <v>Varga Borbála</v>
      </c>
      <c r="K272" s="80" t="s">
        <v>37</v>
      </c>
      <c r="L272" s="80" t="str">
        <f t="shared" si="27"/>
        <v>HUN</v>
      </c>
      <c r="M272" s="80">
        <v>0</v>
      </c>
      <c r="N272" s="80" t="s">
        <v>247</v>
      </c>
      <c r="O272" s="80" t="s">
        <v>246</v>
      </c>
      <c r="P272" s="82">
        <v>45360</v>
      </c>
      <c r="Q272" s="80" t="str">
        <f t="shared" si="30"/>
        <v>Varga Borbála - Kamikaze S</v>
      </c>
      <c r="R272" s="80" t="s">
        <v>636</v>
      </c>
      <c r="S272" s="80" t="s">
        <v>636</v>
      </c>
      <c r="T272" t="s">
        <v>645</v>
      </c>
    </row>
    <row r="273" spans="1:20" s="80" customFormat="1" x14ac:dyDescent="0.3">
      <c r="A273" s="80" t="s">
        <v>244</v>
      </c>
      <c r="B273" s="81">
        <v>2</v>
      </c>
      <c r="C273" s="80">
        <v>156</v>
      </c>
      <c r="D273" s="80" t="str">
        <f t="shared" si="31"/>
        <v>Kumite</v>
      </c>
      <c r="E273" s="80" t="s">
        <v>300</v>
      </c>
      <c r="F273" s="80" t="s">
        <v>508</v>
      </c>
      <c r="G273" s="81" t="str">
        <f>"3"</f>
        <v>3</v>
      </c>
      <c r="H273" s="80" t="str">
        <f>"3 fős körmérkőzés"</f>
        <v>3 fős körmérkőzés</v>
      </c>
      <c r="I273" s="81" t="str">
        <f>"2"</f>
        <v>2</v>
      </c>
      <c r="J273" s="80" t="str">
        <f>"Keszte Julia"</f>
        <v>Keszte Julia</v>
      </c>
      <c r="K273" s="80" t="s">
        <v>324</v>
      </c>
      <c r="L273" s="80" t="str">
        <f t="shared" si="27"/>
        <v>HUN</v>
      </c>
      <c r="M273" s="80">
        <v>0</v>
      </c>
      <c r="N273" s="80" t="s">
        <v>247</v>
      </c>
      <c r="O273" s="80" t="s">
        <v>246</v>
      </c>
      <c r="P273" s="82">
        <v>45360</v>
      </c>
      <c r="Q273" s="80" t="str">
        <f t="shared" si="30"/>
        <v>Keszte Julia - Kapuvári SE</v>
      </c>
      <c r="R273" s="80" t="s">
        <v>636</v>
      </c>
      <c r="S273" s="80" t="s">
        <v>636</v>
      </c>
      <c r="T273" t="s">
        <v>645</v>
      </c>
    </row>
    <row r="274" spans="1:20" s="80" customFormat="1" x14ac:dyDescent="0.3">
      <c r="A274" s="80" t="s">
        <v>244</v>
      </c>
      <c r="B274" s="81">
        <v>2</v>
      </c>
      <c r="C274" s="80">
        <v>157</v>
      </c>
      <c r="D274" s="80" t="str">
        <f t="shared" si="31"/>
        <v>Kumite</v>
      </c>
      <c r="E274" s="80" t="s">
        <v>300</v>
      </c>
      <c r="F274" s="80" t="s">
        <v>508</v>
      </c>
      <c r="G274" s="81" t="str">
        <f>"3"</f>
        <v>3</v>
      </c>
      <c r="H274" s="80" t="str">
        <f>"3 fős körmérkőzés"</f>
        <v>3 fős körmérkőzés</v>
      </c>
      <c r="I274" s="81" t="str">
        <f>"3"</f>
        <v>3</v>
      </c>
      <c r="J274" s="80" t="str">
        <f>"Kis Mónika"</f>
        <v>Kis Mónika</v>
      </c>
      <c r="K274" s="80" t="s">
        <v>65</v>
      </c>
      <c r="L274" s="80" t="str">
        <f t="shared" si="27"/>
        <v>HUN</v>
      </c>
      <c r="M274" s="80">
        <v>0</v>
      </c>
      <c r="N274" s="80" t="s">
        <v>247</v>
      </c>
      <c r="O274" s="80" t="s">
        <v>246</v>
      </c>
      <c r="P274" s="82">
        <v>45360</v>
      </c>
      <c r="Q274" s="80" t="str">
        <f t="shared" si="30"/>
        <v>Kis Mónika - Főnix Dojo</v>
      </c>
      <c r="R274" s="80" t="s">
        <v>636</v>
      </c>
      <c r="S274" s="80" t="s">
        <v>636</v>
      </c>
      <c r="T274" t="s">
        <v>645</v>
      </c>
    </row>
    <row r="275" spans="1:20" s="80" customFormat="1" x14ac:dyDescent="0.3">
      <c r="A275" s="80" t="s">
        <v>244</v>
      </c>
      <c r="B275" s="81">
        <v>2</v>
      </c>
      <c r="C275" s="80">
        <v>158</v>
      </c>
      <c r="D275" s="80" t="str">
        <f>"Kata"</f>
        <v>Kata</v>
      </c>
      <c r="E275" s="80" t="s">
        <v>301</v>
      </c>
      <c r="F275" s="80" t="s">
        <v>503</v>
      </c>
      <c r="G275" s="81" t="str">
        <f>"4"</f>
        <v>4</v>
      </c>
      <c r="H275" s="80" t="str">
        <f>"4 fős egyenes kiesés + 3. hely"</f>
        <v>4 fős egyenes kiesés + 3. hely</v>
      </c>
      <c r="I275" s="81" t="str">
        <f>"1"</f>
        <v>1</v>
      </c>
      <c r="J275" s="80" t="str">
        <f>"Kis Mónika"</f>
        <v>Kis Mónika</v>
      </c>
      <c r="K275" s="80" t="s">
        <v>65</v>
      </c>
      <c r="L275" s="80" t="str">
        <f t="shared" si="27"/>
        <v>HUN</v>
      </c>
      <c r="M275" s="80">
        <v>0</v>
      </c>
      <c r="N275" s="80" t="s">
        <v>247</v>
      </c>
      <c r="O275" s="80" t="s">
        <v>246</v>
      </c>
      <c r="P275" s="82">
        <v>45360</v>
      </c>
      <c r="Q275" s="80" t="str">
        <f t="shared" si="30"/>
        <v>Kis Mónika - Főnix Dojo</v>
      </c>
      <c r="R275" s="80" t="s">
        <v>636</v>
      </c>
      <c r="S275" s="80" t="s">
        <v>636</v>
      </c>
      <c r="T275" t="s">
        <v>645</v>
      </c>
    </row>
    <row r="276" spans="1:20" s="80" customFormat="1" x14ac:dyDescent="0.3">
      <c r="A276" s="80" t="s">
        <v>244</v>
      </c>
      <c r="B276" s="81">
        <v>2</v>
      </c>
      <c r="C276" s="80">
        <v>159</v>
      </c>
      <c r="D276" s="80" t="str">
        <f>"Kata"</f>
        <v>Kata</v>
      </c>
      <c r="E276" s="80" t="s">
        <v>301</v>
      </c>
      <c r="F276" s="80" t="s">
        <v>503</v>
      </c>
      <c r="G276" s="81" t="str">
        <f>"4"</f>
        <v>4</v>
      </c>
      <c r="H276" s="80" t="str">
        <f>"4 fős egyenes kiesés + 3. hely"</f>
        <v>4 fős egyenes kiesés + 3. hely</v>
      </c>
      <c r="I276" s="81" t="str">
        <f>"2"</f>
        <v>2</v>
      </c>
      <c r="J276" s="80" t="str">
        <f>"Csurgai Anna"</f>
        <v>Csurgai Anna</v>
      </c>
      <c r="K276" s="80" t="s">
        <v>309</v>
      </c>
      <c r="L276" s="80" t="str">
        <f t="shared" si="27"/>
        <v>HUN</v>
      </c>
      <c r="M276" s="80">
        <v>0</v>
      </c>
      <c r="N276" s="80" t="s">
        <v>247</v>
      </c>
      <c r="O276" s="80" t="s">
        <v>246</v>
      </c>
      <c r="P276" s="82">
        <v>45360</v>
      </c>
      <c r="Q276" s="80" t="str">
        <f t="shared" si="30"/>
        <v>Csurgai Anna - POWER SE.</v>
      </c>
      <c r="R276" s="80" t="s">
        <v>636</v>
      </c>
      <c r="S276" s="80" t="s">
        <v>636</v>
      </c>
      <c r="T276" t="s">
        <v>645</v>
      </c>
    </row>
    <row r="277" spans="1:20" s="80" customFormat="1" x14ac:dyDescent="0.3">
      <c r="A277" s="80" t="s">
        <v>244</v>
      </c>
      <c r="B277" s="81">
        <v>2</v>
      </c>
      <c r="C277" s="80">
        <v>160</v>
      </c>
      <c r="D277" s="80" t="str">
        <f>"Kata"</f>
        <v>Kata</v>
      </c>
      <c r="E277" s="80" t="s">
        <v>301</v>
      </c>
      <c r="F277" s="80" t="s">
        <v>503</v>
      </c>
      <c r="G277" s="81" t="str">
        <f>"4"</f>
        <v>4</v>
      </c>
      <c r="H277" s="80" t="str">
        <f>"4 fős egyenes kiesés + 3. hely"</f>
        <v>4 fős egyenes kiesés + 3. hely</v>
      </c>
      <c r="I277" s="81" t="str">
        <f>"4"</f>
        <v>4</v>
      </c>
      <c r="J277" s="80" t="str">
        <f>"Nádi Viktória"</f>
        <v>Nádi Viktória</v>
      </c>
      <c r="K277" s="80" t="s">
        <v>310</v>
      </c>
      <c r="L277" s="80" t="str">
        <f t="shared" si="27"/>
        <v>HUN</v>
      </c>
      <c r="M277" s="80">
        <v>0</v>
      </c>
      <c r="N277" s="80" t="s">
        <v>247</v>
      </c>
      <c r="O277" s="80" t="s">
        <v>246</v>
      </c>
      <c r="P277" s="82">
        <v>45360</v>
      </c>
      <c r="Q277" s="80" t="str">
        <f t="shared" si="30"/>
        <v>Nádi Viktória - ARSC</v>
      </c>
      <c r="R277" s="80" t="s">
        <v>636</v>
      </c>
      <c r="S277" s="80" t="s">
        <v>636</v>
      </c>
      <c r="T277" t="s">
        <v>645</v>
      </c>
    </row>
    <row r="278" spans="1:20" s="80" customFormat="1" x14ac:dyDescent="0.3">
      <c r="A278" s="80" t="s">
        <v>244</v>
      </c>
      <c r="B278" s="81">
        <v>2</v>
      </c>
      <c r="C278" s="80">
        <v>161</v>
      </c>
      <c r="D278" s="80" t="str">
        <f>"Kumite"</f>
        <v>Kumite</v>
      </c>
      <c r="E278" s="80" t="s">
        <v>288</v>
      </c>
      <c r="F278" s="80" t="s">
        <v>499</v>
      </c>
      <c r="G278" s="81" t="str">
        <f>"3"</f>
        <v>3</v>
      </c>
      <c r="H278" s="80" t="str">
        <f>"3 fős körmérkőzés"</f>
        <v>3 fős körmérkőzés</v>
      </c>
      <c r="I278" s="81" t="str">
        <f>"1"</f>
        <v>1</v>
      </c>
      <c r="J278" s="80" t="str">
        <f>"Ludszky Tamás"</f>
        <v>Ludszky Tamás</v>
      </c>
      <c r="K278" s="80" t="s">
        <v>65</v>
      </c>
      <c r="L278" s="80" t="str">
        <f t="shared" si="27"/>
        <v>HUN</v>
      </c>
      <c r="M278" s="80">
        <v>0</v>
      </c>
      <c r="N278" s="80" t="s">
        <v>247</v>
      </c>
      <c r="O278" s="80" t="s">
        <v>246</v>
      </c>
      <c r="P278" s="82">
        <v>45360</v>
      </c>
      <c r="Q278" s="80" t="str">
        <f t="shared" si="30"/>
        <v>Ludszky Tamás - Főnix Dojo</v>
      </c>
      <c r="R278" s="80" t="s">
        <v>636</v>
      </c>
      <c r="S278" s="80" t="s">
        <v>636</v>
      </c>
      <c r="T278" t="s">
        <v>645</v>
      </c>
    </row>
    <row r="279" spans="1:20" s="80" customFormat="1" x14ac:dyDescent="0.3">
      <c r="A279" s="80" t="s">
        <v>244</v>
      </c>
      <c r="B279" s="81">
        <v>2</v>
      </c>
      <c r="C279" s="80">
        <v>162</v>
      </c>
      <c r="D279" s="80" t="str">
        <f>"Kata"</f>
        <v>Kata</v>
      </c>
      <c r="E279" s="80" t="s">
        <v>301</v>
      </c>
      <c r="F279" s="80" t="s">
        <v>503</v>
      </c>
      <c r="G279" s="81" t="str">
        <f>"4"</f>
        <v>4</v>
      </c>
      <c r="H279" s="80" t="str">
        <f>"4 fős egyenes kiesés + 3. hely"</f>
        <v>4 fős egyenes kiesés + 3. hely</v>
      </c>
      <c r="I279" s="81" t="str">
        <f>"3"</f>
        <v>3</v>
      </c>
      <c r="J279" s="80" t="str">
        <f>"Kiss Benigna"</f>
        <v>Kiss Benigna</v>
      </c>
      <c r="K279" s="80" t="s">
        <v>310</v>
      </c>
      <c r="L279" s="80" t="str">
        <f t="shared" si="27"/>
        <v>HUN</v>
      </c>
      <c r="M279" s="80">
        <v>0</v>
      </c>
      <c r="N279" s="80" t="s">
        <v>247</v>
      </c>
      <c r="O279" s="80" t="s">
        <v>246</v>
      </c>
      <c r="P279" s="82">
        <v>45360</v>
      </c>
      <c r="Q279" s="80" t="str">
        <f t="shared" si="30"/>
        <v>Kiss Benigna - ARSC</v>
      </c>
      <c r="R279" s="80" t="s">
        <v>636</v>
      </c>
      <c r="S279" s="80" t="s">
        <v>636</v>
      </c>
      <c r="T279" t="s">
        <v>645</v>
      </c>
    </row>
    <row r="280" spans="1:20" x14ac:dyDescent="0.3">
      <c r="A280" t="s">
        <v>245</v>
      </c>
      <c r="B280" s="50">
        <v>2</v>
      </c>
      <c r="C280">
        <v>1</v>
      </c>
      <c r="D280" t="str">
        <f t="shared" ref="D280:D291" si="32">"Kumite"</f>
        <v>Kumite</v>
      </c>
      <c r="E280" t="s">
        <v>249</v>
      </c>
      <c r="F280" s="83" t="s">
        <v>509</v>
      </c>
      <c r="G280" s="50" t="str">
        <f>"10"</f>
        <v>10</v>
      </c>
      <c r="H280" t="str">
        <f>"16 fős egyenes kiesés"</f>
        <v>16 fős egyenes kiesés</v>
      </c>
      <c r="I280" s="50" t="str">
        <f>"1"</f>
        <v>1</v>
      </c>
      <c r="J280" t="str">
        <f>"Tarr Bence"</f>
        <v>Tarr Bence</v>
      </c>
      <c r="K280" t="s">
        <v>14</v>
      </c>
      <c r="L280" t="str">
        <f t="shared" si="27"/>
        <v>HUN</v>
      </c>
      <c r="M280" s="83">
        <v>8</v>
      </c>
      <c r="O280" t="s">
        <v>248</v>
      </c>
      <c r="P280" s="78">
        <v>45367</v>
      </c>
      <c r="Q280" t="str">
        <f t="shared" si="30"/>
        <v>Tarr Bence - Shogun</v>
      </c>
      <c r="R280" t="s">
        <v>636</v>
      </c>
      <c r="S280" t="s">
        <v>636</v>
      </c>
      <c r="T280" t="s">
        <v>645</v>
      </c>
    </row>
    <row r="281" spans="1:20" x14ac:dyDescent="0.3">
      <c r="A281" t="s">
        <v>245</v>
      </c>
      <c r="B281" s="50">
        <v>2</v>
      </c>
      <c r="C281">
        <v>2</v>
      </c>
      <c r="D281" t="str">
        <f t="shared" si="32"/>
        <v>Kumite</v>
      </c>
      <c r="E281" t="s">
        <v>249</v>
      </c>
      <c r="F281" s="83" t="s">
        <v>509</v>
      </c>
      <c r="G281" s="50" t="str">
        <f>"10"</f>
        <v>10</v>
      </c>
      <c r="H281" t="str">
        <f>"16 fős egyenes kiesés"</f>
        <v>16 fős egyenes kiesés</v>
      </c>
      <c r="I281" s="50" t="str">
        <f>"2"</f>
        <v>2</v>
      </c>
      <c r="J281" t="str">
        <f>"Szabó Alex Dominik"</f>
        <v>Szabó Alex Dominik</v>
      </c>
      <c r="K281" t="s">
        <v>14</v>
      </c>
      <c r="L281" t="str">
        <f t="shared" si="27"/>
        <v>HUN</v>
      </c>
      <c r="M281" s="83">
        <v>6</v>
      </c>
      <c r="O281" t="s">
        <v>248</v>
      </c>
      <c r="P281" s="78">
        <v>45367</v>
      </c>
      <c r="Q281" t="str">
        <f t="shared" si="30"/>
        <v>Szabó Alex Dominik - Shogun</v>
      </c>
      <c r="R281" t="s">
        <v>636</v>
      </c>
      <c r="S281" t="s">
        <v>636</v>
      </c>
      <c r="T281" t="s">
        <v>645</v>
      </c>
    </row>
    <row r="282" spans="1:20" x14ac:dyDescent="0.3">
      <c r="A282" t="s">
        <v>245</v>
      </c>
      <c r="B282" s="50">
        <v>2</v>
      </c>
      <c r="C282">
        <v>3</v>
      </c>
      <c r="D282" t="str">
        <f t="shared" si="32"/>
        <v>Kumite</v>
      </c>
      <c r="E282" t="s">
        <v>249</v>
      </c>
      <c r="F282" s="83" t="s">
        <v>509</v>
      </c>
      <c r="G282" s="50" t="str">
        <f>"10"</f>
        <v>10</v>
      </c>
      <c r="H282" t="str">
        <f>"16 fős egyenes kiesés"</f>
        <v>16 fős egyenes kiesés</v>
      </c>
      <c r="I282" s="50" t="str">
        <f>"3"</f>
        <v>3</v>
      </c>
      <c r="J282" t="str">
        <f>"Kis Olivér"</f>
        <v>Kis Olivér</v>
      </c>
      <c r="K282" t="s">
        <v>151</v>
      </c>
      <c r="L282" t="str">
        <f t="shared" si="27"/>
        <v>HUN</v>
      </c>
      <c r="M282" s="83">
        <v>4</v>
      </c>
      <c r="O282" t="s">
        <v>248</v>
      </c>
      <c r="P282" s="78">
        <v>45367</v>
      </c>
      <c r="Q282" t="str">
        <f t="shared" si="30"/>
        <v>Kis Olivér - KYO Fighter SE</v>
      </c>
      <c r="R282" t="s">
        <v>636</v>
      </c>
      <c r="S282" t="s">
        <v>636</v>
      </c>
      <c r="T282" t="s">
        <v>645</v>
      </c>
    </row>
    <row r="283" spans="1:20" x14ac:dyDescent="0.3">
      <c r="A283" t="s">
        <v>245</v>
      </c>
      <c r="B283" s="50">
        <v>2</v>
      </c>
      <c r="C283">
        <v>4</v>
      </c>
      <c r="D283" t="str">
        <f t="shared" si="32"/>
        <v>Kumite</v>
      </c>
      <c r="E283" t="s">
        <v>249</v>
      </c>
      <c r="F283" s="83" t="s">
        <v>509</v>
      </c>
      <c r="G283" s="50" t="str">
        <f>"10"</f>
        <v>10</v>
      </c>
      <c r="H283" t="str">
        <f>"16 fős egyenes kiesés"</f>
        <v>16 fős egyenes kiesés</v>
      </c>
      <c r="I283" s="50" t="str">
        <f>"3"</f>
        <v>3</v>
      </c>
      <c r="J283" t="str">
        <f>"Sádt Zénó"</f>
        <v>Sádt Zénó</v>
      </c>
      <c r="K283" t="s">
        <v>312</v>
      </c>
      <c r="L283" t="str">
        <f t="shared" si="27"/>
        <v>HUN</v>
      </c>
      <c r="M283" s="83">
        <v>4</v>
      </c>
      <c r="O283" t="s">
        <v>248</v>
      </c>
      <c r="P283" s="78">
        <v>45367</v>
      </c>
      <c r="Q283" t="str">
        <f t="shared" si="30"/>
        <v>Sádt Zénó - Buke Reikon HRSE</v>
      </c>
      <c r="R283" t="s">
        <v>636</v>
      </c>
      <c r="S283" t="s">
        <v>636</v>
      </c>
      <c r="T283" t="s">
        <v>645</v>
      </c>
    </row>
    <row r="284" spans="1:20" x14ac:dyDescent="0.3">
      <c r="A284" t="s">
        <v>245</v>
      </c>
      <c r="B284" s="50">
        <v>2</v>
      </c>
      <c r="C284">
        <v>5</v>
      </c>
      <c r="D284" t="str">
        <f t="shared" si="32"/>
        <v>Kumite</v>
      </c>
      <c r="E284" t="s">
        <v>250</v>
      </c>
      <c r="F284" s="83" t="s">
        <v>511</v>
      </c>
      <c r="G284" s="50" t="str">
        <f>"4"</f>
        <v>4</v>
      </c>
      <c r="H284" t="str">
        <f>"4 fős körmérkőzés"</f>
        <v>4 fős körmérkőzés</v>
      </c>
      <c r="I284" s="50" t="str">
        <f>"1"</f>
        <v>1</v>
      </c>
      <c r="J284" t="str">
        <f>"Kiss Adrián"</f>
        <v>Kiss Adrián</v>
      </c>
      <c r="K284" t="s">
        <v>326</v>
      </c>
      <c r="L284" t="str">
        <f t="shared" si="27"/>
        <v>HUN</v>
      </c>
      <c r="M284" s="83">
        <v>6</v>
      </c>
      <c r="O284" t="s">
        <v>248</v>
      </c>
      <c r="P284" s="78">
        <v>45367</v>
      </c>
      <c r="Q284" t="str">
        <f t="shared" si="30"/>
        <v>Kiss Adrián - Keizoku SE</v>
      </c>
      <c r="R284" t="s">
        <v>636</v>
      </c>
      <c r="S284" t="s">
        <v>636</v>
      </c>
      <c r="T284" t="s">
        <v>645</v>
      </c>
    </row>
    <row r="285" spans="1:20" x14ac:dyDescent="0.3">
      <c r="A285" t="s">
        <v>245</v>
      </c>
      <c r="B285" s="50">
        <v>2</v>
      </c>
      <c r="C285">
        <v>6</v>
      </c>
      <c r="D285" t="str">
        <f t="shared" si="32"/>
        <v>Kumite</v>
      </c>
      <c r="E285" t="s">
        <v>250</v>
      </c>
      <c r="F285" s="83" t="s">
        <v>511</v>
      </c>
      <c r="G285" s="50" t="str">
        <f>"4"</f>
        <v>4</v>
      </c>
      <c r="H285" t="str">
        <f>"4 fős körmérkőzés"</f>
        <v>4 fős körmérkőzés</v>
      </c>
      <c r="I285" s="50" t="str">
        <f>"2"</f>
        <v>2</v>
      </c>
      <c r="J285" t="str">
        <f>"Eszenyi Barnabás"</f>
        <v>Eszenyi Barnabás</v>
      </c>
      <c r="K285" t="s">
        <v>14</v>
      </c>
      <c r="L285" t="str">
        <f t="shared" si="27"/>
        <v>HUN</v>
      </c>
      <c r="M285" s="83">
        <v>5</v>
      </c>
      <c r="O285" t="s">
        <v>248</v>
      </c>
      <c r="P285" s="78">
        <v>45367</v>
      </c>
      <c r="Q285" t="str">
        <f t="shared" si="30"/>
        <v>Eszenyi Barnabás - Shogun</v>
      </c>
      <c r="R285" t="s">
        <v>636</v>
      </c>
      <c r="S285" t="s">
        <v>636</v>
      </c>
      <c r="T285" t="s">
        <v>645</v>
      </c>
    </row>
    <row r="286" spans="1:20" x14ac:dyDescent="0.3">
      <c r="A286" t="s">
        <v>245</v>
      </c>
      <c r="B286" s="50">
        <v>2</v>
      </c>
      <c r="C286">
        <v>7</v>
      </c>
      <c r="D286" t="str">
        <f t="shared" si="32"/>
        <v>Kumite</v>
      </c>
      <c r="E286" t="s">
        <v>250</v>
      </c>
      <c r="F286" s="83" t="s">
        <v>511</v>
      </c>
      <c r="G286" s="50" t="str">
        <f>"4"</f>
        <v>4</v>
      </c>
      <c r="H286" t="str">
        <f>"4 fős körmérkőzés"</f>
        <v>4 fős körmérkőzés</v>
      </c>
      <c r="I286" s="50" t="str">
        <f>"3"</f>
        <v>3</v>
      </c>
      <c r="J286" t="str">
        <f>"Remenyik Péter"</f>
        <v>Remenyik Péter</v>
      </c>
      <c r="K286" t="s">
        <v>14</v>
      </c>
      <c r="L286" t="str">
        <f t="shared" si="27"/>
        <v>HUN</v>
      </c>
      <c r="M286" s="83">
        <v>3</v>
      </c>
      <c r="O286" t="s">
        <v>248</v>
      </c>
      <c r="P286" s="78">
        <v>45367</v>
      </c>
      <c r="Q286" t="str">
        <f t="shared" si="30"/>
        <v>Remenyik Péter - Shogun</v>
      </c>
      <c r="R286" t="s">
        <v>636</v>
      </c>
      <c r="S286" t="s">
        <v>636</v>
      </c>
      <c r="T286" t="s">
        <v>645</v>
      </c>
    </row>
    <row r="287" spans="1:20" x14ac:dyDescent="0.3">
      <c r="A287" t="s">
        <v>245</v>
      </c>
      <c r="B287" s="50">
        <v>2</v>
      </c>
      <c r="C287">
        <v>8</v>
      </c>
      <c r="D287" t="str">
        <f t="shared" si="32"/>
        <v>Kumite</v>
      </c>
      <c r="E287" t="s">
        <v>251</v>
      </c>
      <c r="F287" s="83" t="s">
        <v>513</v>
      </c>
      <c r="G287" s="50" t="str">
        <f t="shared" ref="G287:G297" si="33">"12"</f>
        <v>12</v>
      </c>
      <c r="H287" t="str">
        <f t="shared" ref="H287:H297" si="34">"16 fős egyenes kiesés"</f>
        <v>16 fős egyenes kiesés</v>
      </c>
      <c r="I287" s="50" t="str">
        <f>"1"</f>
        <v>1</v>
      </c>
      <c r="J287" t="str">
        <f>"Szabó Zsombor"</f>
        <v>Szabó Zsombor</v>
      </c>
      <c r="K287" t="s">
        <v>312</v>
      </c>
      <c r="L287" t="str">
        <f t="shared" si="27"/>
        <v>HUN</v>
      </c>
      <c r="M287" s="83">
        <v>8</v>
      </c>
      <c r="O287" t="s">
        <v>248</v>
      </c>
      <c r="P287" s="78">
        <v>45367</v>
      </c>
      <c r="Q287" t="str">
        <f t="shared" si="30"/>
        <v>Szabó Zsombor - Buke Reikon HRSE</v>
      </c>
      <c r="R287" t="s">
        <v>636</v>
      </c>
      <c r="S287" t="s">
        <v>636</v>
      </c>
      <c r="T287" t="s">
        <v>645</v>
      </c>
    </row>
    <row r="288" spans="1:20" x14ac:dyDescent="0.3">
      <c r="A288" t="s">
        <v>245</v>
      </c>
      <c r="B288" s="50">
        <v>2</v>
      </c>
      <c r="C288">
        <v>9</v>
      </c>
      <c r="D288" t="str">
        <f t="shared" si="32"/>
        <v>Kumite</v>
      </c>
      <c r="E288" t="s">
        <v>251</v>
      </c>
      <c r="F288" s="83" t="s">
        <v>513</v>
      </c>
      <c r="G288" s="50" t="str">
        <f t="shared" si="33"/>
        <v>12</v>
      </c>
      <c r="H288" t="str">
        <f t="shared" si="34"/>
        <v>16 fős egyenes kiesés</v>
      </c>
      <c r="I288" s="50" t="str">
        <f>"2"</f>
        <v>2</v>
      </c>
      <c r="J288" t="str">
        <f>"Kiss István"</f>
        <v>Kiss István</v>
      </c>
      <c r="K288" t="s">
        <v>318</v>
      </c>
      <c r="L288" t="str">
        <f t="shared" si="27"/>
        <v>HUN</v>
      </c>
      <c r="M288" s="83">
        <v>6</v>
      </c>
      <c r="O288" t="s">
        <v>248</v>
      </c>
      <c r="P288" s="78">
        <v>45367</v>
      </c>
      <c r="Q288" t="str">
        <f t="shared" si="30"/>
        <v>Kiss István - Derecske BUDO</v>
      </c>
      <c r="R288" t="s">
        <v>636</v>
      </c>
      <c r="S288" t="s">
        <v>636</v>
      </c>
      <c r="T288" t="s">
        <v>645</v>
      </c>
    </row>
    <row r="289" spans="1:20" x14ac:dyDescent="0.3">
      <c r="A289" t="s">
        <v>245</v>
      </c>
      <c r="B289" s="50">
        <v>2</v>
      </c>
      <c r="C289">
        <v>10</v>
      </c>
      <c r="D289" t="str">
        <f t="shared" si="32"/>
        <v>Kumite</v>
      </c>
      <c r="E289" t="s">
        <v>251</v>
      </c>
      <c r="F289" s="83" t="s">
        <v>513</v>
      </c>
      <c r="G289" s="50" t="str">
        <f t="shared" si="33"/>
        <v>12</v>
      </c>
      <c r="H289" t="str">
        <f t="shared" si="34"/>
        <v>16 fős egyenes kiesés</v>
      </c>
      <c r="I289" s="50" t="str">
        <f>"3"</f>
        <v>3</v>
      </c>
      <c r="J289" t="str">
        <f>"Némethy Balázs"</f>
        <v>Némethy Balázs</v>
      </c>
      <c r="K289" t="s">
        <v>14</v>
      </c>
      <c r="L289" t="str">
        <f t="shared" ref="L289:L352" si="35">"HUN"</f>
        <v>HUN</v>
      </c>
      <c r="M289" s="83">
        <v>4</v>
      </c>
      <c r="O289" t="s">
        <v>248</v>
      </c>
      <c r="P289" s="78">
        <v>45367</v>
      </c>
      <c r="Q289" t="str">
        <f t="shared" si="30"/>
        <v>Némethy Balázs - Shogun</v>
      </c>
      <c r="R289" t="s">
        <v>636</v>
      </c>
      <c r="S289" t="s">
        <v>636</v>
      </c>
      <c r="T289" t="s">
        <v>645</v>
      </c>
    </row>
    <row r="290" spans="1:20" x14ac:dyDescent="0.3">
      <c r="A290" t="s">
        <v>245</v>
      </c>
      <c r="B290" s="50">
        <v>2</v>
      </c>
      <c r="C290">
        <v>11</v>
      </c>
      <c r="D290" t="str">
        <f t="shared" si="32"/>
        <v>Kumite</v>
      </c>
      <c r="E290" t="s">
        <v>251</v>
      </c>
      <c r="F290" s="83" t="s">
        <v>513</v>
      </c>
      <c r="G290" s="50" t="str">
        <f t="shared" si="33"/>
        <v>12</v>
      </c>
      <c r="H290" t="str">
        <f t="shared" si="34"/>
        <v>16 fős egyenes kiesés</v>
      </c>
      <c r="I290" s="50" t="str">
        <f>"3"</f>
        <v>3</v>
      </c>
      <c r="J290" t="str">
        <f>"Gyuricska Benedek"</f>
        <v>Gyuricska Benedek</v>
      </c>
      <c r="K290" t="s">
        <v>14</v>
      </c>
      <c r="L290" t="str">
        <f t="shared" si="35"/>
        <v>HUN</v>
      </c>
      <c r="M290" s="83">
        <v>4</v>
      </c>
      <c r="O290" t="s">
        <v>248</v>
      </c>
      <c r="P290" s="78">
        <v>45367</v>
      </c>
      <c r="Q290" t="str">
        <f t="shared" si="30"/>
        <v>Gyuricska Benedek - Shogun</v>
      </c>
      <c r="R290" t="s">
        <v>636</v>
      </c>
      <c r="S290" t="s">
        <v>636</v>
      </c>
      <c r="T290" t="s">
        <v>645</v>
      </c>
    </row>
    <row r="291" spans="1:20" x14ac:dyDescent="0.3">
      <c r="A291" t="s">
        <v>245</v>
      </c>
      <c r="B291" s="50">
        <v>2</v>
      </c>
      <c r="C291">
        <v>11</v>
      </c>
      <c r="D291" t="str">
        <f t="shared" si="32"/>
        <v>Kumite</v>
      </c>
      <c r="E291" t="s">
        <v>251</v>
      </c>
      <c r="F291" s="83" t="s">
        <v>513</v>
      </c>
      <c r="G291" s="50" t="str">
        <f t="shared" si="33"/>
        <v>12</v>
      </c>
      <c r="H291" t="str">
        <f t="shared" si="34"/>
        <v>16 fős egyenes kiesés</v>
      </c>
      <c r="I291" s="67" t="s">
        <v>302</v>
      </c>
      <c r="J291" t="s">
        <v>19</v>
      </c>
      <c r="K291" t="s">
        <v>14</v>
      </c>
      <c r="L291" t="str">
        <f t="shared" si="35"/>
        <v>HUN</v>
      </c>
      <c r="M291" s="83">
        <v>2</v>
      </c>
      <c r="N291" t="s">
        <v>304</v>
      </c>
      <c r="O291" t="s">
        <v>248</v>
      </c>
      <c r="P291" s="78">
        <v>45367</v>
      </c>
      <c r="Q291" t="str">
        <f t="shared" si="30"/>
        <v>Szabó Bence - Shogun</v>
      </c>
      <c r="R291" t="s">
        <v>636</v>
      </c>
      <c r="S291" t="s">
        <v>636</v>
      </c>
      <c r="T291" t="s">
        <v>645</v>
      </c>
    </row>
    <row r="292" spans="1:20" x14ac:dyDescent="0.3">
      <c r="A292" t="s">
        <v>245</v>
      </c>
      <c r="B292" s="50">
        <v>2</v>
      </c>
      <c r="C292">
        <v>12</v>
      </c>
      <c r="D292" t="str">
        <f t="shared" ref="D292:D297" si="36">"Kata"</f>
        <v>Kata</v>
      </c>
      <c r="E292" t="s">
        <v>252</v>
      </c>
      <c r="F292" s="83" t="s">
        <v>514</v>
      </c>
      <c r="G292" s="50" t="str">
        <f t="shared" si="33"/>
        <v>12</v>
      </c>
      <c r="H292" t="str">
        <f t="shared" si="34"/>
        <v>16 fős egyenes kiesés</v>
      </c>
      <c r="I292" s="50" t="str">
        <f>"1"</f>
        <v>1</v>
      </c>
      <c r="J292" t="str">
        <f>"Hegedűs Botond"</f>
        <v>Hegedűs Botond</v>
      </c>
      <c r="K292" t="s">
        <v>326</v>
      </c>
      <c r="L292" t="str">
        <f t="shared" si="35"/>
        <v>HUN</v>
      </c>
      <c r="M292" s="83">
        <v>6</v>
      </c>
      <c r="O292" t="s">
        <v>248</v>
      </c>
      <c r="P292" s="78">
        <v>45367</v>
      </c>
      <c r="Q292" t="str">
        <f t="shared" si="30"/>
        <v>Hegedűs Botond - Keizoku SE</v>
      </c>
      <c r="R292" t="s">
        <v>636</v>
      </c>
      <c r="S292" t="s">
        <v>636</v>
      </c>
      <c r="T292" t="s">
        <v>645</v>
      </c>
    </row>
    <row r="293" spans="1:20" x14ac:dyDescent="0.3">
      <c r="A293" t="s">
        <v>245</v>
      </c>
      <c r="B293" s="50">
        <v>2</v>
      </c>
      <c r="C293">
        <v>13</v>
      </c>
      <c r="D293" t="str">
        <f t="shared" si="36"/>
        <v>Kata</v>
      </c>
      <c r="E293" t="s">
        <v>252</v>
      </c>
      <c r="F293" s="83" t="s">
        <v>514</v>
      </c>
      <c r="G293" s="50" t="str">
        <f t="shared" si="33"/>
        <v>12</v>
      </c>
      <c r="H293" t="str">
        <f t="shared" si="34"/>
        <v>16 fős egyenes kiesés</v>
      </c>
      <c r="I293" s="50" t="str">
        <f>"2"</f>
        <v>2</v>
      </c>
      <c r="J293" t="str">
        <f>"Eszenyi Barnabás"</f>
        <v>Eszenyi Barnabás</v>
      </c>
      <c r="K293" t="s">
        <v>14</v>
      </c>
      <c r="L293" t="str">
        <f t="shared" si="35"/>
        <v>HUN</v>
      </c>
      <c r="M293" s="83">
        <v>5</v>
      </c>
      <c r="O293" t="s">
        <v>248</v>
      </c>
      <c r="P293" s="78">
        <v>45367</v>
      </c>
      <c r="Q293" t="str">
        <f t="shared" si="30"/>
        <v>Eszenyi Barnabás - Shogun</v>
      </c>
      <c r="R293" t="s">
        <v>636</v>
      </c>
      <c r="S293" t="s">
        <v>636</v>
      </c>
      <c r="T293" t="s">
        <v>645</v>
      </c>
    </row>
    <row r="294" spans="1:20" x14ac:dyDescent="0.3">
      <c r="A294" t="s">
        <v>245</v>
      </c>
      <c r="B294" s="50">
        <v>2</v>
      </c>
      <c r="C294">
        <v>14</v>
      </c>
      <c r="D294" t="str">
        <f t="shared" si="36"/>
        <v>Kata</v>
      </c>
      <c r="E294" t="s">
        <v>252</v>
      </c>
      <c r="F294" s="83" t="s">
        <v>514</v>
      </c>
      <c r="G294" s="50" t="str">
        <f t="shared" si="33"/>
        <v>12</v>
      </c>
      <c r="H294" t="str">
        <f t="shared" si="34"/>
        <v>16 fős egyenes kiesés</v>
      </c>
      <c r="I294" s="50" t="str">
        <f>"3"</f>
        <v>3</v>
      </c>
      <c r="J294" t="str">
        <f>"Pajkos Dominik"</f>
        <v>Pajkos Dominik</v>
      </c>
      <c r="K294" t="s">
        <v>14</v>
      </c>
      <c r="L294" t="str">
        <f t="shared" si="35"/>
        <v>HUN</v>
      </c>
      <c r="M294" s="83">
        <v>3</v>
      </c>
      <c r="O294" t="s">
        <v>248</v>
      </c>
      <c r="P294" s="78">
        <v>45367</v>
      </c>
      <c r="Q294" t="str">
        <f t="shared" si="30"/>
        <v>Pajkos Dominik - Shogun</v>
      </c>
      <c r="R294" t="s">
        <v>636</v>
      </c>
      <c r="S294" t="s">
        <v>636</v>
      </c>
      <c r="T294" t="s">
        <v>645</v>
      </c>
    </row>
    <row r="295" spans="1:20" x14ac:dyDescent="0.3">
      <c r="A295" t="s">
        <v>245</v>
      </c>
      <c r="B295" s="50">
        <v>2</v>
      </c>
      <c r="C295">
        <v>15</v>
      </c>
      <c r="D295" t="str">
        <f t="shared" si="36"/>
        <v>Kata</v>
      </c>
      <c r="E295" t="s">
        <v>252</v>
      </c>
      <c r="F295" s="83" t="s">
        <v>514</v>
      </c>
      <c r="G295" s="50" t="str">
        <f t="shared" si="33"/>
        <v>12</v>
      </c>
      <c r="H295" t="str">
        <f t="shared" si="34"/>
        <v>16 fős egyenes kiesés</v>
      </c>
      <c r="I295" s="50" t="str">
        <f>"3"</f>
        <v>3</v>
      </c>
      <c r="J295" t="str">
        <f>"Tarr Bence"</f>
        <v>Tarr Bence</v>
      </c>
      <c r="K295" t="s">
        <v>14</v>
      </c>
      <c r="L295" t="str">
        <f t="shared" si="35"/>
        <v>HUN</v>
      </c>
      <c r="M295" s="83">
        <v>3</v>
      </c>
      <c r="O295" t="s">
        <v>248</v>
      </c>
      <c r="P295" s="78">
        <v>45367</v>
      </c>
      <c r="Q295" t="str">
        <f t="shared" si="30"/>
        <v>Tarr Bence - Shogun</v>
      </c>
      <c r="R295" t="s">
        <v>636</v>
      </c>
      <c r="S295" t="s">
        <v>636</v>
      </c>
      <c r="T295" t="s">
        <v>645</v>
      </c>
    </row>
    <row r="296" spans="1:20" x14ac:dyDescent="0.3">
      <c r="A296" t="s">
        <v>245</v>
      </c>
      <c r="B296" s="50">
        <v>2</v>
      </c>
      <c r="C296">
        <v>15</v>
      </c>
      <c r="D296" t="str">
        <f t="shared" si="36"/>
        <v>Kata</v>
      </c>
      <c r="E296" t="s">
        <v>252</v>
      </c>
      <c r="F296" s="83" t="s">
        <v>514</v>
      </c>
      <c r="G296" s="50" t="str">
        <f t="shared" si="33"/>
        <v>12</v>
      </c>
      <c r="H296" t="str">
        <f t="shared" si="34"/>
        <v>16 fős egyenes kiesés</v>
      </c>
      <c r="I296" s="67" t="s">
        <v>302</v>
      </c>
      <c r="J296" t="s">
        <v>358</v>
      </c>
      <c r="K296" t="s">
        <v>317</v>
      </c>
      <c r="L296" t="str">
        <f t="shared" si="35"/>
        <v>HUN</v>
      </c>
      <c r="M296" s="83">
        <v>1</v>
      </c>
      <c r="N296" t="s">
        <v>304</v>
      </c>
      <c r="O296" t="s">
        <v>248</v>
      </c>
      <c r="P296" s="78">
        <v>45367</v>
      </c>
      <c r="Q296" t="str">
        <f t="shared" si="30"/>
        <v>Balla Adrián - Délegyházi Karate SE</v>
      </c>
      <c r="R296" t="s">
        <v>637</v>
      </c>
      <c r="S296" t="s">
        <v>597</v>
      </c>
      <c r="T296" t="s">
        <v>645</v>
      </c>
    </row>
    <row r="297" spans="1:20" x14ac:dyDescent="0.3">
      <c r="A297" t="s">
        <v>245</v>
      </c>
      <c r="B297" s="50">
        <v>2</v>
      </c>
      <c r="C297">
        <v>15</v>
      </c>
      <c r="D297" t="str">
        <f t="shared" si="36"/>
        <v>Kata</v>
      </c>
      <c r="E297" t="s">
        <v>252</v>
      </c>
      <c r="F297" s="83" t="s">
        <v>514</v>
      </c>
      <c r="G297" s="50" t="str">
        <f t="shared" si="33"/>
        <v>12</v>
      </c>
      <c r="H297" t="str">
        <f t="shared" si="34"/>
        <v>16 fős egyenes kiesés</v>
      </c>
      <c r="I297" s="67" t="s">
        <v>302</v>
      </c>
      <c r="J297" t="s">
        <v>359</v>
      </c>
      <c r="K297" t="s">
        <v>318</v>
      </c>
      <c r="L297" t="str">
        <f t="shared" si="35"/>
        <v>HUN</v>
      </c>
      <c r="M297" s="83">
        <v>1</v>
      </c>
      <c r="N297" t="s">
        <v>304</v>
      </c>
      <c r="O297" t="s">
        <v>248</v>
      </c>
      <c r="P297" s="78">
        <v>45367</v>
      </c>
      <c r="Q297" t="str">
        <f t="shared" si="30"/>
        <v>Kiss István - Derecske BUDO</v>
      </c>
      <c r="R297" t="s">
        <v>636</v>
      </c>
      <c r="S297" t="s">
        <v>636</v>
      </c>
      <c r="T297" t="s">
        <v>645</v>
      </c>
    </row>
    <row r="298" spans="1:20" x14ac:dyDescent="0.3">
      <c r="A298" t="s">
        <v>245</v>
      </c>
      <c r="B298" s="50">
        <v>2</v>
      </c>
      <c r="C298">
        <v>16</v>
      </c>
      <c r="D298" t="str">
        <f t="shared" ref="D298:D306" si="37">"Kumite"</f>
        <v>Kumite</v>
      </c>
      <c r="E298" t="s">
        <v>253</v>
      </c>
      <c r="F298" s="83" t="s">
        <v>515</v>
      </c>
      <c r="G298" s="50" t="str">
        <f>"3"</f>
        <v>3</v>
      </c>
      <c r="H298" t="str">
        <f>"3 fős körmérkőzés"</f>
        <v>3 fős körmérkőzés</v>
      </c>
      <c r="I298" s="50" t="str">
        <f>"1"</f>
        <v>1</v>
      </c>
      <c r="J298" t="str">
        <f>"Fagbola Esther"</f>
        <v>Fagbola Esther</v>
      </c>
      <c r="K298" t="s">
        <v>87</v>
      </c>
      <c r="L298" t="str">
        <f t="shared" si="35"/>
        <v>HUN</v>
      </c>
      <c r="M298">
        <v>4</v>
      </c>
      <c r="O298" t="s">
        <v>248</v>
      </c>
      <c r="P298" s="78">
        <v>45367</v>
      </c>
      <c r="Q298" t="str">
        <f t="shared" si="30"/>
        <v>Fagbola Esther - Victory</v>
      </c>
      <c r="R298" t="s">
        <v>636</v>
      </c>
      <c r="S298" t="s">
        <v>636</v>
      </c>
      <c r="T298" t="s">
        <v>645</v>
      </c>
    </row>
    <row r="299" spans="1:20" x14ac:dyDescent="0.3">
      <c r="A299" t="s">
        <v>245</v>
      </c>
      <c r="B299" s="50">
        <v>2</v>
      </c>
      <c r="C299">
        <v>17</v>
      </c>
      <c r="D299" t="str">
        <f t="shared" si="37"/>
        <v>Kumite</v>
      </c>
      <c r="E299" t="s">
        <v>253</v>
      </c>
      <c r="F299" s="83" t="s">
        <v>515</v>
      </c>
      <c r="G299" s="50" t="str">
        <f>"3"</f>
        <v>3</v>
      </c>
      <c r="H299" t="str">
        <f>"3 fős körmérkőzés"</f>
        <v>3 fős körmérkőzés</v>
      </c>
      <c r="I299" s="50" t="str">
        <f>"2"</f>
        <v>2</v>
      </c>
      <c r="J299" t="str">
        <f>"Fürjesi Eszter"</f>
        <v>Fürjesi Eszter</v>
      </c>
      <c r="K299" t="s">
        <v>14</v>
      </c>
      <c r="L299" t="str">
        <f t="shared" si="35"/>
        <v>HUN</v>
      </c>
      <c r="M299">
        <v>3</v>
      </c>
      <c r="O299" t="s">
        <v>248</v>
      </c>
      <c r="P299" s="78">
        <v>45367</v>
      </c>
      <c r="Q299" t="str">
        <f t="shared" si="30"/>
        <v>Fürjesi Eszter - Shogun</v>
      </c>
      <c r="R299" t="s">
        <v>636</v>
      </c>
      <c r="S299" t="s">
        <v>636</v>
      </c>
      <c r="T299" t="s">
        <v>645</v>
      </c>
    </row>
    <row r="300" spans="1:20" x14ac:dyDescent="0.3">
      <c r="A300" t="s">
        <v>245</v>
      </c>
      <c r="B300" s="50">
        <v>2</v>
      </c>
      <c r="C300">
        <v>18</v>
      </c>
      <c r="D300" t="str">
        <f t="shared" si="37"/>
        <v>Kumite</v>
      </c>
      <c r="E300" t="s">
        <v>253</v>
      </c>
      <c r="F300" s="83" t="s">
        <v>515</v>
      </c>
      <c r="G300" s="50" t="str">
        <f>"3"</f>
        <v>3</v>
      </c>
      <c r="H300" t="str">
        <f>"3 fős körmérkőzés"</f>
        <v>3 fős körmérkőzés</v>
      </c>
      <c r="I300" s="50" t="str">
        <f>"3"</f>
        <v>3</v>
      </c>
      <c r="J300" t="str">
        <f>"Kigó Boróka"</f>
        <v>Kigó Boróka</v>
      </c>
      <c r="K300" t="s">
        <v>87</v>
      </c>
      <c r="L300" t="str">
        <f t="shared" si="35"/>
        <v>HUN</v>
      </c>
      <c r="M300">
        <v>0</v>
      </c>
      <c r="N300" t="s">
        <v>158</v>
      </c>
      <c r="O300" t="s">
        <v>248</v>
      </c>
      <c r="P300" s="78">
        <v>45367</v>
      </c>
      <c r="Q300" t="str">
        <f t="shared" si="30"/>
        <v>Kigó Boróka - Victory</v>
      </c>
      <c r="R300" t="s">
        <v>636</v>
      </c>
      <c r="S300" t="s">
        <v>636</v>
      </c>
      <c r="T300" t="s">
        <v>645</v>
      </c>
    </row>
    <row r="301" spans="1:20" x14ac:dyDescent="0.3">
      <c r="A301" t="s">
        <v>245</v>
      </c>
      <c r="B301" s="50">
        <v>2</v>
      </c>
      <c r="C301">
        <v>19</v>
      </c>
      <c r="D301" t="str">
        <f t="shared" si="37"/>
        <v>Kumite</v>
      </c>
      <c r="E301" t="s">
        <v>254</v>
      </c>
      <c r="F301" s="83" t="s">
        <v>516</v>
      </c>
      <c r="G301" s="50" t="str">
        <f>"4"</f>
        <v>4</v>
      </c>
      <c r="H301" t="str">
        <f>"4 fős körmérkőzés"</f>
        <v>4 fős körmérkőzés</v>
      </c>
      <c r="I301" s="50" t="str">
        <f>"1"</f>
        <v>1</v>
      </c>
      <c r="J301" t="str">
        <f>"MOLNÁR MINKA"</f>
        <v>MOLNÁR MINKA</v>
      </c>
      <c r="K301" t="s">
        <v>87</v>
      </c>
      <c r="L301" t="str">
        <f t="shared" si="35"/>
        <v>HUN</v>
      </c>
      <c r="M301">
        <v>6</v>
      </c>
      <c r="O301" t="s">
        <v>248</v>
      </c>
      <c r="P301" s="78">
        <v>45367</v>
      </c>
      <c r="Q301" t="str">
        <f t="shared" si="30"/>
        <v>MOLNÁR MINKA - Victory</v>
      </c>
      <c r="R301" t="s">
        <v>636</v>
      </c>
      <c r="S301" t="s">
        <v>636</v>
      </c>
      <c r="T301" t="s">
        <v>645</v>
      </c>
    </row>
    <row r="302" spans="1:20" x14ac:dyDescent="0.3">
      <c r="A302" t="s">
        <v>245</v>
      </c>
      <c r="B302" s="50">
        <v>2</v>
      </c>
      <c r="C302">
        <v>20</v>
      </c>
      <c r="D302" t="str">
        <f t="shared" si="37"/>
        <v>Kumite</v>
      </c>
      <c r="E302" t="s">
        <v>254</v>
      </c>
      <c r="F302" s="83" t="s">
        <v>516</v>
      </c>
      <c r="G302" s="50" t="str">
        <f>"4"</f>
        <v>4</v>
      </c>
      <c r="H302" t="str">
        <f>"4 fős körmérkőzés"</f>
        <v>4 fős körmérkőzés</v>
      </c>
      <c r="I302" s="50" t="str">
        <f>"2"</f>
        <v>2</v>
      </c>
      <c r="J302" t="str">
        <f>"Téglási Kamilla"</f>
        <v>Téglási Kamilla</v>
      </c>
      <c r="K302" t="s">
        <v>51</v>
      </c>
      <c r="L302" t="str">
        <f t="shared" si="35"/>
        <v>HUN</v>
      </c>
      <c r="M302">
        <v>5</v>
      </c>
      <c r="O302" t="s">
        <v>248</v>
      </c>
      <c r="P302" s="78">
        <v>45367</v>
      </c>
      <c r="Q302" t="str">
        <f t="shared" si="30"/>
        <v>Téglási Kamilla - Kisvárda KKDOSC</v>
      </c>
      <c r="R302" t="s">
        <v>636</v>
      </c>
      <c r="S302" t="s">
        <v>636</v>
      </c>
      <c r="T302" t="s">
        <v>645</v>
      </c>
    </row>
    <row r="303" spans="1:20" x14ac:dyDescent="0.3">
      <c r="A303" t="s">
        <v>245</v>
      </c>
      <c r="B303" s="50">
        <v>2</v>
      </c>
      <c r="C303">
        <v>21</v>
      </c>
      <c r="D303" t="str">
        <f t="shared" si="37"/>
        <v>Kumite</v>
      </c>
      <c r="E303" t="s">
        <v>254</v>
      </c>
      <c r="F303" s="83" t="s">
        <v>516</v>
      </c>
      <c r="G303" s="50" t="str">
        <f>"4"</f>
        <v>4</v>
      </c>
      <c r="H303" t="str">
        <f>"4 fős körmérkőzés"</f>
        <v>4 fős körmérkőzés</v>
      </c>
      <c r="I303" s="50" t="str">
        <f>"3"</f>
        <v>3</v>
      </c>
      <c r="J303" t="str">
        <f>"Matkó Gréta"</f>
        <v>Matkó Gréta</v>
      </c>
      <c r="K303" t="s">
        <v>35</v>
      </c>
      <c r="L303" t="str">
        <f t="shared" si="35"/>
        <v>HUN</v>
      </c>
      <c r="M303">
        <v>3</v>
      </c>
      <c r="O303" t="s">
        <v>248</v>
      </c>
      <c r="P303" s="78">
        <v>45367</v>
      </c>
      <c r="Q303" t="str">
        <f t="shared" si="30"/>
        <v>Matkó Gréta - KHSE</v>
      </c>
      <c r="R303" t="s">
        <v>636</v>
      </c>
      <c r="S303" t="s">
        <v>636</v>
      </c>
      <c r="T303" t="s">
        <v>645</v>
      </c>
    </row>
    <row r="304" spans="1:20" x14ac:dyDescent="0.3">
      <c r="A304" t="s">
        <v>245</v>
      </c>
      <c r="B304" s="50">
        <v>2</v>
      </c>
      <c r="C304">
        <v>22</v>
      </c>
      <c r="D304" t="str">
        <f t="shared" si="37"/>
        <v>Kumite</v>
      </c>
      <c r="E304" t="s">
        <v>255</v>
      </c>
      <c r="F304" s="83" t="s">
        <v>519</v>
      </c>
      <c r="G304" s="50" t="str">
        <f>"3"</f>
        <v>3</v>
      </c>
      <c r="H304" t="str">
        <f>"3 fős körmérkőzés"</f>
        <v>3 fős körmérkőzés</v>
      </c>
      <c r="I304" s="50" t="str">
        <f>"1"</f>
        <v>1</v>
      </c>
      <c r="J304" t="str">
        <f>"Pósán Nóra"</f>
        <v>Pósán Nóra</v>
      </c>
      <c r="K304" t="s">
        <v>331</v>
      </c>
      <c r="L304" t="str">
        <f t="shared" si="35"/>
        <v>HUN</v>
      </c>
      <c r="M304">
        <v>4</v>
      </c>
      <c r="O304" t="s">
        <v>248</v>
      </c>
      <c r="P304" s="78">
        <v>45367</v>
      </c>
      <c r="Q304" t="str">
        <f t="shared" si="30"/>
        <v>Pósán Nóra - Nyíradonyi KKE</v>
      </c>
      <c r="R304" t="s">
        <v>636</v>
      </c>
      <c r="S304" t="s">
        <v>636</v>
      </c>
      <c r="T304" t="s">
        <v>645</v>
      </c>
    </row>
    <row r="305" spans="1:20" x14ac:dyDescent="0.3">
      <c r="A305" t="s">
        <v>245</v>
      </c>
      <c r="B305" s="50">
        <v>2</v>
      </c>
      <c r="C305">
        <v>23</v>
      </c>
      <c r="D305" t="str">
        <f t="shared" si="37"/>
        <v>Kumite</v>
      </c>
      <c r="E305" t="s">
        <v>255</v>
      </c>
      <c r="F305" s="83" t="s">
        <v>519</v>
      </c>
      <c r="G305" s="50" t="str">
        <f>"3"</f>
        <v>3</v>
      </c>
      <c r="H305" t="str">
        <f>"3 fős körmérkőzés"</f>
        <v>3 fős körmérkőzés</v>
      </c>
      <c r="I305" s="50" t="str">
        <f>"2"</f>
        <v>2</v>
      </c>
      <c r="J305" t="str">
        <f>"Szabó Lilla"</f>
        <v>Szabó Lilla</v>
      </c>
      <c r="K305" t="s">
        <v>335</v>
      </c>
      <c r="L305" t="str">
        <f t="shared" si="35"/>
        <v>HUN</v>
      </c>
      <c r="M305">
        <v>3</v>
      </c>
      <c r="O305" t="s">
        <v>248</v>
      </c>
      <c r="P305" s="78">
        <v>45367</v>
      </c>
      <c r="Q305" t="str">
        <f t="shared" si="30"/>
        <v>Szabó Lilla - ShinzóDojo</v>
      </c>
      <c r="R305" t="s">
        <v>636</v>
      </c>
      <c r="S305" t="s">
        <v>636</v>
      </c>
      <c r="T305" t="s">
        <v>645</v>
      </c>
    </row>
    <row r="306" spans="1:20" x14ac:dyDescent="0.3">
      <c r="A306" t="s">
        <v>245</v>
      </c>
      <c r="B306" s="50">
        <v>2</v>
      </c>
      <c r="C306">
        <v>24</v>
      </c>
      <c r="D306" t="str">
        <f t="shared" si="37"/>
        <v>Kumite</v>
      </c>
      <c r="E306" t="s">
        <v>255</v>
      </c>
      <c r="F306" s="83" t="s">
        <v>519</v>
      </c>
      <c r="G306" s="50" t="str">
        <f>"3"</f>
        <v>3</v>
      </c>
      <c r="H306" t="str">
        <f>"3 fős körmérkőzés"</f>
        <v>3 fős körmérkőzés</v>
      </c>
      <c r="I306" s="50" t="str">
        <f>"3"</f>
        <v>3</v>
      </c>
      <c r="J306" t="str">
        <f>"Czekmeiszter Maja Lili"</f>
        <v>Czekmeiszter Maja Lili</v>
      </c>
      <c r="K306" t="s">
        <v>82</v>
      </c>
      <c r="L306" t="str">
        <f t="shared" si="35"/>
        <v>HUN</v>
      </c>
      <c r="M306">
        <v>0</v>
      </c>
      <c r="N306" t="s">
        <v>158</v>
      </c>
      <c r="O306" t="s">
        <v>248</v>
      </c>
      <c r="P306" s="78">
        <v>45367</v>
      </c>
      <c r="Q306" t="str">
        <f t="shared" si="30"/>
        <v>Czekmeiszter Maja Lili - Bátor KSE</v>
      </c>
      <c r="R306" t="s">
        <v>636</v>
      </c>
      <c r="S306" t="s">
        <v>636</v>
      </c>
      <c r="T306" t="s">
        <v>645</v>
      </c>
    </row>
    <row r="307" spans="1:20" x14ac:dyDescent="0.3">
      <c r="A307" t="s">
        <v>245</v>
      </c>
      <c r="B307" s="50">
        <v>2</v>
      </c>
      <c r="C307">
        <v>25</v>
      </c>
      <c r="D307" t="str">
        <f>"Kata"</f>
        <v>Kata</v>
      </c>
      <c r="E307" t="s">
        <v>256</v>
      </c>
      <c r="F307" s="83" t="s">
        <v>520</v>
      </c>
      <c r="G307" s="50" t="str">
        <f>"7"</f>
        <v>7</v>
      </c>
      <c r="H307" t="str">
        <f>"8 fős egyenes kiesés"</f>
        <v>8 fős egyenes kiesés</v>
      </c>
      <c r="I307" s="50" t="str">
        <f>"1"</f>
        <v>1</v>
      </c>
      <c r="J307" t="str">
        <f>"Fagbola Esther"</f>
        <v>Fagbola Esther</v>
      </c>
      <c r="K307" t="s">
        <v>87</v>
      </c>
      <c r="L307" t="str">
        <f t="shared" si="35"/>
        <v>HUN</v>
      </c>
      <c r="M307">
        <v>5</v>
      </c>
      <c r="O307" t="s">
        <v>248</v>
      </c>
      <c r="P307" s="78">
        <v>45367</v>
      </c>
      <c r="Q307" t="str">
        <f t="shared" si="30"/>
        <v>Fagbola Esther - Victory</v>
      </c>
      <c r="R307" t="s">
        <v>636</v>
      </c>
      <c r="S307" t="s">
        <v>636</v>
      </c>
      <c r="T307" t="s">
        <v>645</v>
      </c>
    </row>
    <row r="308" spans="1:20" x14ac:dyDescent="0.3">
      <c r="A308" t="s">
        <v>245</v>
      </c>
      <c r="B308" s="50">
        <v>2</v>
      </c>
      <c r="C308">
        <v>26</v>
      </c>
      <c r="D308" t="str">
        <f>"Kata"</f>
        <v>Kata</v>
      </c>
      <c r="E308" t="s">
        <v>256</v>
      </c>
      <c r="F308" s="83" t="s">
        <v>520</v>
      </c>
      <c r="G308" s="50" t="str">
        <f>"7"</f>
        <v>7</v>
      </c>
      <c r="H308" t="str">
        <f>"8 fős egyenes kiesés"</f>
        <v>8 fős egyenes kiesés</v>
      </c>
      <c r="I308" s="50" t="str">
        <f>"2"</f>
        <v>2</v>
      </c>
      <c r="J308" t="str">
        <f>"MOLNÁR MINKA"</f>
        <v>MOLNÁR MINKA</v>
      </c>
      <c r="K308" t="s">
        <v>87</v>
      </c>
      <c r="L308" t="str">
        <f t="shared" si="35"/>
        <v>HUN</v>
      </c>
      <c r="M308">
        <v>4</v>
      </c>
      <c r="O308" t="s">
        <v>248</v>
      </c>
      <c r="P308" s="78">
        <v>45367</v>
      </c>
      <c r="Q308" t="str">
        <f t="shared" si="30"/>
        <v>MOLNÁR MINKA - Victory</v>
      </c>
      <c r="R308" t="s">
        <v>636</v>
      </c>
      <c r="S308" t="s">
        <v>636</v>
      </c>
      <c r="T308" t="s">
        <v>645</v>
      </c>
    </row>
    <row r="309" spans="1:20" x14ac:dyDescent="0.3">
      <c r="A309" t="s">
        <v>245</v>
      </c>
      <c r="B309" s="50">
        <v>2</v>
      </c>
      <c r="C309">
        <v>27</v>
      </c>
      <c r="D309" t="str">
        <f>"Kata"</f>
        <v>Kata</v>
      </c>
      <c r="E309" t="s">
        <v>256</v>
      </c>
      <c r="F309" s="83" t="s">
        <v>520</v>
      </c>
      <c r="G309" s="50" t="str">
        <f>"7"</f>
        <v>7</v>
      </c>
      <c r="H309" t="str">
        <f>"8 fős egyenes kiesés"</f>
        <v>8 fős egyenes kiesés</v>
      </c>
      <c r="I309" s="50" t="str">
        <f>"3"</f>
        <v>3</v>
      </c>
      <c r="J309" t="str">
        <f>"Damu Zsanett"</f>
        <v>Damu Zsanett</v>
      </c>
      <c r="K309" t="s">
        <v>149</v>
      </c>
      <c r="L309" t="str">
        <f t="shared" si="35"/>
        <v>HUN</v>
      </c>
      <c r="M309">
        <v>2</v>
      </c>
      <c r="O309" t="s">
        <v>248</v>
      </c>
      <c r="P309" s="78">
        <v>45367</v>
      </c>
      <c r="Q309" t="str">
        <f t="shared" si="30"/>
        <v>Damu Zsanett - Kagami</v>
      </c>
      <c r="R309" t="s">
        <v>636</v>
      </c>
      <c r="S309" t="s">
        <v>636</v>
      </c>
      <c r="T309" t="s">
        <v>645</v>
      </c>
    </row>
    <row r="310" spans="1:20" x14ac:dyDescent="0.3">
      <c r="A310" t="s">
        <v>245</v>
      </c>
      <c r="B310" s="50">
        <v>2</v>
      </c>
      <c r="C310">
        <v>28</v>
      </c>
      <c r="D310" t="str">
        <f>"Kata"</f>
        <v>Kata</v>
      </c>
      <c r="E310" t="s">
        <v>256</v>
      </c>
      <c r="F310" s="83" t="s">
        <v>520</v>
      </c>
      <c r="G310" s="50" t="str">
        <f>"7"</f>
        <v>7</v>
      </c>
      <c r="H310" t="str">
        <f>"8 fős egyenes kiesés"</f>
        <v>8 fős egyenes kiesés</v>
      </c>
      <c r="I310" s="50" t="str">
        <f>"3"</f>
        <v>3</v>
      </c>
      <c r="J310" t="str">
        <f>"Kigó Boróka"</f>
        <v>Kigó Boróka</v>
      </c>
      <c r="K310" t="s">
        <v>87</v>
      </c>
      <c r="L310" t="str">
        <f t="shared" si="35"/>
        <v>HUN</v>
      </c>
      <c r="M310">
        <v>2</v>
      </c>
      <c r="O310" t="s">
        <v>248</v>
      </c>
      <c r="P310" s="78">
        <v>45367</v>
      </c>
      <c r="Q310" t="str">
        <f t="shared" si="30"/>
        <v>Kigó Boróka - Victory</v>
      </c>
      <c r="R310" t="s">
        <v>636</v>
      </c>
      <c r="S310" t="s">
        <v>636</v>
      </c>
      <c r="T310" t="s">
        <v>645</v>
      </c>
    </row>
    <row r="311" spans="1:20" x14ac:dyDescent="0.3">
      <c r="A311" t="s">
        <v>245</v>
      </c>
      <c r="B311" s="50">
        <v>2</v>
      </c>
      <c r="C311">
        <v>29</v>
      </c>
      <c r="D311" t="str">
        <f t="shared" ref="D311:D331" si="38">"Kumite"</f>
        <v>Kumite</v>
      </c>
      <c r="E311" t="s">
        <v>257</v>
      </c>
      <c r="F311" s="83" t="s">
        <v>512</v>
      </c>
      <c r="G311" s="50" t="str">
        <f>"9"</f>
        <v>9</v>
      </c>
      <c r="H311" t="str">
        <f>"16 fős egyenes kiesés"</f>
        <v>16 fős egyenes kiesés</v>
      </c>
      <c r="I311" s="50" t="str">
        <f>"1"</f>
        <v>1</v>
      </c>
      <c r="J311" t="str">
        <f>"Melczner Márk"</f>
        <v>Melczner Márk</v>
      </c>
      <c r="K311" t="s">
        <v>87</v>
      </c>
      <c r="L311" t="str">
        <f t="shared" si="35"/>
        <v>HUN</v>
      </c>
      <c r="M311">
        <v>8</v>
      </c>
      <c r="O311" t="s">
        <v>248</v>
      </c>
      <c r="P311" s="78">
        <v>45367</v>
      </c>
      <c r="Q311" t="str">
        <f t="shared" si="30"/>
        <v>Melczner Márk - Victory</v>
      </c>
      <c r="R311" t="s">
        <v>636</v>
      </c>
      <c r="S311" t="s">
        <v>636</v>
      </c>
      <c r="T311" t="s">
        <v>645</v>
      </c>
    </row>
    <row r="312" spans="1:20" x14ac:dyDescent="0.3">
      <c r="A312" t="s">
        <v>245</v>
      </c>
      <c r="B312" s="50">
        <v>2</v>
      </c>
      <c r="C312">
        <v>30</v>
      </c>
      <c r="D312" t="str">
        <f t="shared" si="38"/>
        <v>Kumite</v>
      </c>
      <c r="E312" t="s">
        <v>257</v>
      </c>
      <c r="F312" s="83" t="s">
        <v>512</v>
      </c>
      <c r="G312" s="50" t="str">
        <f>"9"</f>
        <v>9</v>
      </c>
      <c r="H312" t="str">
        <f>"16 fős egyenes kiesés"</f>
        <v>16 fős egyenes kiesés</v>
      </c>
      <c r="I312" s="50" t="str">
        <f>"2"</f>
        <v>2</v>
      </c>
      <c r="J312" t="str">
        <f>"Székely Lázár"</f>
        <v>Székely Lázár</v>
      </c>
      <c r="K312" t="s">
        <v>151</v>
      </c>
      <c r="L312" t="str">
        <f t="shared" si="35"/>
        <v>HUN</v>
      </c>
      <c r="M312">
        <v>6</v>
      </c>
      <c r="O312" t="s">
        <v>248</v>
      </c>
      <c r="P312" s="78">
        <v>45367</v>
      </c>
      <c r="Q312" t="str">
        <f t="shared" si="30"/>
        <v>Székely Lázár - KYO Fighter SE</v>
      </c>
      <c r="R312" t="s">
        <v>636</v>
      </c>
      <c r="S312" t="s">
        <v>636</v>
      </c>
      <c r="T312" t="s">
        <v>645</v>
      </c>
    </row>
    <row r="313" spans="1:20" x14ac:dyDescent="0.3">
      <c r="A313" t="s">
        <v>245</v>
      </c>
      <c r="B313" s="50">
        <v>2</v>
      </c>
      <c r="C313">
        <v>31</v>
      </c>
      <c r="D313" t="str">
        <f t="shared" si="38"/>
        <v>Kumite</v>
      </c>
      <c r="E313" t="s">
        <v>257</v>
      </c>
      <c r="F313" s="83" t="s">
        <v>512</v>
      </c>
      <c r="G313" s="50" t="str">
        <f>"9"</f>
        <v>9</v>
      </c>
      <c r="H313" t="str">
        <f>"16 fős egyenes kiesés"</f>
        <v>16 fős egyenes kiesés</v>
      </c>
      <c r="I313" s="50" t="str">
        <f>"3"</f>
        <v>3</v>
      </c>
      <c r="J313" t="str">
        <f>"Ungai Ferenc"</f>
        <v>Ungai Ferenc</v>
      </c>
      <c r="K313" t="s">
        <v>322</v>
      </c>
      <c r="L313" t="str">
        <f t="shared" si="35"/>
        <v>HUN</v>
      </c>
      <c r="M313">
        <v>4</v>
      </c>
      <c r="O313" t="s">
        <v>248</v>
      </c>
      <c r="P313" s="78">
        <v>45367</v>
      </c>
      <c r="Q313" t="str">
        <f t="shared" si="30"/>
        <v>Ungai Ferenc - Hajdúszoboszló</v>
      </c>
      <c r="R313" t="s">
        <v>636</v>
      </c>
      <c r="S313" t="s">
        <v>636</v>
      </c>
      <c r="T313" t="s">
        <v>645</v>
      </c>
    </row>
    <row r="314" spans="1:20" x14ac:dyDescent="0.3">
      <c r="A314" t="s">
        <v>245</v>
      </c>
      <c r="B314" s="50">
        <v>2</v>
      </c>
      <c r="C314">
        <v>32</v>
      </c>
      <c r="D314" t="str">
        <f t="shared" si="38"/>
        <v>Kumite</v>
      </c>
      <c r="E314" t="s">
        <v>257</v>
      </c>
      <c r="F314" s="83" t="s">
        <v>512</v>
      </c>
      <c r="G314" s="50" t="str">
        <f>"9"</f>
        <v>9</v>
      </c>
      <c r="H314" t="str">
        <f>"16 fős egyenes kiesés"</f>
        <v>16 fős egyenes kiesés</v>
      </c>
      <c r="I314" s="50" t="str">
        <f>"3"</f>
        <v>3</v>
      </c>
      <c r="J314" t="str">
        <f>"Veress Dávid"</f>
        <v>Veress Dávid</v>
      </c>
      <c r="K314" t="s">
        <v>35</v>
      </c>
      <c r="L314" t="str">
        <f t="shared" si="35"/>
        <v>HUN</v>
      </c>
      <c r="M314">
        <v>4</v>
      </c>
      <c r="O314" t="s">
        <v>248</v>
      </c>
      <c r="P314" s="78">
        <v>45367</v>
      </c>
      <c r="Q314" t="str">
        <f t="shared" si="30"/>
        <v>Veress Dávid - KHSE</v>
      </c>
      <c r="R314" t="s">
        <v>636</v>
      </c>
      <c r="S314" t="s">
        <v>636</v>
      </c>
      <c r="T314" t="s">
        <v>645</v>
      </c>
    </row>
    <row r="315" spans="1:20" x14ac:dyDescent="0.3">
      <c r="A315" t="s">
        <v>245</v>
      </c>
      <c r="B315" s="50">
        <v>2</v>
      </c>
      <c r="C315">
        <v>32</v>
      </c>
      <c r="D315" t="str">
        <f t="shared" si="38"/>
        <v>Kumite</v>
      </c>
      <c r="E315" t="s">
        <v>257</v>
      </c>
      <c r="F315" s="83" t="s">
        <v>512</v>
      </c>
      <c r="G315" s="50" t="str">
        <f>"9"</f>
        <v>9</v>
      </c>
      <c r="H315" t="str">
        <f>"16 fős egyenes kiesés"</f>
        <v>16 fős egyenes kiesés</v>
      </c>
      <c r="I315" s="67" t="s">
        <v>302</v>
      </c>
      <c r="J315" t="s">
        <v>360</v>
      </c>
      <c r="K315" t="s">
        <v>151</v>
      </c>
      <c r="L315" t="str">
        <f t="shared" si="35"/>
        <v>HUN</v>
      </c>
      <c r="M315">
        <v>2</v>
      </c>
      <c r="N315" t="s">
        <v>304</v>
      </c>
      <c r="O315" t="s">
        <v>248</v>
      </c>
      <c r="P315" s="78">
        <v>45367</v>
      </c>
      <c r="Q315" t="str">
        <f t="shared" si="30"/>
        <v>Kis Ádám Zsolt - KYO Fighter SE</v>
      </c>
      <c r="R315" t="s">
        <v>636</v>
      </c>
      <c r="S315" t="s">
        <v>636</v>
      </c>
      <c r="T315" t="s">
        <v>645</v>
      </c>
    </row>
    <row r="316" spans="1:20" x14ac:dyDescent="0.3">
      <c r="A316" t="s">
        <v>245</v>
      </c>
      <c r="B316" s="50">
        <v>2</v>
      </c>
      <c r="C316">
        <v>33</v>
      </c>
      <c r="D316" t="str">
        <f t="shared" si="38"/>
        <v>Kumite</v>
      </c>
      <c r="E316" t="s">
        <v>258</v>
      </c>
      <c r="F316" s="83" t="s">
        <v>518</v>
      </c>
      <c r="G316" s="50" t="str">
        <f t="shared" ref="G316:G323" si="39">"7"</f>
        <v>7</v>
      </c>
      <c r="H316" t="str">
        <f t="shared" ref="H316:H323" si="40">"8 fős egyenes kiesés"</f>
        <v>8 fős egyenes kiesés</v>
      </c>
      <c r="I316" s="50" t="str">
        <f>"1"</f>
        <v>1</v>
      </c>
      <c r="J316" t="str">
        <f>"Szabó Dominik"</f>
        <v>Szabó Dominik</v>
      </c>
      <c r="K316" t="s">
        <v>312</v>
      </c>
      <c r="L316" t="str">
        <f t="shared" si="35"/>
        <v>HUN</v>
      </c>
      <c r="M316">
        <v>6</v>
      </c>
      <c r="O316" t="s">
        <v>248</v>
      </c>
      <c r="P316" s="78">
        <v>45367</v>
      </c>
      <c r="Q316" t="str">
        <f t="shared" si="30"/>
        <v>Szabó Dominik - Buke Reikon HRSE</v>
      </c>
      <c r="R316" t="s">
        <v>636</v>
      </c>
      <c r="S316" t="s">
        <v>636</v>
      </c>
      <c r="T316" t="s">
        <v>645</v>
      </c>
    </row>
    <row r="317" spans="1:20" x14ac:dyDescent="0.3">
      <c r="A317" t="s">
        <v>245</v>
      </c>
      <c r="B317" s="50">
        <v>2</v>
      </c>
      <c r="C317">
        <v>34</v>
      </c>
      <c r="D317" t="str">
        <f t="shared" si="38"/>
        <v>Kumite</v>
      </c>
      <c r="E317" t="s">
        <v>258</v>
      </c>
      <c r="F317" s="83" t="s">
        <v>518</v>
      </c>
      <c r="G317" s="50" t="str">
        <f t="shared" si="39"/>
        <v>7</v>
      </c>
      <c r="H317" t="str">
        <f t="shared" si="40"/>
        <v>8 fős egyenes kiesés</v>
      </c>
      <c r="I317" s="50" t="str">
        <f>"2"</f>
        <v>2</v>
      </c>
      <c r="J317" t="str">
        <f>"Vass János"</f>
        <v>Vass János</v>
      </c>
      <c r="K317" t="s">
        <v>331</v>
      </c>
      <c r="L317" t="str">
        <f t="shared" si="35"/>
        <v>HUN</v>
      </c>
      <c r="M317">
        <v>5</v>
      </c>
      <c r="O317" t="s">
        <v>248</v>
      </c>
      <c r="P317" s="78">
        <v>45367</v>
      </c>
      <c r="Q317" t="str">
        <f t="shared" si="30"/>
        <v>Vass János - Nyíradonyi KKE</v>
      </c>
      <c r="R317" t="s">
        <v>636</v>
      </c>
      <c r="S317" t="s">
        <v>636</v>
      </c>
      <c r="T317" t="s">
        <v>645</v>
      </c>
    </row>
    <row r="318" spans="1:20" x14ac:dyDescent="0.3">
      <c r="A318" t="s">
        <v>245</v>
      </c>
      <c r="B318" s="50">
        <v>2</v>
      </c>
      <c r="C318">
        <v>35</v>
      </c>
      <c r="D318" t="str">
        <f t="shared" si="38"/>
        <v>Kumite</v>
      </c>
      <c r="E318" t="s">
        <v>258</v>
      </c>
      <c r="F318" s="83" t="s">
        <v>518</v>
      </c>
      <c r="G318" s="50" t="str">
        <f t="shared" si="39"/>
        <v>7</v>
      </c>
      <c r="H318" t="str">
        <f t="shared" si="40"/>
        <v>8 fős egyenes kiesés</v>
      </c>
      <c r="I318" s="50" t="str">
        <f>"3"</f>
        <v>3</v>
      </c>
      <c r="J318" t="str">
        <f>"Sörös Dániel"</f>
        <v>Sörös Dániel</v>
      </c>
      <c r="K318" t="s">
        <v>35</v>
      </c>
      <c r="L318" t="str">
        <f t="shared" si="35"/>
        <v>HUN</v>
      </c>
      <c r="M318">
        <v>3</v>
      </c>
      <c r="O318" t="s">
        <v>248</v>
      </c>
      <c r="P318" s="78">
        <v>45367</v>
      </c>
      <c r="Q318" t="str">
        <f t="shared" si="30"/>
        <v>Sörös Dániel - KHSE</v>
      </c>
      <c r="R318" t="s">
        <v>636</v>
      </c>
      <c r="S318" t="s">
        <v>636</v>
      </c>
      <c r="T318" t="s">
        <v>645</v>
      </c>
    </row>
    <row r="319" spans="1:20" x14ac:dyDescent="0.3">
      <c r="A319" t="s">
        <v>245</v>
      </c>
      <c r="B319" s="50">
        <v>2</v>
      </c>
      <c r="C319">
        <v>36</v>
      </c>
      <c r="D319" t="str">
        <f t="shared" si="38"/>
        <v>Kumite</v>
      </c>
      <c r="E319" t="s">
        <v>258</v>
      </c>
      <c r="F319" s="83" t="s">
        <v>518</v>
      </c>
      <c r="G319" s="50" t="str">
        <f t="shared" si="39"/>
        <v>7</v>
      </c>
      <c r="H319" t="str">
        <f t="shared" si="40"/>
        <v>8 fős egyenes kiesés</v>
      </c>
      <c r="I319" s="50" t="str">
        <f>"3"</f>
        <v>3</v>
      </c>
      <c r="J319" t="str">
        <f>"Kozma Ákos"</f>
        <v>Kozma Ákos</v>
      </c>
      <c r="K319" t="s">
        <v>14</v>
      </c>
      <c r="L319" t="str">
        <f t="shared" si="35"/>
        <v>HUN</v>
      </c>
      <c r="M319">
        <v>3</v>
      </c>
      <c r="O319" t="s">
        <v>248</v>
      </c>
      <c r="P319" s="78">
        <v>45367</v>
      </c>
      <c r="Q319" t="str">
        <f t="shared" si="30"/>
        <v>Kozma Ákos - Shogun</v>
      </c>
      <c r="R319" t="s">
        <v>636</v>
      </c>
      <c r="S319" t="s">
        <v>636</v>
      </c>
      <c r="T319" t="s">
        <v>645</v>
      </c>
    </row>
    <row r="320" spans="1:20" x14ac:dyDescent="0.3">
      <c r="A320" t="s">
        <v>245</v>
      </c>
      <c r="B320" s="50">
        <v>2</v>
      </c>
      <c r="C320">
        <v>37</v>
      </c>
      <c r="D320" t="str">
        <f t="shared" si="38"/>
        <v>Kumite</v>
      </c>
      <c r="E320" t="s">
        <v>259</v>
      </c>
      <c r="F320" s="83" t="s">
        <v>521</v>
      </c>
      <c r="G320" s="50" t="str">
        <f t="shared" si="39"/>
        <v>7</v>
      </c>
      <c r="H320" t="str">
        <f t="shared" si="40"/>
        <v>8 fős egyenes kiesés</v>
      </c>
      <c r="I320" s="50" t="str">
        <f>"1"</f>
        <v>1</v>
      </c>
      <c r="J320" t="str">
        <f>"Kiss Zoltán János"</f>
        <v>Kiss Zoltán János</v>
      </c>
      <c r="K320" t="s">
        <v>318</v>
      </c>
      <c r="L320" t="str">
        <f t="shared" si="35"/>
        <v>HUN</v>
      </c>
      <c r="M320">
        <v>6</v>
      </c>
      <c r="O320" t="s">
        <v>248</v>
      </c>
      <c r="P320" s="78">
        <v>45367</v>
      </c>
      <c r="Q320" t="str">
        <f t="shared" si="30"/>
        <v>Kiss Zoltán János - Derecske BUDO</v>
      </c>
      <c r="R320" t="s">
        <v>636</v>
      </c>
      <c r="S320" t="s">
        <v>636</v>
      </c>
      <c r="T320" t="s">
        <v>645</v>
      </c>
    </row>
    <row r="321" spans="1:20" x14ac:dyDescent="0.3">
      <c r="A321" t="s">
        <v>245</v>
      </c>
      <c r="B321" s="50">
        <v>2</v>
      </c>
      <c r="C321">
        <v>38</v>
      </c>
      <c r="D321" t="str">
        <f t="shared" si="38"/>
        <v>Kumite</v>
      </c>
      <c r="E321" t="s">
        <v>259</v>
      </c>
      <c r="F321" s="83" t="s">
        <v>521</v>
      </c>
      <c r="G321" s="50" t="str">
        <f t="shared" si="39"/>
        <v>7</v>
      </c>
      <c r="H321" t="str">
        <f t="shared" si="40"/>
        <v>8 fős egyenes kiesés</v>
      </c>
      <c r="I321" s="50" t="str">
        <f>"2"</f>
        <v>2</v>
      </c>
      <c r="J321" t="str">
        <f>"Remenyik Dániel"</f>
        <v>Remenyik Dániel</v>
      </c>
      <c r="K321" t="s">
        <v>14</v>
      </c>
      <c r="L321" t="str">
        <f t="shared" si="35"/>
        <v>HUN</v>
      </c>
      <c r="M321">
        <v>5</v>
      </c>
      <c r="O321" t="s">
        <v>248</v>
      </c>
      <c r="P321" s="78">
        <v>45367</v>
      </c>
      <c r="Q321" t="str">
        <f t="shared" si="30"/>
        <v>Remenyik Dániel - Shogun</v>
      </c>
      <c r="R321" t="s">
        <v>636</v>
      </c>
      <c r="S321" t="s">
        <v>636</v>
      </c>
      <c r="T321" t="s">
        <v>645</v>
      </c>
    </row>
    <row r="322" spans="1:20" x14ac:dyDescent="0.3">
      <c r="A322" t="s">
        <v>245</v>
      </c>
      <c r="B322" s="50">
        <v>2</v>
      </c>
      <c r="C322">
        <v>39</v>
      </c>
      <c r="D322" t="str">
        <f t="shared" si="38"/>
        <v>Kumite</v>
      </c>
      <c r="E322" t="s">
        <v>259</v>
      </c>
      <c r="F322" s="83" t="s">
        <v>521</v>
      </c>
      <c r="G322" s="50" t="str">
        <f t="shared" si="39"/>
        <v>7</v>
      </c>
      <c r="H322" t="str">
        <f t="shared" si="40"/>
        <v>8 fős egyenes kiesés</v>
      </c>
      <c r="I322" s="50" t="str">
        <f>"3"</f>
        <v>3</v>
      </c>
      <c r="J322" t="str">
        <f>"Simao Roberto"</f>
        <v>Simao Roberto</v>
      </c>
      <c r="K322" t="s">
        <v>317</v>
      </c>
      <c r="L322" t="str">
        <f t="shared" si="35"/>
        <v>HUN</v>
      </c>
      <c r="M322">
        <v>3</v>
      </c>
      <c r="O322" t="s">
        <v>248</v>
      </c>
      <c r="P322" s="78">
        <v>45367</v>
      </c>
      <c r="Q322" t="str">
        <f t="shared" si="30"/>
        <v>Simao Roberto - Délegyházi Karate SE</v>
      </c>
      <c r="R322" t="s">
        <v>637</v>
      </c>
      <c r="S322" t="s">
        <v>597</v>
      </c>
      <c r="T322" t="s">
        <v>645</v>
      </c>
    </row>
    <row r="323" spans="1:20" x14ac:dyDescent="0.3">
      <c r="A323" t="s">
        <v>245</v>
      </c>
      <c r="B323" s="50">
        <v>2</v>
      </c>
      <c r="C323">
        <v>40</v>
      </c>
      <c r="D323" t="str">
        <f t="shared" si="38"/>
        <v>Kumite</v>
      </c>
      <c r="E323" t="s">
        <v>259</v>
      </c>
      <c r="F323" s="83" t="s">
        <v>521</v>
      </c>
      <c r="G323" s="50" t="str">
        <f t="shared" si="39"/>
        <v>7</v>
      </c>
      <c r="H323" t="str">
        <f t="shared" si="40"/>
        <v>8 fős egyenes kiesés</v>
      </c>
      <c r="I323" s="50" t="str">
        <f>"3"</f>
        <v>3</v>
      </c>
      <c r="J323" t="str">
        <f>"Tóth Ákos Krisztián"</f>
        <v>Tóth Ákos Krisztián</v>
      </c>
      <c r="K323" t="s">
        <v>14</v>
      </c>
      <c r="L323" t="str">
        <f t="shared" si="35"/>
        <v>HUN</v>
      </c>
      <c r="M323">
        <v>3</v>
      </c>
      <c r="O323" t="s">
        <v>248</v>
      </c>
      <c r="P323" s="78">
        <v>45367</v>
      </c>
      <c r="Q323" t="str">
        <f t="shared" ref="Q323:Q386" si="41">J323&amp;" - "&amp;K323</f>
        <v>Tóth Ákos Krisztián - Shogun</v>
      </c>
      <c r="R323" t="s">
        <v>636</v>
      </c>
      <c r="S323" t="s">
        <v>636</v>
      </c>
      <c r="T323" t="s">
        <v>645</v>
      </c>
    </row>
    <row r="324" spans="1:20" x14ac:dyDescent="0.3">
      <c r="A324" t="s">
        <v>245</v>
      </c>
      <c r="B324" s="50">
        <v>2</v>
      </c>
      <c r="C324">
        <v>41</v>
      </c>
      <c r="D324" t="str">
        <f t="shared" si="38"/>
        <v>Kumite</v>
      </c>
      <c r="E324" t="s">
        <v>260</v>
      </c>
      <c r="F324" s="83" t="s">
        <v>522</v>
      </c>
      <c r="G324" s="50" t="str">
        <f>"6"</f>
        <v>6</v>
      </c>
      <c r="H324" t="str">
        <f>"6 fős vegyes"</f>
        <v>6 fős vegyes</v>
      </c>
      <c r="I324" s="50" t="str">
        <f>"1"</f>
        <v>1</v>
      </c>
      <c r="J324" t="str">
        <f>"Gyurcsán Levente"</f>
        <v>Gyurcsán Levente</v>
      </c>
      <c r="K324" t="s">
        <v>320</v>
      </c>
      <c r="L324" t="str">
        <f t="shared" si="35"/>
        <v>HUN</v>
      </c>
      <c r="M324">
        <v>6</v>
      </c>
      <c r="O324" t="s">
        <v>248</v>
      </c>
      <c r="P324" s="78">
        <v>45367</v>
      </c>
      <c r="Q324" t="str">
        <f t="shared" si="41"/>
        <v>Gyurcsán Levente - Fight-team</v>
      </c>
      <c r="R324" t="s">
        <v>636</v>
      </c>
      <c r="S324" t="s">
        <v>636</v>
      </c>
      <c r="T324" t="s">
        <v>645</v>
      </c>
    </row>
    <row r="325" spans="1:20" x14ac:dyDescent="0.3">
      <c r="A325" t="s">
        <v>245</v>
      </c>
      <c r="B325" s="50">
        <v>2</v>
      </c>
      <c r="C325">
        <v>42</v>
      </c>
      <c r="D325" t="str">
        <f t="shared" si="38"/>
        <v>Kumite</v>
      </c>
      <c r="E325" t="s">
        <v>260</v>
      </c>
      <c r="F325" s="83" t="s">
        <v>522</v>
      </c>
      <c r="G325" s="50" t="str">
        <f>"6"</f>
        <v>6</v>
      </c>
      <c r="H325" t="str">
        <f>"6 fős vegyes"</f>
        <v>6 fős vegyes</v>
      </c>
      <c r="I325" s="50" t="str">
        <f>"2"</f>
        <v>2</v>
      </c>
      <c r="J325" t="str">
        <f>"Tokaji Bocsárd Norbert"</f>
        <v>Tokaji Bocsárd Norbert</v>
      </c>
      <c r="K325" t="s">
        <v>35</v>
      </c>
      <c r="L325" t="str">
        <f t="shared" si="35"/>
        <v>HUN</v>
      </c>
      <c r="M325">
        <v>5</v>
      </c>
      <c r="O325" t="s">
        <v>248</v>
      </c>
      <c r="P325" s="78">
        <v>45367</v>
      </c>
      <c r="Q325" t="str">
        <f t="shared" si="41"/>
        <v>Tokaji Bocsárd Norbert - KHSE</v>
      </c>
      <c r="R325" t="s">
        <v>636</v>
      </c>
      <c r="S325" t="s">
        <v>636</v>
      </c>
      <c r="T325" t="s">
        <v>645</v>
      </c>
    </row>
    <row r="326" spans="1:20" x14ac:dyDescent="0.3">
      <c r="A326" t="s">
        <v>245</v>
      </c>
      <c r="B326" s="50">
        <v>2</v>
      </c>
      <c r="C326">
        <v>43</v>
      </c>
      <c r="D326" t="str">
        <f t="shared" si="38"/>
        <v>Kumite</v>
      </c>
      <c r="E326" t="s">
        <v>260</v>
      </c>
      <c r="F326" s="83" t="s">
        <v>522</v>
      </c>
      <c r="G326" s="50" t="str">
        <f>"6"</f>
        <v>6</v>
      </c>
      <c r="H326" t="str">
        <f>"6 fős vegyes"</f>
        <v>6 fős vegyes</v>
      </c>
      <c r="I326" s="50" t="str">
        <f>"3"</f>
        <v>3</v>
      </c>
      <c r="J326" t="str">
        <f>"Kovács Máté Noel"</f>
        <v>Kovács Máté Noel</v>
      </c>
      <c r="K326" t="s">
        <v>82</v>
      </c>
      <c r="L326" t="str">
        <f t="shared" si="35"/>
        <v>HUN</v>
      </c>
      <c r="M326">
        <v>3</v>
      </c>
      <c r="O326" t="s">
        <v>248</v>
      </c>
      <c r="P326" s="78">
        <v>45367</v>
      </c>
      <c r="Q326" t="str">
        <f t="shared" si="41"/>
        <v>Kovács Máté Noel - Bátor KSE</v>
      </c>
      <c r="R326" t="s">
        <v>636</v>
      </c>
      <c r="S326" t="s">
        <v>636</v>
      </c>
      <c r="T326" t="s">
        <v>645</v>
      </c>
    </row>
    <row r="327" spans="1:20" x14ac:dyDescent="0.3">
      <c r="A327" t="s">
        <v>245</v>
      </c>
      <c r="B327" s="50">
        <v>2</v>
      </c>
      <c r="C327">
        <v>44</v>
      </c>
      <c r="D327" t="str">
        <f t="shared" si="38"/>
        <v>Kumite</v>
      </c>
      <c r="E327" t="s">
        <v>261</v>
      </c>
      <c r="F327" s="83" t="s">
        <v>524</v>
      </c>
      <c r="G327" s="50" t="str">
        <f>"5"</f>
        <v>5</v>
      </c>
      <c r="H327" t="str">
        <f>"5 fős körmérkőzés"</f>
        <v>5 fős körmérkőzés</v>
      </c>
      <c r="I327" s="50" t="str">
        <f>"1"</f>
        <v>1</v>
      </c>
      <c r="J327" t="str">
        <f>"Riczu Bendegúz"</f>
        <v>Riczu Bendegúz</v>
      </c>
      <c r="K327" t="s">
        <v>16</v>
      </c>
      <c r="L327" t="str">
        <f t="shared" si="35"/>
        <v>HUN</v>
      </c>
      <c r="M327">
        <v>8</v>
      </c>
      <c r="O327" t="s">
        <v>248</v>
      </c>
      <c r="P327" s="78">
        <v>45367</v>
      </c>
      <c r="Q327" t="str">
        <f t="shared" si="41"/>
        <v>Riczu Bendegúz - Nozomu Dojo</v>
      </c>
      <c r="R327" t="s">
        <v>636</v>
      </c>
      <c r="S327" t="s">
        <v>636</v>
      </c>
      <c r="T327" t="s">
        <v>645</v>
      </c>
    </row>
    <row r="328" spans="1:20" x14ac:dyDescent="0.3">
      <c r="A328" t="s">
        <v>245</v>
      </c>
      <c r="B328" s="50">
        <v>2</v>
      </c>
      <c r="C328">
        <v>45</v>
      </c>
      <c r="D328" t="str">
        <f t="shared" si="38"/>
        <v>Kumite</v>
      </c>
      <c r="E328" t="s">
        <v>261</v>
      </c>
      <c r="F328" s="83" t="s">
        <v>524</v>
      </c>
      <c r="G328" s="50" t="str">
        <f>"5"</f>
        <v>5</v>
      </c>
      <c r="H328" t="str">
        <f>"5 fős körmérkőzés"</f>
        <v>5 fős körmérkőzés</v>
      </c>
      <c r="I328" s="50" t="str">
        <f>"2"</f>
        <v>2</v>
      </c>
      <c r="J328" t="str">
        <f>"Elek János"</f>
        <v>Elek János</v>
      </c>
      <c r="K328" t="s">
        <v>35</v>
      </c>
      <c r="L328" t="str">
        <f t="shared" si="35"/>
        <v>HUN</v>
      </c>
      <c r="M328">
        <v>6</v>
      </c>
      <c r="O328" t="s">
        <v>248</v>
      </c>
      <c r="P328" s="78">
        <v>45367</v>
      </c>
      <c r="Q328" t="str">
        <f t="shared" si="41"/>
        <v>Elek János - KHSE</v>
      </c>
      <c r="R328" t="s">
        <v>636</v>
      </c>
      <c r="S328" t="s">
        <v>636</v>
      </c>
      <c r="T328" t="s">
        <v>645</v>
      </c>
    </row>
    <row r="329" spans="1:20" x14ac:dyDescent="0.3">
      <c r="A329" t="s">
        <v>245</v>
      </c>
      <c r="B329" s="50">
        <v>2</v>
      </c>
      <c r="C329">
        <v>46</v>
      </c>
      <c r="D329" t="str">
        <f t="shared" si="38"/>
        <v>Kumite</v>
      </c>
      <c r="E329" t="s">
        <v>261</v>
      </c>
      <c r="F329" s="83" t="s">
        <v>524</v>
      </c>
      <c r="G329" s="50" t="str">
        <f>"5"</f>
        <v>5</v>
      </c>
      <c r="H329" t="str">
        <f>"5 fős körmérkőzés"</f>
        <v>5 fős körmérkőzés</v>
      </c>
      <c r="I329" s="50" t="str">
        <f>"3"</f>
        <v>3</v>
      </c>
      <c r="J329" t="str">
        <f>"Jaczina Zsombor"</f>
        <v>Jaczina Zsombor</v>
      </c>
      <c r="K329" t="s">
        <v>82</v>
      </c>
      <c r="L329" t="str">
        <f t="shared" si="35"/>
        <v>HUN</v>
      </c>
      <c r="M329">
        <v>4</v>
      </c>
      <c r="O329" t="s">
        <v>248</v>
      </c>
      <c r="P329" s="78">
        <v>45367</v>
      </c>
      <c r="Q329" t="str">
        <f t="shared" si="41"/>
        <v>Jaczina Zsombor - Bátor KSE</v>
      </c>
      <c r="R329" t="s">
        <v>636</v>
      </c>
      <c r="S329" t="s">
        <v>636</v>
      </c>
      <c r="T329" t="s">
        <v>645</v>
      </c>
    </row>
    <row r="330" spans="1:20" x14ac:dyDescent="0.3">
      <c r="A330" t="s">
        <v>245</v>
      </c>
      <c r="B330" s="50">
        <v>2</v>
      </c>
      <c r="C330">
        <v>46</v>
      </c>
      <c r="D330" t="str">
        <f t="shared" si="38"/>
        <v>Kumite</v>
      </c>
      <c r="E330" t="s">
        <v>261</v>
      </c>
      <c r="F330" s="83" t="s">
        <v>524</v>
      </c>
      <c r="G330" s="50" t="str">
        <f>"5"</f>
        <v>5</v>
      </c>
      <c r="H330" t="str">
        <f>"5 fős körmérkőzés"</f>
        <v>5 fős körmérkőzés</v>
      </c>
      <c r="I330" s="67">
        <v>4</v>
      </c>
      <c r="J330" t="s">
        <v>361</v>
      </c>
      <c r="K330" t="s">
        <v>35</v>
      </c>
      <c r="L330" t="str">
        <f t="shared" si="35"/>
        <v>HUN</v>
      </c>
      <c r="M330">
        <v>3</v>
      </c>
      <c r="O330" t="s">
        <v>248</v>
      </c>
      <c r="P330" s="78">
        <v>45367</v>
      </c>
      <c r="Q330" t="str">
        <f t="shared" si="41"/>
        <v>Virág Marcell Máté - KHSE</v>
      </c>
      <c r="R330" t="s">
        <v>636</v>
      </c>
      <c r="S330" t="s">
        <v>636</v>
      </c>
      <c r="T330" t="s">
        <v>645</v>
      </c>
    </row>
    <row r="331" spans="1:20" x14ac:dyDescent="0.3">
      <c r="A331" t="s">
        <v>245</v>
      </c>
      <c r="B331" s="50">
        <v>2</v>
      </c>
      <c r="C331">
        <v>46</v>
      </c>
      <c r="D331" t="str">
        <f t="shared" si="38"/>
        <v>Kumite</v>
      </c>
      <c r="E331" t="s">
        <v>261</v>
      </c>
      <c r="F331" s="83" t="s">
        <v>524</v>
      </c>
      <c r="G331" s="50" t="str">
        <f>"5"</f>
        <v>5</v>
      </c>
      <c r="H331" t="str">
        <f>"5 fős körmérkőzés"</f>
        <v>5 fős körmérkőzés</v>
      </c>
      <c r="I331" s="67">
        <v>4</v>
      </c>
      <c r="J331" t="s">
        <v>362</v>
      </c>
      <c r="K331" t="s">
        <v>51</v>
      </c>
      <c r="L331" t="str">
        <f t="shared" si="35"/>
        <v>HUN</v>
      </c>
      <c r="M331">
        <v>3</v>
      </c>
      <c r="O331" t="s">
        <v>248</v>
      </c>
      <c r="P331" s="78">
        <v>45367</v>
      </c>
      <c r="Q331" t="str">
        <f t="shared" si="41"/>
        <v>Litauszki Keve - Kisvárda KKDOSC</v>
      </c>
      <c r="R331" t="s">
        <v>636</v>
      </c>
      <c r="S331" t="s">
        <v>636</v>
      </c>
      <c r="T331" t="s">
        <v>645</v>
      </c>
    </row>
    <row r="332" spans="1:20" x14ac:dyDescent="0.3">
      <c r="A332" t="s">
        <v>245</v>
      </c>
      <c r="B332" s="50">
        <v>2</v>
      </c>
      <c r="C332">
        <v>47</v>
      </c>
      <c r="D332" t="str">
        <f t="shared" ref="D332:D337" si="42">"Kata"</f>
        <v>Kata</v>
      </c>
      <c r="E332" t="s">
        <v>262</v>
      </c>
      <c r="F332" s="83" t="s">
        <v>525</v>
      </c>
      <c r="G332" s="50" t="str">
        <f t="shared" ref="G332:G337" si="43">"11"</f>
        <v>11</v>
      </c>
      <c r="H332" t="str">
        <f t="shared" ref="H332:H337" si="44">"16 fős egyenes kiesés"</f>
        <v>16 fős egyenes kiesés</v>
      </c>
      <c r="I332" s="50" t="str">
        <f>"1"</f>
        <v>1</v>
      </c>
      <c r="J332" t="str">
        <f>"Maklaga Norbert"</f>
        <v>Maklaga Norbert</v>
      </c>
      <c r="K332" t="s">
        <v>149</v>
      </c>
      <c r="L332" t="str">
        <f t="shared" si="35"/>
        <v>HUN</v>
      </c>
      <c r="M332">
        <v>6</v>
      </c>
      <c r="O332" t="s">
        <v>248</v>
      </c>
      <c r="P332" s="78">
        <v>45367</v>
      </c>
      <c r="Q332" t="str">
        <f t="shared" si="41"/>
        <v>Maklaga Norbert - Kagami</v>
      </c>
      <c r="R332" t="s">
        <v>636</v>
      </c>
      <c r="S332" t="s">
        <v>636</v>
      </c>
      <c r="T332" t="s">
        <v>645</v>
      </c>
    </row>
    <row r="333" spans="1:20" x14ac:dyDescent="0.3">
      <c r="A333" t="s">
        <v>245</v>
      </c>
      <c r="B333" s="50">
        <v>2</v>
      </c>
      <c r="C333">
        <v>48</v>
      </c>
      <c r="D333" t="str">
        <f t="shared" si="42"/>
        <v>Kata</v>
      </c>
      <c r="E333" t="s">
        <v>262</v>
      </c>
      <c r="F333" s="83" t="s">
        <v>525</v>
      </c>
      <c r="G333" s="50" t="str">
        <f t="shared" si="43"/>
        <v>11</v>
      </c>
      <c r="H333" t="str">
        <f t="shared" si="44"/>
        <v>16 fős egyenes kiesés</v>
      </c>
      <c r="I333" s="50" t="str">
        <f>"2"</f>
        <v>2</v>
      </c>
      <c r="J333" t="str">
        <f>"Kozma Ákos"</f>
        <v>Kozma Ákos</v>
      </c>
      <c r="K333" t="s">
        <v>14</v>
      </c>
      <c r="L333" t="str">
        <f t="shared" si="35"/>
        <v>HUN</v>
      </c>
      <c r="M333">
        <v>5</v>
      </c>
      <c r="O333" t="s">
        <v>248</v>
      </c>
      <c r="P333" s="78">
        <v>45367</v>
      </c>
      <c r="Q333" t="str">
        <f t="shared" si="41"/>
        <v>Kozma Ákos - Shogun</v>
      </c>
      <c r="R333" t="s">
        <v>636</v>
      </c>
      <c r="S333" t="s">
        <v>636</v>
      </c>
      <c r="T333" t="s">
        <v>645</v>
      </c>
    </row>
    <row r="334" spans="1:20" x14ac:dyDescent="0.3">
      <c r="A334" t="s">
        <v>245</v>
      </c>
      <c r="B334" s="50">
        <v>2</v>
      </c>
      <c r="C334">
        <v>49</v>
      </c>
      <c r="D334" t="str">
        <f t="shared" si="42"/>
        <v>Kata</v>
      </c>
      <c r="E334" t="s">
        <v>262</v>
      </c>
      <c r="F334" s="83" t="s">
        <v>525</v>
      </c>
      <c r="G334" s="50" t="str">
        <f t="shared" si="43"/>
        <v>11</v>
      </c>
      <c r="H334" t="str">
        <f t="shared" si="44"/>
        <v>16 fős egyenes kiesés</v>
      </c>
      <c r="I334" s="50" t="str">
        <f>"3"</f>
        <v>3</v>
      </c>
      <c r="J334" t="str">
        <f>"Szabó Péter Nimród"</f>
        <v>Szabó Péter Nimród</v>
      </c>
      <c r="K334" t="s">
        <v>14</v>
      </c>
      <c r="L334" t="str">
        <f t="shared" si="35"/>
        <v>HUN</v>
      </c>
      <c r="M334">
        <v>3</v>
      </c>
      <c r="O334" t="s">
        <v>248</v>
      </c>
      <c r="P334" s="78">
        <v>45367</v>
      </c>
      <c r="Q334" t="str">
        <f t="shared" si="41"/>
        <v>Szabó Péter Nimród - Shogun</v>
      </c>
      <c r="R334" t="s">
        <v>636</v>
      </c>
      <c r="S334" t="s">
        <v>636</v>
      </c>
      <c r="T334" t="s">
        <v>645</v>
      </c>
    </row>
    <row r="335" spans="1:20" x14ac:dyDescent="0.3">
      <c r="A335" t="s">
        <v>245</v>
      </c>
      <c r="B335" s="50">
        <v>2</v>
      </c>
      <c r="C335">
        <v>50</v>
      </c>
      <c r="D335" t="str">
        <f t="shared" si="42"/>
        <v>Kata</v>
      </c>
      <c r="E335" t="s">
        <v>262</v>
      </c>
      <c r="F335" s="83" t="s">
        <v>525</v>
      </c>
      <c r="G335" s="50" t="str">
        <f t="shared" si="43"/>
        <v>11</v>
      </c>
      <c r="H335" t="str">
        <f t="shared" si="44"/>
        <v>16 fős egyenes kiesés</v>
      </c>
      <c r="I335" s="50" t="str">
        <f>"3"</f>
        <v>3</v>
      </c>
      <c r="J335" t="str">
        <f>"Remenyik Dániel"</f>
        <v>Remenyik Dániel</v>
      </c>
      <c r="K335" t="s">
        <v>14</v>
      </c>
      <c r="L335" t="str">
        <f t="shared" si="35"/>
        <v>HUN</v>
      </c>
      <c r="M335">
        <v>3</v>
      </c>
      <c r="O335" t="s">
        <v>248</v>
      </c>
      <c r="P335" s="78">
        <v>45367</v>
      </c>
      <c r="Q335" t="str">
        <f t="shared" si="41"/>
        <v>Remenyik Dániel - Shogun</v>
      </c>
      <c r="R335" t="s">
        <v>636</v>
      </c>
      <c r="S335" t="s">
        <v>636</v>
      </c>
      <c r="T335" t="s">
        <v>645</v>
      </c>
    </row>
    <row r="336" spans="1:20" x14ac:dyDescent="0.3">
      <c r="A336" t="s">
        <v>245</v>
      </c>
      <c r="B336" s="50">
        <v>2</v>
      </c>
      <c r="C336">
        <v>50</v>
      </c>
      <c r="D336" t="str">
        <f t="shared" si="42"/>
        <v>Kata</v>
      </c>
      <c r="E336" t="s">
        <v>262</v>
      </c>
      <c r="F336" s="83" t="s">
        <v>525</v>
      </c>
      <c r="G336" s="50" t="str">
        <f t="shared" si="43"/>
        <v>11</v>
      </c>
      <c r="H336" t="str">
        <f t="shared" si="44"/>
        <v>16 fős egyenes kiesés</v>
      </c>
      <c r="I336" s="67" t="s">
        <v>302</v>
      </c>
      <c r="J336" t="s">
        <v>363</v>
      </c>
      <c r="K336" t="s">
        <v>151</v>
      </c>
      <c r="L336" t="str">
        <f t="shared" si="35"/>
        <v>HUN</v>
      </c>
      <c r="M336">
        <v>1</v>
      </c>
      <c r="N336" t="s">
        <v>304</v>
      </c>
      <c r="O336" t="s">
        <v>248</v>
      </c>
      <c r="P336" s="78">
        <v>45367</v>
      </c>
      <c r="Q336" t="str">
        <f t="shared" si="41"/>
        <v>Székely Lázár - KYO Fighter SE</v>
      </c>
      <c r="R336" t="s">
        <v>636</v>
      </c>
      <c r="S336" t="s">
        <v>636</v>
      </c>
      <c r="T336" t="s">
        <v>645</v>
      </c>
    </row>
    <row r="337" spans="1:20" x14ac:dyDescent="0.3">
      <c r="A337" t="s">
        <v>245</v>
      </c>
      <c r="B337" s="50">
        <v>2</v>
      </c>
      <c r="C337">
        <v>50</v>
      </c>
      <c r="D337" t="str">
        <f t="shared" si="42"/>
        <v>Kata</v>
      </c>
      <c r="E337" t="s">
        <v>262</v>
      </c>
      <c r="F337" s="83" t="s">
        <v>525</v>
      </c>
      <c r="G337" s="50" t="str">
        <f t="shared" si="43"/>
        <v>11</v>
      </c>
      <c r="H337" t="str">
        <f t="shared" si="44"/>
        <v>16 fős egyenes kiesés</v>
      </c>
      <c r="I337" s="67" t="s">
        <v>302</v>
      </c>
      <c r="J337" t="s">
        <v>364</v>
      </c>
      <c r="K337" t="s">
        <v>318</v>
      </c>
      <c r="L337" t="str">
        <f t="shared" si="35"/>
        <v>HUN</v>
      </c>
      <c r="M337">
        <v>1</v>
      </c>
      <c r="N337" t="s">
        <v>304</v>
      </c>
      <c r="O337" t="s">
        <v>248</v>
      </c>
      <c r="P337" s="78">
        <v>45367</v>
      </c>
      <c r="Q337" t="str">
        <f t="shared" si="41"/>
        <v>Kis Zoltán János  - Derecske BUDO</v>
      </c>
      <c r="R337" t="s">
        <v>636</v>
      </c>
      <c r="S337" t="s">
        <v>636</v>
      </c>
      <c r="T337" t="s">
        <v>645</v>
      </c>
    </row>
    <row r="338" spans="1:20" x14ac:dyDescent="0.3">
      <c r="A338" t="s">
        <v>245</v>
      </c>
      <c r="B338" s="50">
        <v>2</v>
      </c>
      <c r="C338">
        <v>51</v>
      </c>
      <c r="D338" t="str">
        <f t="shared" ref="D338:D348" si="45">"Kumite"</f>
        <v>Kumite</v>
      </c>
      <c r="E338" t="s">
        <v>263</v>
      </c>
      <c r="F338" s="83" t="s">
        <v>517</v>
      </c>
      <c r="G338" s="50" t="str">
        <f>"2"</f>
        <v>2</v>
      </c>
      <c r="H338" t="str">
        <f>"2 fős egyenes kiesés"</f>
        <v>2 fős egyenes kiesés</v>
      </c>
      <c r="I338" s="50" t="str">
        <f>"1"</f>
        <v>1</v>
      </c>
      <c r="J338" t="str">
        <f>"Csató Réka"</f>
        <v>Csató Réka</v>
      </c>
      <c r="K338" t="s">
        <v>326</v>
      </c>
      <c r="L338" t="str">
        <f t="shared" si="35"/>
        <v>HUN</v>
      </c>
      <c r="M338">
        <v>3</v>
      </c>
      <c r="O338" t="s">
        <v>248</v>
      </c>
      <c r="P338" s="78">
        <v>45367</v>
      </c>
      <c r="Q338" t="str">
        <f t="shared" si="41"/>
        <v>Csató Réka - Keizoku SE</v>
      </c>
      <c r="R338" t="s">
        <v>636</v>
      </c>
      <c r="S338" t="s">
        <v>636</v>
      </c>
      <c r="T338" t="s">
        <v>645</v>
      </c>
    </row>
    <row r="339" spans="1:20" x14ac:dyDescent="0.3">
      <c r="A339" t="s">
        <v>245</v>
      </c>
      <c r="B339" s="50">
        <v>2</v>
      </c>
      <c r="C339">
        <v>52</v>
      </c>
      <c r="D339" t="str">
        <f t="shared" si="45"/>
        <v>Kumite</v>
      </c>
      <c r="E339" t="s">
        <v>263</v>
      </c>
      <c r="F339" s="83" t="s">
        <v>517</v>
      </c>
      <c r="G339" s="50" t="str">
        <f>"2"</f>
        <v>2</v>
      </c>
      <c r="H339" t="str">
        <f>"2 fős egyenes kiesés"</f>
        <v>2 fős egyenes kiesés</v>
      </c>
      <c r="I339" s="50" t="str">
        <f>"2"</f>
        <v>2</v>
      </c>
      <c r="J339" t="str">
        <f>"Suller Zsófia"</f>
        <v>Suller Zsófia</v>
      </c>
      <c r="K339" t="s">
        <v>330</v>
      </c>
      <c r="L339" t="str">
        <f t="shared" si="35"/>
        <v>HUN</v>
      </c>
      <c r="M339">
        <v>0</v>
      </c>
      <c r="N339" t="s">
        <v>158</v>
      </c>
      <c r="O339" t="s">
        <v>248</v>
      </c>
      <c r="P339" s="78">
        <v>45367</v>
      </c>
      <c r="Q339" t="str">
        <f t="shared" si="41"/>
        <v>Suller Zsófia - MSKKE Tokaj</v>
      </c>
      <c r="R339" t="s">
        <v>637</v>
      </c>
      <c r="S339" t="s">
        <v>596</v>
      </c>
      <c r="T339" t="s">
        <v>645</v>
      </c>
    </row>
    <row r="340" spans="1:20" x14ac:dyDescent="0.3">
      <c r="A340" t="s">
        <v>245</v>
      </c>
      <c r="B340" s="50">
        <v>2</v>
      </c>
      <c r="C340">
        <v>53</v>
      </c>
      <c r="D340" t="str">
        <f t="shared" si="45"/>
        <v>Kumite</v>
      </c>
      <c r="E340" t="s">
        <v>264</v>
      </c>
      <c r="F340" s="83" t="s">
        <v>523</v>
      </c>
      <c r="G340" s="50" t="str">
        <f t="shared" ref="G340:G348" si="46">"5"</f>
        <v>5</v>
      </c>
      <c r="H340" t="str">
        <f t="shared" ref="H340:H348" si="47">"5 fős körmérkőzés"</f>
        <v>5 fős körmérkőzés</v>
      </c>
      <c r="I340" s="50" t="str">
        <f>"1"</f>
        <v>1</v>
      </c>
      <c r="J340" t="str">
        <f>"Novák Noémi"</f>
        <v>Novák Noémi</v>
      </c>
      <c r="K340" t="s">
        <v>39</v>
      </c>
      <c r="L340" t="str">
        <f t="shared" si="35"/>
        <v>HUN</v>
      </c>
      <c r="M340">
        <v>8</v>
      </c>
      <c r="O340" t="s">
        <v>248</v>
      </c>
      <c r="P340" s="78">
        <v>45367</v>
      </c>
      <c r="Q340" t="str">
        <f t="shared" si="41"/>
        <v>Novák Noémi - Bendiák Dojo</v>
      </c>
      <c r="R340" t="s">
        <v>636</v>
      </c>
      <c r="S340" t="s">
        <v>636</v>
      </c>
      <c r="T340" t="s">
        <v>645</v>
      </c>
    </row>
    <row r="341" spans="1:20" x14ac:dyDescent="0.3">
      <c r="A341" t="s">
        <v>245</v>
      </c>
      <c r="B341" s="50">
        <v>2</v>
      </c>
      <c r="C341">
        <v>54</v>
      </c>
      <c r="D341" t="str">
        <f t="shared" si="45"/>
        <v>Kumite</v>
      </c>
      <c r="E341" t="s">
        <v>264</v>
      </c>
      <c r="F341" s="83" t="s">
        <v>523</v>
      </c>
      <c r="G341" s="50" t="str">
        <f t="shared" si="46"/>
        <v>5</v>
      </c>
      <c r="H341" t="str">
        <f t="shared" si="47"/>
        <v>5 fős körmérkőzés</v>
      </c>
      <c r="I341" s="50" t="str">
        <f>"2"</f>
        <v>2</v>
      </c>
      <c r="J341" t="str">
        <f>"Szabó Lili"</f>
        <v>Szabó Lili</v>
      </c>
      <c r="K341" t="s">
        <v>51</v>
      </c>
      <c r="L341" t="str">
        <f t="shared" si="35"/>
        <v>HUN</v>
      </c>
      <c r="M341">
        <v>6</v>
      </c>
      <c r="O341" t="s">
        <v>248</v>
      </c>
      <c r="P341" s="78">
        <v>45367</v>
      </c>
      <c r="Q341" t="str">
        <f t="shared" si="41"/>
        <v>Szabó Lili - Kisvárda KKDOSC</v>
      </c>
      <c r="R341" t="s">
        <v>636</v>
      </c>
      <c r="S341" t="s">
        <v>636</v>
      </c>
      <c r="T341" t="s">
        <v>645</v>
      </c>
    </row>
    <row r="342" spans="1:20" x14ac:dyDescent="0.3">
      <c r="A342" t="s">
        <v>245</v>
      </c>
      <c r="B342" s="50">
        <v>2</v>
      </c>
      <c r="C342">
        <v>55</v>
      </c>
      <c r="D342" t="str">
        <f t="shared" si="45"/>
        <v>Kumite</v>
      </c>
      <c r="E342" t="s">
        <v>264</v>
      </c>
      <c r="F342" s="83" t="s">
        <v>523</v>
      </c>
      <c r="G342" s="50" t="str">
        <f t="shared" si="46"/>
        <v>5</v>
      </c>
      <c r="H342" t="str">
        <f t="shared" si="47"/>
        <v>5 fős körmérkőzés</v>
      </c>
      <c r="I342" s="50" t="str">
        <f>"3"</f>
        <v>3</v>
      </c>
      <c r="J342" t="str">
        <f>"Vida Zora"</f>
        <v>Vida Zora</v>
      </c>
      <c r="K342" t="s">
        <v>312</v>
      </c>
      <c r="L342" t="str">
        <f t="shared" si="35"/>
        <v>HUN</v>
      </c>
      <c r="M342">
        <v>4</v>
      </c>
      <c r="O342" t="s">
        <v>248</v>
      </c>
      <c r="P342" s="78">
        <v>45367</v>
      </c>
      <c r="Q342" t="str">
        <f t="shared" si="41"/>
        <v>Vida Zora - Buke Reikon HRSE</v>
      </c>
      <c r="R342" t="s">
        <v>636</v>
      </c>
      <c r="S342" t="s">
        <v>636</v>
      </c>
      <c r="T342" t="s">
        <v>645</v>
      </c>
    </row>
    <row r="343" spans="1:20" x14ac:dyDescent="0.3">
      <c r="A343" t="s">
        <v>245</v>
      </c>
      <c r="B343" s="50">
        <v>2</v>
      </c>
      <c r="C343">
        <v>55</v>
      </c>
      <c r="D343" t="str">
        <f t="shared" si="45"/>
        <v>Kumite</v>
      </c>
      <c r="E343" t="s">
        <v>264</v>
      </c>
      <c r="F343" s="83" t="s">
        <v>523</v>
      </c>
      <c r="G343" s="50" t="str">
        <f t="shared" si="46"/>
        <v>5</v>
      </c>
      <c r="H343" t="str">
        <f t="shared" si="47"/>
        <v>5 fős körmérkőzés</v>
      </c>
      <c r="I343" s="50">
        <v>4</v>
      </c>
      <c r="J343" t="s">
        <v>365</v>
      </c>
      <c r="K343" t="s">
        <v>51</v>
      </c>
      <c r="L343" t="str">
        <f t="shared" si="35"/>
        <v>HUN</v>
      </c>
      <c r="M343">
        <v>3</v>
      </c>
      <c r="O343" t="s">
        <v>248</v>
      </c>
      <c r="P343" s="78">
        <v>45367</v>
      </c>
      <c r="Q343" t="str">
        <f t="shared" si="41"/>
        <v>Bodor Noémi - Kisvárda KKDOSC</v>
      </c>
      <c r="R343" t="s">
        <v>636</v>
      </c>
      <c r="S343" t="s">
        <v>636</v>
      </c>
      <c r="T343" t="s">
        <v>645</v>
      </c>
    </row>
    <row r="344" spans="1:20" x14ac:dyDescent="0.3">
      <c r="A344" t="s">
        <v>245</v>
      </c>
      <c r="B344" s="50">
        <v>2</v>
      </c>
      <c r="C344">
        <v>56</v>
      </c>
      <c r="D344" t="str">
        <f t="shared" si="45"/>
        <v>Kumite</v>
      </c>
      <c r="E344" t="s">
        <v>266</v>
      </c>
      <c r="F344" s="83" t="s">
        <v>527</v>
      </c>
      <c r="G344" s="50" t="str">
        <f t="shared" si="46"/>
        <v>5</v>
      </c>
      <c r="H344" t="str">
        <f t="shared" si="47"/>
        <v>5 fős körmérkőzés</v>
      </c>
      <c r="I344" s="50" t="str">
        <f>"1"</f>
        <v>1</v>
      </c>
      <c r="J344" t="str">
        <f>"Galyas Edit"</f>
        <v>Galyas Edit</v>
      </c>
      <c r="K344" t="s">
        <v>331</v>
      </c>
      <c r="L344" t="str">
        <f t="shared" si="35"/>
        <v>HUN</v>
      </c>
      <c r="M344">
        <v>8</v>
      </c>
      <c r="O344" t="s">
        <v>248</v>
      </c>
      <c r="P344" s="78">
        <v>45367</v>
      </c>
      <c r="Q344" t="str">
        <f t="shared" si="41"/>
        <v>Galyas Edit - Nyíradonyi KKE</v>
      </c>
      <c r="R344" t="s">
        <v>636</v>
      </c>
      <c r="S344" t="s">
        <v>636</v>
      </c>
      <c r="T344" t="s">
        <v>645</v>
      </c>
    </row>
    <row r="345" spans="1:20" x14ac:dyDescent="0.3">
      <c r="A345" t="s">
        <v>245</v>
      </c>
      <c r="B345" s="50">
        <v>2</v>
      </c>
      <c r="C345">
        <v>57</v>
      </c>
      <c r="D345" t="str">
        <f t="shared" si="45"/>
        <v>Kumite</v>
      </c>
      <c r="E345" t="s">
        <v>266</v>
      </c>
      <c r="F345" s="83" t="s">
        <v>527</v>
      </c>
      <c r="G345" s="50" t="str">
        <f t="shared" si="46"/>
        <v>5</v>
      </c>
      <c r="H345" t="str">
        <f t="shared" si="47"/>
        <v>5 fős körmérkőzés</v>
      </c>
      <c r="I345" s="50" t="str">
        <f>"2"</f>
        <v>2</v>
      </c>
      <c r="J345" t="str">
        <f>"Szabó Zsófi"</f>
        <v>Szabó Zsófi</v>
      </c>
      <c r="K345" t="s">
        <v>335</v>
      </c>
      <c r="L345" t="str">
        <f t="shared" si="35"/>
        <v>HUN</v>
      </c>
      <c r="M345">
        <v>6</v>
      </c>
      <c r="O345" t="s">
        <v>248</v>
      </c>
      <c r="P345" s="78">
        <v>45367</v>
      </c>
      <c r="Q345" t="str">
        <f t="shared" si="41"/>
        <v>Szabó Zsófi - ShinzóDojo</v>
      </c>
      <c r="R345" t="s">
        <v>636</v>
      </c>
      <c r="S345" t="s">
        <v>636</v>
      </c>
      <c r="T345" t="s">
        <v>645</v>
      </c>
    </row>
    <row r="346" spans="1:20" x14ac:dyDescent="0.3">
      <c r="A346" t="s">
        <v>245</v>
      </c>
      <c r="B346" s="50">
        <v>2</v>
      </c>
      <c r="C346">
        <v>58</v>
      </c>
      <c r="D346" t="str">
        <f t="shared" si="45"/>
        <v>Kumite</v>
      </c>
      <c r="E346" t="s">
        <v>266</v>
      </c>
      <c r="F346" s="83" t="s">
        <v>527</v>
      </c>
      <c r="G346" s="50" t="str">
        <f t="shared" si="46"/>
        <v>5</v>
      </c>
      <c r="H346" t="str">
        <f t="shared" si="47"/>
        <v>5 fős körmérkőzés</v>
      </c>
      <c r="I346" s="50" t="str">
        <f>"3"</f>
        <v>3</v>
      </c>
      <c r="J346" t="str">
        <f>"Danku Csillag"</f>
        <v>Danku Csillag</v>
      </c>
      <c r="K346" t="s">
        <v>87</v>
      </c>
      <c r="L346" t="str">
        <f t="shared" si="35"/>
        <v>HUN</v>
      </c>
      <c r="M346">
        <v>4</v>
      </c>
      <c r="O346" t="s">
        <v>248</v>
      </c>
      <c r="P346" s="78">
        <v>45367</v>
      </c>
      <c r="Q346" t="str">
        <f t="shared" si="41"/>
        <v>Danku Csillag - Victory</v>
      </c>
      <c r="R346" t="s">
        <v>636</v>
      </c>
      <c r="S346" t="s">
        <v>636</v>
      </c>
      <c r="T346" t="s">
        <v>645</v>
      </c>
    </row>
    <row r="347" spans="1:20" x14ac:dyDescent="0.3">
      <c r="A347" t="s">
        <v>245</v>
      </c>
      <c r="B347" s="50">
        <v>2</v>
      </c>
      <c r="C347">
        <v>58</v>
      </c>
      <c r="D347" t="str">
        <f t="shared" si="45"/>
        <v>Kumite</v>
      </c>
      <c r="E347" t="s">
        <v>266</v>
      </c>
      <c r="F347" s="83" t="s">
        <v>527</v>
      </c>
      <c r="G347" s="50" t="str">
        <f t="shared" si="46"/>
        <v>5</v>
      </c>
      <c r="H347" t="str">
        <f t="shared" si="47"/>
        <v>5 fős körmérkőzés</v>
      </c>
      <c r="I347" s="50">
        <v>4</v>
      </c>
      <c r="J347" t="s">
        <v>367</v>
      </c>
      <c r="K347" t="s">
        <v>312</v>
      </c>
      <c r="L347" t="str">
        <f t="shared" si="35"/>
        <v>HUN</v>
      </c>
      <c r="M347">
        <v>3</v>
      </c>
      <c r="O347" t="s">
        <v>248</v>
      </c>
      <c r="P347" s="78">
        <v>45367</v>
      </c>
      <c r="Q347" t="str">
        <f t="shared" si="41"/>
        <v>Fábián Anna - Buke Reikon HRSE</v>
      </c>
      <c r="R347" t="s">
        <v>636</v>
      </c>
      <c r="S347" t="s">
        <v>636</v>
      </c>
      <c r="T347" t="s">
        <v>645</v>
      </c>
    </row>
    <row r="348" spans="1:20" x14ac:dyDescent="0.3">
      <c r="A348" t="s">
        <v>245</v>
      </c>
      <c r="B348" s="50">
        <v>2</v>
      </c>
      <c r="C348">
        <v>58</v>
      </c>
      <c r="D348" t="str">
        <f t="shared" si="45"/>
        <v>Kumite</v>
      </c>
      <c r="E348" t="s">
        <v>266</v>
      </c>
      <c r="F348" s="83" t="s">
        <v>527</v>
      </c>
      <c r="G348" s="50" t="str">
        <f t="shared" si="46"/>
        <v>5</v>
      </c>
      <c r="H348" t="str">
        <f t="shared" si="47"/>
        <v>5 fős körmérkőzés</v>
      </c>
      <c r="I348" s="50">
        <v>4</v>
      </c>
      <c r="J348" t="s">
        <v>366</v>
      </c>
      <c r="K348" t="s">
        <v>14</v>
      </c>
      <c r="L348" t="str">
        <f t="shared" si="35"/>
        <v>HUN</v>
      </c>
      <c r="M348">
        <v>3</v>
      </c>
      <c r="O348" t="s">
        <v>248</v>
      </c>
      <c r="P348" s="78">
        <v>45367</v>
      </c>
      <c r="Q348" t="str">
        <f t="shared" si="41"/>
        <v>Almási Petra - Shogun</v>
      </c>
      <c r="R348" t="s">
        <v>636</v>
      </c>
      <c r="S348" t="s">
        <v>636</v>
      </c>
      <c r="T348" t="s">
        <v>645</v>
      </c>
    </row>
    <row r="349" spans="1:20" x14ac:dyDescent="0.3">
      <c r="A349" t="s">
        <v>245</v>
      </c>
      <c r="B349" s="50">
        <v>2</v>
      </c>
      <c r="C349">
        <v>59</v>
      </c>
      <c r="D349" t="str">
        <f>"Kata"</f>
        <v>Kata</v>
      </c>
      <c r="E349" t="s">
        <v>267</v>
      </c>
      <c r="F349" s="83" t="s">
        <v>526</v>
      </c>
      <c r="G349" s="50" t="str">
        <f>"9"</f>
        <v>9</v>
      </c>
      <c r="H349" t="str">
        <f>"16 fős egyenes kiesés"</f>
        <v>16 fős egyenes kiesés</v>
      </c>
      <c r="I349" s="50" t="str">
        <f>"1"</f>
        <v>1</v>
      </c>
      <c r="J349" t="str">
        <f>"Nándori Emma"</f>
        <v>Nándori Emma</v>
      </c>
      <c r="K349" t="s">
        <v>23</v>
      </c>
      <c r="L349" t="str">
        <f t="shared" si="35"/>
        <v>HUN</v>
      </c>
      <c r="M349">
        <v>6</v>
      </c>
      <c r="O349" t="s">
        <v>248</v>
      </c>
      <c r="P349" s="78">
        <v>45367</v>
      </c>
      <c r="Q349" t="str">
        <f t="shared" si="41"/>
        <v>Nándori Emma - Kemecse SE</v>
      </c>
      <c r="R349" t="s">
        <v>636</v>
      </c>
      <c r="S349" t="s">
        <v>636</v>
      </c>
      <c r="T349" t="s">
        <v>645</v>
      </c>
    </row>
    <row r="350" spans="1:20" x14ac:dyDescent="0.3">
      <c r="A350" t="s">
        <v>245</v>
      </c>
      <c r="B350" s="50">
        <v>2</v>
      </c>
      <c r="C350">
        <v>60</v>
      </c>
      <c r="D350" t="str">
        <f>"Kata"</f>
        <v>Kata</v>
      </c>
      <c r="E350" t="s">
        <v>267</v>
      </c>
      <c r="F350" s="83" t="s">
        <v>526</v>
      </c>
      <c r="G350" s="50" t="str">
        <f>"9"</f>
        <v>9</v>
      </c>
      <c r="H350" t="str">
        <f>"16 fős egyenes kiesés"</f>
        <v>16 fős egyenes kiesés</v>
      </c>
      <c r="I350" s="50" t="str">
        <f>"2"</f>
        <v>2</v>
      </c>
      <c r="J350" t="str">
        <f>"Szabó Zsófi"</f>
        <v>Szabó Zsófi</v>
      </c>
      <c r="K350" t="s">
        <v>335</v>
      </c>
      <c r="L350" t="str">
        <f t="shared" si="35"/>
        <v>HUN</v>
      </c>
      <c r="M350">
        <v>5</v>
      </c>
      <c r="O350" t="s">
        <v>248</v>
      </c>
      <c r="P350" s="78">
        <v>45367</v>
      </c>
      <c r="Q350" t="str">
        <f t="shared" si="41"/>
        <v>Szabó Zsófi - ShinzóDojo</v>
      </c>
      <c r="R350" t="s">
        <v>636</v>
      </c>
      <c r="S350" t="s">
        <v>636</v>
      </c>
      <c r="T350" t="s">
        <v>645</v>
      </c>
    </row>
    <row r="351" spans="1:20" x14ac:dyDescent="0.3">
      <c r="A351" t="s">
        <v>245</v>
      </c>
      <c r="B351" s="50">
        <v>2</v>
      </c>
      <c r="C351">
        <v>61</v>
      </c>
      <c r="D351" t="str">
        <f>"Kata"</f>
        <v>Kata</v>
      </c>
      <c r="E351" t="s">
        <v>267</v>
      </c>
      <c r="F351" s="83" t="s">
        <v>526</v>
      </c>
      <c r="G351" s="50" t="str">
        <f>"9"</f>
        <v>9</v>
      </c>
      <c r="H351" t="str">
        <f>"16 fős egyenes kiesés"</f>
        <v>16 fős egyenes kiesés</v>
      </c>
      <c r="I351" s="50" t="str">
        <f>"3"</f>
        <v>3</v>
      </c>
      <c r="J351" t="str">
        <f>"Csató Réka"</f>
        <v>Csató Réka</v>
      </c>
      <c r="K351" t="s">
        <v>326</v>
      </c>
      <c r="L351" t="str">
        <f t="shared" si="35"/>
        <v>HUN</v>
      </c>
      <c r="M351">
        <v>3</v>
      </c>
      <c r="O351" t="s">
        <v>248</v>
      </c>
      <c r="P351" s="78">
        <v>45367</v>
      </c>
      <c r="Q351" t="str">
        <f t="shared" si="41"/>
        <v>Csató Réka - Keizoku SE</v>
      </c>
      <c r="R351" t="s">
        <v>636</v>
      </c>
      <c r="S351" t="s">
        <v>636</v>
      </c>
      <c r="T351" t="s">
        <v>645</v>
      </c>
    </row>
    <row r="352" spans="1:20" x14ac:dyDescent="0.3">
      <c r="A352" t="s">
        <v>245</v>
      </c>
      <c r="B352" s="50">
        <v>2</v>
      </c>
      <c r="C352">
        <v>62</v>
      </c>
      <c r="D352" t="str">
        <f>"Kata"</f>
        <v>Kata</v>
      </c>
      <c r="E352" t="s">
        <v>267</v>
      </c>
      <c r="F352" s="83" t="s">
        <v>526</v>
      </c>
      <c r="G352" s="50" t="str">
        <f>"9"</f>
        <v>9</v>
      </c>
      <c r="H352" t="str">
        <f>"16 fős egyenes kiesés"</f>
        <v>16 fős egyenes kiesés</v>
      </c>
      <c r="I352" s="50" t="str">
        <f>"3"</f>
        <v>3</v>
      </c>
      <c r="J352" t="str">
        <f>"Almási Petra"</f>
        <v>Almási Petra</v>
      </c>
      <c r="K352" t="s">
        <v>14</v>
      </c>
      <c r="L352" t="str">
        <f t="shared" si="35"/>
        <v>HUN</v>
      </c>
      <c r="M352">
        <v>3</v>
      </c>
      <c r="O352" t="s">
        <v>248</v>
      </c>
      <c r="P352" s="78">
        <v>45367</v>
      </c>
      <c r="Q352" t="str">
        <f t="shared" si="41"/>
        <v>Almási Petra - Shogun</v>
      </c>
      <c r="R352" t="s">
        <v>636</v>
      </c>
      <c r="S352" t="s">
        <v>636</v>
      </c>
      <c r="T352" t="s">
        <v>645</v>
      </c>
    </row>
    <row r="353" spans="1:20" x14ac:dyDescent="0.3">
      <c r="A353" t="s">
        <v>245</v>
      </c>
      <c r="B353" s="50">
        <v>2</v>
      </c>
      <c r="C353">
        <v>63</v>
      </c>
      <c r="D353" t="str">
        <f t="shared" ref="D353:D373" si="48">"Kumite"</f>
        <v>Kumite</v>
      </c>
      <c r="E353" t="s">
        <v>269</v>
      </c>
      <c r="F353" s="83" t="s">
        <v>529</v>
      </c>
      <c r="G353" s="50" t="str">
        <f>"4"</f>
        <v>4</v>
      </c>
      <c r="H353" t="str">
        <f>"4 fős körmérkőzés"</f>
        <v>4 fős körmérkőzés</v>
      </c>
      <c r="I353" s="50" t="str">
        <f>"1"</f>
        <v>1</v>
      </c>
      <c r="J353" t="str">
        <f>"Nagy Hunor"</f>
        <v>Nagy Hunor</v>
      </c>
      <c r="K353" t="s">
        <v>318</v>
      </c>
      <c r="L353" t="str">
        <f t="shared" ref="L353:L416" si="49">"HUN"</f>
        <v>HUN</v>
      </c>
      <c r="M353">
        <v>6</v>
      </c>
      <c r="O353" t="s">
        <v>248</v>
      </c>
      <c r="P353" s="78">
        <v>45367</v>
      </c>
      <c r="Q353" t="str">
        <f t="shared" si="41"/>
        <v>Nagy Hunor - Derecske BUDO</v>
      </c>
      <c r="R353" t="s">
        <v>636</v>
      </c>
      <c r="S353" t="s">
        <v>636</v>
      </c>
      <c r="T353" t="s">
        <v>645</v>
      </c>
    </row>
    <row r="354" spans="1:20" x14ac:dyDescent="0.3">
      <c r="A354" t="s">
        <v>245</v>
      </c>
      <c r="B354" s="50">
        <v>2</v>
      </c>
      <c r="C354">
        <v>64</v>
      </c>
      <c r="D354" t="str">
        <f t="shared" si="48"/>
        <v>Kumite</v>
      </c>
      <c r="E354" t="s">
        <v>269</v>
      </c>
      <c r="F354" s="83" t="s">
        <v>529</v>
      </c>
      <c r="G354" s="50" t="str">
        <f>"4"</f>
        <v>4</v>
      </c>
      <c r="H354" t="str">
        <f>"4 fős körmérkőzés"</f>
        <v>4 fős körmérkőzés</v>
      </c>
      <c r="I354" s="50" t="str">
        <f>"2"</f>
        <v>2</v>
      </c>
      <c r="J354" t="str">
        <f>"Papp Dávid"</f>
        <v>Papp Dávid</v>
      </c>
      <c r="K354" t="s">
        <v>331</v>
      </c>
      <c r="L354" t="str">
        <f t="shared" si="49"/>
        <v>HUN</v>
      </c>
      <c r="M354">
        <v>5</v>
      </c>
      <c r="O354" t="s">
        <v>248</v>
      </c>
      <c r="P354" s="78">
        <v>45367</v>
      </c>
      <c r="Q354" t="str">
        <f t="shared" si="41"/>
        <v>Papp Dávid - Nyíradonyi KKE</v>
      </c>
      <c r="R354" t="s">
        <v>636</v>
      </c>
      <c r="S354" t="s">
        <v>636</v>
      </c>
      <c r="T354" t="s">
        <v>645</v>
      </c>
    </row>
    <row r="355" spans="1:20" x14ac:dyDescent="0.3">
      <c r="A355" t="s">
        <v>245</v>
      </c>
      <c r="B355" s="50">
        <v>2</v>
      </c>
      <c r="C355">
        <v>65</v>
      </c>
      <c r="D355" t="str">
        <f t="shared" si="48"/>
        <v>Kumite</v>
      </c>
      <c r="E355" t="s">
        <v>269</v>
      </c>
      <c r="F355" s="83" t="s">
        <v>529</v>
      </c>
      <c r="G355" s="50" t="str">
        <f>"4"</f>
        <v>4</v>
      </c>
      <c r="H355" t="str">
        <f>"4 fős körmérkőzés"</f>
        <v>4 fős körmérkőzés</v>
      </c>
      <c r="I355" s="50" t="str">
        <f>"3"</f>
        <v>3</v>
      </c>
      <c r="J355" t="str">
        <f>"Stoffán Ádám Vilmos"</f>
        <v>Stoffán Ádám Vilmos</v>
      </c>
      <c r="K355" t="s">
        <v>87</v>
      </c>
      <c r="L355" t="str">
        <f t="shared" si="49"/>
        <v>HUN</v>
      </c>
      <c r="M355">
        <v>3</v>
      </c>
      <c r="O355" t="s">
        <v>248</v>
      </c>
      <c r="P355" s="78">
        <v>45367</v>
      </c>
      <c r="Q355" t="str">
        <f t="shared" si="41"/>
        <v>Stoffán Ádám Vilmos - Victory</v>
      </c>
      <c r="R355" t="s">
        <v>636</v>
      </c>
      <c r="S355" t="s">
        <v>636</v>
      </c>
      <c r="T355" t="s">
        <v>645</v>
      </c>
    </row>
    <row r="356" spans="1:20" x14ac:dyDescent="0.3">
      <c r="A356" t="s">
        <v>245</v>
      </c>
      <c r="B356" s="50">
        <v>2</v>
      </c>
      <c r="C356">
        <v>65</v>
      </c>
      <c r="D356" t="str">
        <f t="shared" si="48"/>
        <v>Kumite</v>
      </c>
      <c r="E356" t="s">
        <v>269</v>
      </c>
      <c r="F356" s="83" t="s">
        <v>529</v>
      </c>
      <c r="G356" s="50" t="str">
        <f>"4"</f>
        <v>4</v>
      </c>
      <c r="H356" t="str">
        <f>"4 fős körmérkőzés"</f>
        <v>4 fős körmérkőzés</v>
      </c>
      <c r="I356" s="50">
        <v>4</v>
      </c>
      <c r="J356" t="s">
        <v>368</v>
      </c>
      <c r="K356" t="s">
        <v>87</v>
      </c>
      <c r="L356" t="str">
        <f t="shared" si="49"/>
        <v>HUN</v>
      </c>
      <c r="M356">
        <v>2</v>
      </c>
      <c r="O356" t="s">
        <v>248</v>
      </c>
      <c r="P356" s="78">
        <v>45367</v>
      </c>
      <c r="Q356" t="str">
        <f t="shared" si="41"/>
        <v>MOLNÁR MARCELL - Victory</v>
      </c>
      <c r="R356" t="s">
        <v>636</v>
      </c>
      <c r="S356" t="s">
        <v>636</v>
      </c>
      <c r="T356" t="s">
        <v>645</v>
      </c>
    </row>
    <row r="357" spans="1:20" x14ac:dyDescent="0.3">
      <c r="A357" t="s">
        <v>245</v>
      </c>
      <c r="B357" s="50">
        <v>2</v>
      </c>
      <c r="C357">
        <v>66</v>
      </c>
      <c r="D357" t="str">
        <f t="shared" si="48"/>
        <v>Kumite</v>
      </c>
      <c r="E357" t="s">
        <v>270</v>
      </c>
      <c r="F357" s="83" t="s">
        <v>530</v>
      </c>
      <c r="G357" s="50" t="str">
        <f>"6"</f>
        <v>6</v>
      </c>
      <c r="H357" t="str">
        <f>"6 fős vegyes"</f>
        <v>6 fős vegyes</v>
      </c>
      <c r="I357" s="50" t="str">
        <f>"1"</f>
        <v>1</v>
      </c>
      <c r="J357" t="str">
        <f>"Berényi Imre Márk"</f>
        <v>Berényi Imre Márk</v>
      </c>
      <c r="K357" t="s">
        <v>14</v>
      </c>
      <c r="L357" t="str">
        <f t="shared" si="49"/>
        <v>HUN</v>
      </c>
      <c r="M357">
        <v>6</v>
      </c>
      <c r="O357" t="s">
        <v>248</v>
      </c>
      <c r="P357" s="78">
        <v>45367</v>
      </c>
      <c r="Q357" t="str">
        <f t="shared" si="41"/>
        <v>Berényi Imre Márk - Shogun</v>
      </c>
      <c r="R357" t="s">
        <v>636</v>
      </c>
      <c r="S357" t="s">
        <v>636</v>
      </c>
      <c r="T357" t="s">
        <v>645</v>
      </c>
    </row>
    <row r="358" spans="1:20" x14ac:dyDescent="0.3">
      <c r="A358" t="s">
        <v>245</v>
      </c>
      <c r="B358" s="50">
        <v>2</v>
      </c>
      <c r="C358">
        <v>67</v>
      </c>
      <c r="D358" t="str">
        <f t="shared" si="48"/>
        <v>Kumite</v>
      </c>
      <c r="E358" t="s">
        <v>270</v>
      </c>
      <c r="F358" s="83" t="s">
        <v>530</v>
      </c>
      <c r="G358" s="50" t="str">
        <f>"6"</f>
        <v>6</v>
      </c>
      <c r="H358" t="str">
        <f>"6 fős vegyes"</f>
        <v>6 fős vegyes</v>
      </c>
      <c r="I358" s="50" t="str">
        <f>"2"</f>
        <v>2</v>
      </c>
      <c r="J358" t="str">
        <f>"Dorka Zalán"</f>
        <v>Dorka Zalán</v>
      </c>
      <c r="K358" t="s">
        <v>35</v>
      </c>
      <c r="L358" t="str">
        <f t="shared" si="49"/>
        <v>HUN</v>
      </c>
      <c r="M358">
        <v>5</v>
      </c>
      <c r="O358" t="s">
        <v>248</v>
      </c>
      <c r="P358" s="78">
        <v>45367</v>
      </c>
      <c r="Q358" t="str">
        <f t="shared" si="41"/>
        <v>Dorka Zalán - KHSE</v>
      </c>
      <c r="R358" t="s">
        <v>636</v>
      </c>
      <c r="S358" t="s">
        <v>636</v>
      </c>
      <c r="T358" t="s">
        <v>645</v>
      </c>
    </row>
    <row r="359" spans="1:20" x14ac:dyDescent="0.3">
      <c r="A359" t="s">
        <v>245</v>
      </c>
      <c r="B359" s="50">
        <v>2</v>
      </c>
      <c r="C359">
        <v>68</v>
      </c>
      <c r="D359" t="str">
        <f t="shared" si="48"/>
        <v>Kumite</v>
      </c>
      <c r="E359" t="s">
        <v>270</v>
      </c>
      <c r="F359" s="83" t="s">
        <v>530</v>
      </c>
      <c r="G359" s="50" t="str">
        <f>"6"</f>
        <v>6</v>
      </c>
      <c r="H359" t="str">
        <f>"6 fős vegyes"</f>
        <v>6 fős vegyes</v>
      </c>
      <c r="I359" s="50" t="str">
        <f>"3"</f>
        <v>3</v>
      </c>
      <c r="J359" t="str">
        <f>"Novák Balázs"</f>
        <v>Novák Balázs</v>
      </c>
      <c r="K359" t="s">
        <v>39</v>
      </c>
      <c r="L359" t="str">
        <f t="shared" si="49"/>
        <v>HUN</v>
      </c>
      <c r="M359">
        <v>3</v>
      </c>
      <c r="O359" t="s">
        <v>248</v>
      </c>
      <c r="P359" s="78">
        <v>45367</v>
      </c>
      <c r="Q359" t="str">
        <f t="shared" si="41"/>
        <v>Novák Balázs - Bendiák Dojo</v>
      </c>
      <c r="R359" t="s">
        <v>636</v>
      </c>
      <c r="S359" t="s">
        <v>636</v>
      </c>
      <c r="T359" t="s">
        <v>645</v>
      </c>
    </row>
    <row r="360" spans="1:20" x14ac:dyDescent="0.3">
      <c r="A360" t="s">
        <v>245</v>
      </c>
      <c r="B360" s="50">
        <v>2</v>
      </c>
      <c r="C360">
        <v>69</v>
      </c>
      <c r="D360" t="str">
        <f t="shared" si="48"/>
        <v>Kumite</v>
      </c>
      <c r="E360" t="s">
        <v>271</v>
      </c>
      <c r="F360" s="83" t="s">
        <v>531</v>
      </c>
      <c r="G360" s="50" t="str">
        <f>"5"</f>
        <v>5</v>
      </c>
      <c r="H360" t="str">
        <f>"5 fős körmérkőzés"</f>
        <v>5 fős körmérkőzés</v>
      </c>
      <c r="I360" s="50" t="str">
        <f>"1"</f>
        <v>1</v>
      </c>
      <c r="J360" t="str">
        <f>"Székely Zsigmond"</f>
        <v>Székely Zsigmond</v>
      </c>
      <c r="K360" t="s">
        <v>151</v>
      </c>
      <c r="L360" t="str">
        <f t="shared" si="49"/>
        <v>HUN</v>
      </c>
      <c r="M360">
        <v>8</v>
      </c>
      <c r="O360" t="s">
        <v>248</v>
      </c>
      <c r="P360" s="78">
        <v>45367</v>
      </c>
      <c r="Q360" t="str">
        <f t="shared" si="41"/>
        <v>Székely Zsigmond - KYO Fighter SE</v>
      </c>
      <c r="R360" t="s">
        <v>636</v>
      </c>
      <c r="S360" t="s">
        <v>636</v>
      </c>
      <c r="T360" t="s">
        <v>645</v>
      </c>
    </row>
    <row r="361" spans="1:20" x14ac:dyDescent="0.3">
      <c r="A361" t="s">
        <v>245</v>
      </c>
      <c r="B361" s="50">
        <v>2</v>
      </c>
      <c r="C361">
        <v>70</v>
      </c>
      <c r="D361" t="str">
        <f t="shared" si="48"/>
        <v>Kumite</v>
      </c>
      <c r="E361" t="s">
        <v>271</v>
      </c>
      <c r="F361" s="83" t="s">
        <v>531</v>
      </c>
      <c r="G361" s="50" t="str">
        <f>"5"</f>
        <v>5</v>
      </c>
      <c r="H361" t="str">
        <f>"5 fős körmérkőzés"</f>
        <v>5 fős körmérkőzés</v>
      </c>
      <c r="I361" s="50" t="str">
        <f>"2"</f>
        <v>2</v>
      </c>
      <c r="J361" t="str">
        <f>"Tóth Máté"</f>
        <v>Tóth Máté</v>
      </c>
      <c r="K361" t="s">
        <v>14</v>
      </c>
      <c r="L361" t="str">
        <f t="shared" si="49"/>
        <v>HUN</v>
      </c>
      <c r="M361">
        <v>6</v>
      </c>
      <c r="O361" t="s">
        <v>248</v>
      </c>
      <c r="P361" s="78">
        <v>45367</v>
      </c>
      <c r="Q361" t="str">
        <f t="shared" si="41"/>
        <v>Tóth Máté - Shogun</v>
      </c>
      <c r="R361" t="s">
        <v>636</v>
      </c>
      <c r="S361" t="s">
        <v>636</v>
      </c>
      <c r="T361" t="s">
        <v>645</v>
      </c>
    </row>
    <row r="362" spans="1:20" x14ac:dyDescent="0.3">
      <c r="A362" t="s">
        <v>245</v>
      </c>
      <c r="B362" s="50">
        <v>2</v>
      </c>
      <c r="C362">
        <v>71</v>
      </c>
      <c r="D362" t="str">
        <f t="shared" si="48"/>
        <v>Kumite</v>
      </c>
      <c r="E362" t="s">
        <v>271</v>
      </c>
      <c r="F362" s="83" t="s">
        <v>531</v>
      </c>
      <c r="G362" s="50" t="str">
        <f>"5"</f>
        <v>5</v>
      </c>
      <c r="H362" t="str">
        <f>"5 fős körmérkőzés"</f>
        <v>5 fős körmérkőzés</v>
      </c>
      <c r="I362" s="50" t="str">
        <f>"3"</f>
        <v>3</v>
      </c>
      <c r="J362" t="str">
        <f>"Nagy Tamás"</f>
        <v>Nagy Tamás</v>
      </c>
      <c r="K362" t="s">
        <v>14</v>
      </c>
      <c r="L362" t="str">
        <f t="shared" si="49"/>
        <v>HUN</v>
      </c>
      <c r="M362">
        <v>4</v>
      </c>
      <c r="O362" t="s">
        <v>248</v>
      </c>
      <c r="P362" s="78">
        <v>45367</v>
      </c>
      <c r="Q362" t="str">
        <f t="shared" si="41"/>
        <v>Nagy Tamás - Shogun</v>
      </c>
      <c r="R362" t="s">
        <v>636</v>
      </c>
      <c r="S362" t="s">
        <v>636</v>
      </c>
      <c r="T362" t="s">
        <v>645</v>
      </c>
    </row>
    <row r="363" spans="1:20" x14ac:dyDescent="0.3">
      <c r="A363" t="s">
        <v>245</v>
      </c>
      <c r="B363" s="50">
        <v>2</v>
      </c>
      <c r="C363">
        <v>71</v>
      </c>
      <c r="D363" t="str">
        <f t="shared" si="48"/>
        <v>Kumite</v>
      </c>
      <c r="E363" t="s">
        <v>271</v>
      </c>
      <c r="F363" s="83" t="s">
        <v>531</v>
      </c>
      <c r="G363" s="50" t="str">
        <f>"5"</f>
        <v>5</v>
      </c>
      <c r="H363" t="str">
        <f>"5 fős körmérkőzés"</f>
        <v>5 fős körmérkőzés</v>
      </c>
      <c r="I363" s="50">
        <v>4</v>
      </c>
      <c r="J363" t="s">
        <v>369</v>
      </c>
      <c r="K363" t="s">
        <v>35</v>
      </c>
      <c r="L363" t="str">
        <f t="shared" si="49"/>
        <v>HUN</v>
      </c>
      <c r="M363">
        <v>3</v>
      </c>
      <c r="O363" t="s">
        <v>248</v>
      </c>
      <c r="P363" s="78">
        <v>45367</v>
      </c>
      <c r="Q363" t="str">
        <f t="shared" si="41"/>
        <v>Lakatos Ádám  - KHSE</v>
      </c>
      <c r="R363" t="s">
        <v>636</v>
      </c>
      <c r="S363" t="s">
        <v>636</v>
      </c>
      <c r="T363" t="s">
        <v>645</v>
      </c>
    </row>
    <row r="364" spans="1:20" x14ac:dyDescent="0.3">
      <c r="A364" t="s">
        <v>245</v>
      </c>
      <c r="B364" s="50">
        <v>2</v>
      </c>
      <c r="C364">
        <v>72</v>
      </c>
      <c r="D364" t="str">
        <f t="shared" si="48"/>
        <v>Kumite</v>
      </c>
      <c r="E364" t="s">
        <v>272</v>
      </c>
      <c r="F364" s="83" t="s">
        <v>532</v>
      </c>
      <c r="G364" s="50" t="str">
        <f>"11"</f>
        <v>11</v>
      </c>
      <c r="H364" t="str">
        <f>"16 fős egyenes kiesés"</f>
        <v>16 fős egyenes kiesés</v>
      </c>
      <c r="I364" s="50" t="str">
        <f>"1"</f>
        <v>1</v>
      </c>
      <c r="J364" t="str">
        <f>"Ménes Milán"</f>
        <v>Ménes Milán</v>
      </c>
      <c r="K364" t="s">
        <v>35</v>
      </c>
      <c r="L364" t="str">
        <f t="shared" si="49"/>
        <v>HUN</v>
      </c>
      <c r="M364">
        <v>8</v>
      </c>
      <c r="O364" t="s">
        <v>248</v>
      </c>
      <c r="P364" s="78">
        <v>45367</v>
      </c>
      <c r="Q364" t="str">
        <f t="shared" si="41"/>
        <v>Ménes Milán - KHSE</v>
      </c>
      <c r="R364" t="s">
        <v>636</v>
      </c>
      <c r="S364" t="s">
        <v>636</v>
      </c>
      <c r="T364" t="s">
        <v>645</v>
      </c>
    </row>
    <row r="365" spans="1:20" x14ac:dyDescent="0.3">
      <c r="A365" t="s">
        <v>245</v>
      </c>
      <c r="B365" s="50">
        <v>2</v>
      </c>
      <c r="C365">
        <v>73</v>
      </c>
      <c r="D365" t="str">
        <f t="shared" si="48"/>
        <v>Kumite</v>
      </c>
      <c r="E365" t="s">
        <v>272</v>
      </c>
      <c r="F365" s="83" t="s">
        <v>532</v>
      </c>
      <c r="G365" s="50" t="str">
        <f>"11"</f>
        <v>11</v>
      </c>
      <c r="H365" t="str">
        <f>"16 fős egyenes kiesés"</f>
        <v>16 fős egyenes kiesés</v>
      </c>
      <c r="I365" s="50" t="str">
        <f>"2"</f>
        <v>2</v>
      </c>
      <c r="J365" t="str">
        <f>"Ungvári Levente"</f>
        <v>Ungvári Levente</v>
      </c>
      <c r="K365" t="s">
        <v>14</v>
      </c>
      <c r="L365" t="str">
        <f t="shared" si="49"/>
        <v>HUN</v>
      </c>
      <c r="M365">
        <v>6</v>
      </c>
      <c r="O365" t="s">
        <v>248</v>
      </c>
      <c r="P365" s="78">
        <v>45367</v>
      </c>
      <c r="Q365" t="str">
        <f t="shared" si="41"/>
        <v>Ungvári Levente - Shogun</v>
      </c>
      <c r="R365" t="s">
        <v>636</v>
      </c>
      <c r="S365" t="s">
        <v>636</v>
      </c>
      <c r="T365" t="s">
        <v>645</v>
      </c>
    </row>
    <row r="366" spans="1:20" x14ac:dyDescent="0.3">
      <c r="A366" t="s">
        <v>245</v>
      </c>
      <c r="B366" s="50">
        <v>2</v>
      </c>
      <c r="C366">
        <v>74</v>
      </c>
      <c r="D366" t="str">
        <f t="shared" si="48"/>
        <v>Kumite</v>
      </c>
      <c r="E366" t="s">
        <v>272</v>
      </c>
      <c r="F366" s="83" t="s">
        <v>532</v>
      </c>
      <c r="G366" s="50" t="str">
        <f>"11"</f>
        <v>11</v>
      </c>
      <c r="H366" t="str">
        <f>"16 fős egyenes kiesés"</f>
        <v>16 fős egyenes kiesés</v>
      </c>
      <c r="I366" s="50" t="str">
        <f>"3"</f>
        <v>3</v>
      </c>
      <c r="J366" t="str">
        <f>"Gyurcsán Tibor Balázs"</f>
        <v>Gyurcsán Tibor Balázs</v>
      </c>
      <c r="K366" t="s">
        <v>320</v>
      </c>
      <c r="L366" t="str">
        <f t="shared" si="49"/>
        <v>HUN</v>
      </c>
      <c r="M366">
        <v>4</v>
      </c>
      <c r="O366" t="s">
        <v>248</v>
      </c>
      <c r="P366" s="78">
        <v>45367</v>
      </c>
      <c r="Q366" t="str">
        <f t="shared" si="41"/>
        <v>Gyurcsán Tibor Balázs - Fight-team</v>
      </c>
      <c r="R366" t="s">
        <v>636</v>
      </c>
      <c r="S366" t="s">
        <v>636</v>
      </c>
      <c r="T366" t="s">
        <v>645</v>
      </c>
    </row>
    <row r="367" spans="1:20" x14ac:dyDescent="0.3">
      <c r="A367" t="s">
        <v>245</v>
      </c>
      <c r="B367" s="50">
        <v>2</v>
      </c>
      <c r="C367">
        <v>75</v>
      </c>
      <c r="D367" t="str">
        <f t="shared" si="48"/>
        <v>Kumite</v>
      </c>
      <c r="E367" t="s">
        <v>272</v>
      </c>
      <c r="F367" s="83" t="s">
        <v>532</v>
      </c>
      <c r="G367" s="50" t="str">
        <f>"11"</f>
        <v>11</v>
      </c>
      <c r="H367" t="str">
        <f>"16 fős egyenes kiesés"</f>
        <v>16 fős egyenes kiesés</v>
      </c>
      <c r="I367" s="50" t="str">
        <f>"3"</f>
        <v>3</v>
      </c>
      <c r="J367" t="str">
        <f>"Kurucz Gergő"</f>
        <v>Kurucz Gergő</v>
      </c>
      <c r="K367" t="s">
        <v>87</v>
      </c>
      <c r="L367" t="str">
        <f t="shared" si="49"/>
        <v>HUN</v>
      </c>
      <c r="M367">
        <v>4</v>
      </c>
      <c r="O367" t="s">
        <v>248</v>
      </c>
      <c r="P367" s="78">
        <v>45367</v>
      </c>
      <c r="Q367" t="str">
        <f t="shared" si="41"/>
        <v>Kurucz Gergő - Victory</v>
      </c>
      <c r="R367" t="s">
        <v>636</v>
      </c>
      <c r="S367" t="s">
        <v>636</v>
      </c>
      <c r="T367" t="s">
        <v>645</v>
      </c>
    </row>
    <row r="368" spans="1:20" x14ac:dyDescent="0.3">
      <c r="A368" t="s">
        <v>245</v>
      </c>
      <c r="B368" s="50">
        <v>2</v>
      </c>
      <c r="C368">
        <v>76</v>
      </c>
      <c r="D368" t="str">
        <f t="shared" si="48"/>
        <v>Kumite</v>
      </c>
      <c r="E368" t="s">
        <v>273</v>
      </c>
      <c r="F368" s="83" t="s">
        <v>535</v>
      </c>
      <c r="G368" s="50" t="str">
        <f>"3"</f>
        <v>3</v>
      </c>
      <c r="H368" t="str">
        <f>"3 fős körmérkőzés"</f>
        <v>3 fős körmérkőzés</v>
      </c>
      <c r="I368" s="50" t="str">
        <f>"1"</f>
        <v>1</v>
      </c>
      <c r="J368" t="str">
        <f>"Nagy Ádám Szabolcs"</f>
        <v>Nagy Ádám Szabolcs</v>
      </c>
      <c r="K368" t="s">
        <v>334</v>
      </c>
      <c r="L368" t="str">
        <f t="shared" si="49"/>
        <v>HUN</v>
      </c>
      <c r="M368">
        <v>4</v>
      </c>
      <c r="O368" t="s">
        <v>248</v>
      </c>
      <c r="P368" s="78">
        <v>45367</v>
      </c>
      <c r="Q368" t="str">
        <f t="shared" si="41"/>
        <v>Nagy Ádám Szabolcs - Samurai SE</v>
      </c>
      <c r="R368" t="s">
        <v>636</v>
      </c>
      <c r="S368" t="s">
        <v>636</v>
      </c>
      <c r="T368" t="s">
        <v>645</v>
      </c>
    </row>
    <row r="369" spans="1:20" x14ac:dyDescent="0.3">
      <c r="A369" t="s">
        <v>245</v>
      </c>
      <c r="B369" s="50">
        <v>2</v>
      </c>
      <c r="C369">
        <v>77</v>
      </c>
      <c r="D369" t="str">
        <f t="shared" si="48"/>
        <v>Kumite</v>
      </c>
      <c r="E369" t="s">
        <v>273</v>
      </c>
      <c r="F369" s="83" t="s">
        <v>535</v>
      </c>
      <c r="G369" s="50" t="str">
        <f>"3"</f>
        <v>3</v>
      </c>
      <c r="H369" t="str">
        <f>"3 fős körmérkőzés"</f>
        <v>3 fős körmérkőzés</v>
      </c>
      <c r="I369" s="50" t="str">
        <f>"2"</f>
        <v>2</v>
      </c>
      <c r="J369" t="str">
        <f>"El Ali Ádám"</f>
        <v>El Ali Ádám</v>
      </c>
      <c r="K369" t="s">
        <v>14</v>
      </c>
      <c r="L369" t="str">
        <f t="shared" si="49"/>
        <v>HUN</v>
      </c>
      <c r="M369">
        <v>3</v>
      </c>
      <c r="O369" t="s">
        <v>248</v>
      </c>
      <c r="P369" s="78">
        <v>45367</v>
      </c>
      <c r="Q369" t="str">
        <f t="shared" si="41"/>
        <v>El Ali Ádám - Shogun</v>
      </c>
      <c r="R369" t="s">
        <v>636</v>
      </c>
      <c r="S369" t="s">
        <v>636</v>
      </c>
      <c r="T369" t="s">
        <v>645</v>
      </c>
    </row>
    <row r="370" spans="1:20" x14ac:dyDescent="0.3">
      <c r="A370" t="s">
        <v>245</v>
      </c>
      <c r="B370" s="50">
        <v>2</v>
      </c>
      <c r="C370">
        <v>78</v>
      </c>
      <c r="D370" t="str">
        <f t="shared" si="48"/>
        <v>Kumite</v>
      </c>
      <c r="E370" t="s">
        <v>273</v>
      </c>
      <c r="F370" s="83" t="s">
        <v>535</v>
      </c>
      <c r="G370" s="50" t="str">
        <f>"3"</f>
        <v>3</v>
      </c>
      <c r="H370" t="str">
        <f>"3 fős körmérkőzés"</f>
        <v>3 fős körmérkőzés</v>
      </c>
      <c r="I370" s="50" t="str">
        <f>"3"</f>
        <v>3</v>
      </c>
      <c r="J370" t="str">
        <f>"Kurucz Gergő"</f>
        <v>Kurucz Gergő</v>
      </c>
      <c r="K370" t="s">
        <v>322</v>
      </c>
      <c r="L370" t="str">
        <f t="shared" si="49"/>
        <v>HUN</v>
      </c>
      <c r="M370">
        <v>0</v>
      </c>
      <c r="N370" t="s">
        <v>158</v>
      </c>
      <c r="O370" t="s">
        <v>248</v>
      </c>
      <c r="P370" s="78">
        <v>45367</v>
      </c>
      <c r="Q370" t="str">
        <f t="shared" si="41"/>
        <v>Kurucz Gergő - Hajdúszoboszló</v>
      </c>
      <c r="R370" t="s">
        <v>636</v>
      </c>
      <c r="S370" t="s">
        <v>636</v>
      </c>
      <c r="T370" t="s">
        <v>645</v>
      </c>
    </row>
    <row r="371" spans="1:20" x14ac:dyDescent="0.3">
      <c r="A371" t="s">
        <v>245</v>
      </c>
      <c r="B371" s="50">
        <v>2</v>
      </c>
      <c r="C371">
        <v>79</v>
      </c>
      <c r="D371" t="str">
        <f t="shared" si="48"/>
        <v>Kumite</v>
      </c>
      <c r="E371" t="s">
        <v>274</v>
      </c>
      <c r="F371" s="83" t="s">
        <v>533</v>
      </c>
      <c r="G371" s="50" t="str">
        <f>"4"</f>
        <v>4</v>
      </c>
      <c r="H371" t="str">
        <f>"4 fős körmérkőzés"</f>
        <v>4 fős körmérkőzés</v>
      </c>
      <c r="I371" s="50" t="str">
        <f>"1"</f>
        <v>1</v>
      </c>
      <c r="J371" t="str">
        <f>"Reszkető Márk"</f>
        <v>Reszkető Márk</v>
      </c>
      <c r="K371" t="s">
        <v>14</v>
      </c>
      <c r="L371" t="str">
        <f t="shared" si="49"/>
        <v>HUN</v>
      </c>
      <c r="M371">
        <v>6</v>
      </c>
      <c r="O371" t="s">
        <v>248</v>
      </c>
      <c r="P371" s="78">
        <v>45367</v>
      </c>
      <c r="Q371" t="str">
        <f t="shared" si="41"/>
        <v>Reszkető Márk - Shogun</v>
      </c>
      <c r="R371" t="s">
        <v>636</v>
      </c>
      <c r="S371" t="s">
        <v>636</v>
      </c>
      <c r="T371" t="s">
        <v>645</v>
      </c>
    </row>
    <row r="372" spans="1:20" x14ac:dyDescent="0.3">
      <c r="A372" t="s">
        <v>245</v>
      </c>
      <c r="B372" s="50">
        <v>2</v>
      </c>
      <c r="C372">
        <v>80</v>
      </c>
      <c r="D372" t="str">
        <f t="shared" si="48"/>
        <v>Kumite</v>
      </c>
      <c r="E372" t="s">
        <v>274</v>
      </c>
      <c r="F372" s="83" t="s">
        <v>533</v>
      </c>
      <c r="G372" s="50" t="str">
        <f>"4"</f>
        <v>4</v>
      </c>
      <c r="H372" t="str">
        <f>"4 fős körmérkőzés"</f>
        <v>4 fős körmérkőzés</v>
      </c>
      <c r="I372" s="50" t="str">
        <f>"2"</f>
        <v>2</v>
      </c>
      <c r="J372" t="str">
        <f>"Vida Péter"</f>
        <v>Vida Péter</v>
      </c>
      <c r="K372" t="s">
        <v>312</v>
      </c>
      <c r="L372" t="str">
        <f t="shared" si="49"/>
        <v>HUN</v>
      </c>
      <c r="M372">
        <v>5</v>
      </c>
      <c r="O372" t="s">
        <v>248</v>
      </c>
      <c r="P372" s="78">
        <v>45367</v>
      </c>
      <c r="Q372" t="str">
        <f t="shared" si="41"/>
        <v>Vida Péter - Buke Reikon HRSE</v>
      </c>
      <c r="R372" t="s">
        <v>636</v>
      </c>
      <c r="S372" t="s">
        <v>636</v>
      </c>
      <c r="T372" t="s">
        <v>645</v>
      </c>
    </row>
    <row r="373" spans="1:20" x14ac:dyDescent="0.3">
      <c r="A373" t="s">
        <v>245</v>
      </c>
      <c r="B373" s="50">
        <v>2</v>
      </c>
      <c r="C373">
        <v>81</v>
      </c>
      <c r="D373" t="str">
        <f t="shared" si="48"/>
        <v>Kumite</v>
      </c>
      <c r="E373" t="s">
        <v>274</v>
      </c>
      <c r="F373" s="83" t="s">
        <v>533</v>
      </c>
      <c r="G373" s="50" t="str">
        <f>"4"</f>
        <v>4</v>
      </c>
      <c r="H373" t="str">
        <f>"4 fős körmérkőzés"</f>
        <v>4 fős körmérkőzés</v>
      </c>
      <c r="I373" s="50" t="str">
        <f>"3"</f>
        <v>3</v>
      </c>
      <c r="J373" t="str">
        <f>"Gál Milán György "</f>
        <v xml:space="preserve">Gál Milán György </v>
      </c>
      <c r="K373" t="s">
        <v>334</v>
      </c>
      <c r="L373" t="str">
        <f t="shared" si="49"/>
        <v>HUN</v>
      </c>
      <c r="M373">
        <v>3</v>
      </c>
      <c r="O373" t="s">
        <v>248</v>
      </c>
      <c r="P373" s="78">
        <v>45367</v>
      </c>
      <c r="Q373" t="str">
        <f t="shared" si="41"/>
        <v>Gál Milán György  - Samurai SE</v>
      </c>
      <c r="R373" t="s">
        <v>636</v>
      </c>
      <c r="S373" t="s">
        <v>636</v>
      </c>
      <c r="T373" t="s">
        <v>645</v>
      </c>
    </row>
    <row r="374" spans="1:20" x14ac:dyDescent="0.3">
      <c r="A374" t="s">
        <v>245</v>
      </c>
      <c r="B374" s="50">
        <v>2</v>
      </c>
      <c r="C374">
        <v>82</v>
      </c>
      <c r="D374" t="str">
        <f t="shared" ref="D374:D379" si="50">"Kata"</f>
        <v>Kata</v>
      </c>
      <c r="E374" t="s">
        <v>275</v>
      </c>
      <c r="F374" s="83" t="s">
        <v>537</v>
      </c>
      <c r="G374" s="50" t="str">
        <f t="shared" ref="G374:G379" si="51">"14"</f>
        <v>14</v>
      </c>
      <c r="H374" t="str">
        <f t="shared" ref="H374:H379" si="52">"16 fős egyenes kiesés"</f>
        <v>16 fős egyenes kiesés</v>
      </c>
      <c r="I374" s="50" t="str">
        <f>"1"</f>
        <v>1</v>
      </c>
      <c r="J374" t="str">
        <f>"MOLNÁR MARCELL"</f>
        <v>MOLNÁR MARCELL</v>
      </c>
      <c r="K374" t="s">
        <v>87</v>
      </c>
      <c r="L374" t="str">
        <f t="shared" si="49"/>
        <v>HUN</v>
      </c>
      <c r="M374">
        <v>6</v>
      </c>
      <c r="O374" t="s">
        <v>248</v>
      </c>
      <c r="P374" s="78">
        <v>45367</v>
      </c>
      <c r="Q374" t="str">
        <f t="shared" si="41"/>
        <v>MOLNÁR MARCELL - Victory</v>
      </c>
      <c r="R374" t="s">
        <v>636</v>
      </c>
      <c r="S374" t="s">
        <v>636</v>
      </c>
      <c r="T374" t="s">
        <v>645</v>
      </c>
    </row>
    <row r="375" spans="1:20" x14ac:dyDescent="0.3">
      <c r="A375" t="s">
        <v>245</v>
      </c>
      <c r="B375" s="50">
        <v>2</v>
      </c>
      <c r="C375">
        <v>83</v>
      </c>
      <c r="D375" t="str">
        <f t="shared" si="50"/>
        <v>Kata</v>
      </c>
      <c r="E375" t="s">
        <v>275</v>
      </c>
      <c r="F375" s="83" t="s">
        <v>537</v>
      </c>
      <c r="G375" s="50" t="str">
        <f t="shared" si="51"/>
        <v>14</v>
      </c>
      <c r="H375" t="str">
        <f t="shared" si="52"/>
        <v>16 fős egyenes kiesés</v>
      </c>
      <c r="I375" s="50" t="str">
        <f>"2"</f>
        <v>2</v>
      </c>
      <c r="J375" t="str">
        <f>"Lóránt Varga Milán"</f>
        <v>Lóránt Varga Milán</v>
      </c>
      <c r="K375" t="s">
        <v>14</v>
      </c>
      <c r="L375" t="str">
        <f t="shared" si="49"/>
        <v>HUN</v>
      </c>
      <c r="M375">
        <v>5</v>
      </c>
      <c r="O375" t="s">
        <v>248</v>
      </c>
      <c r="P375" s="78">
        <v>45367</v>
      </c>
      <c r="Q375" t="str">
        <f t="shared" si="41"/>
        <v>Lóránt Varga Milán - Shogun</v>
      </c>
      <c r="R375" t="s">
        <v>636</v>
      </c>
      <c r="S375" t="s">
        <v>636</v>
      </c>
      <c r="T375" t="s">
        <v>645</v>
      </c>
    </row>
    <row r="376" spans="1:20" x14ac:dyDescent="0.3">
      <c r="A376" t="s">
        <v>245</v>
      </c>
      <c r="B376" s="50">
        <v>2</v>
      </c>
      <c r="C376">
        <v>84</v>
      </c>
      <c r="D376" t="str">
        <f t="shared" si="50"/>
        <v>Kata</v>
      </c>
      <c r="E376" t="s">
        <v>275</v>
      </c>
      <c r="F376" s="83" t="s">
        <v>537</v>
      </c>
      <c r="G376" s="50" t="str">
        <f t="shared" si="51"/>
        <v>14</v>
      </c>
      <c r="H376" t="str">
        <f t="shared" si="52"/>
        <v>16 fős egyenes kiesés</v>
      </c>
      <c r="I376" s="50" t="str">
        <f>"3"</f>
        <v>3</v>
      </c>
      <c r="J376" t="str">
        <f>"Szathmári Márton"</f>
        <v>Szathmári Márton</v>
      </c>
      <c r="K376" t="s">
        <v>14</v>
      </c>
      <c r="L376" t="str">
        <f t="shared" si="49"/>
        <v>HUN</v>
      </c>
      <c r="M376">
        <v>3</v>
      </c>
      <c r="O376" t="s">
        <v>248</v>
      </c>
      <c r="P376" s="78">
        <v>45367</v>
      </c>
      <c r="Q376" t="str">
        <f t="shared" si="41"/>
        <v>Szathmári Márton - Shogun</v>
      </c>
      <c r="R376" t="s">
        <v>636</v>
      </c>
      <c r="S376" t="s">
        <v>636</v>
      </c>
      <c r="T376" t="s">
        <v>645</v>
      </c>
    </row>
    <row r="377" spans="1:20" x14ac:dyDescent="0.3">
      <c r="A377" t="s">
        <v>245</v>
      </c>
      <c r="B377" s="50">
        <v>2</v>
      </c>
      <c r="C377">
        <v>85</v>
      </c>
      <c r="D377" t="str">
        <f t="shared" si="50"/>
        <v>Kata</v>
      </c>
      <c r="E377" t="s">
        <v>275</v>
      </c>
      <c r="F377" s="83" t="s">
        <v>537</v>
      </c>
      <c r="G377" s="50" t="str">
        <f t="shared" si="51"/>
        <v>14</v>
      </c>
      <c r="H377" t="str">
        <f t="shared" si="52"/>
        <v>16 fős egyenes kiesés</v>
      </c>
      <c r="I377" s="50" t="str">
        <f>"3"</f>
        <v>3</v>
      </c>
      <c r="J377" t="str">
        <f>"Berényi Imre Márk"</f>
        <v>Berényi Imre Márk</v>
      </c>
      <c r="K377" t="s">
        <v>14</v>
      </c>
      <c r="L377" t="str">
        <f t="shared" si="49"/>
        <v>HUN</v>
      </c>
      <c r="M377">
        <v>3</v>
      </c>
      <c r="O377" t="s">
        <v>248</v>
      </c>
      <c r="P377" s="78">
        <v>45367</v>
      </c>
      <c r="Q377" t="str">
        <f t="shared" si="41"/>
        <v>Berényi Imre Márk - Shogun</v>
      </c>
      <c r="R377" t="s">
        <v>636</v>
      </c>
      <c r="S377" t="s">
        <v>636</v>
      </c>
      <c r="T377" t="s">
        <v>645</v>
      </c>
    </row>
    <row r="378" spans="1:20" x14ac:dyDescent="0.3">
      <c r="A378" t="s">
        <v>245</v>
      </c>
      <c r="B378" s="50">
        <v>2</v>
      </c>
      <c r="C378">
        <v>85</v>
      </c>
      <c r="D378" t="str">
        <f t="shared" si="50"/>
        <v>Kata</v>
      </c>
      <c r="E378" t="s">
        <v>275</v>
      </c>
      <c r="F378" s="83" t="s">
        <v>537</v>
      </c>
      <c r="G378" s="50" t="str">
        <f t="shared" si="51"/>
        <v>14</v>
      </c>
      <c r="H378" t="str">
        <f t="shared" si="52"/>
        <v>16 fős egyenes kiesés</v>
      </c>
      <c r="I378" s="67" t="s">
        <v>302</v>
      </c>
      <c r="J378" t="s">
        <v>370</v>
      </c>
      <c r="K378" t="s">
        <v>39</v>
      </c>
      <c r="L378" t="str">
        <f t="shared" si="49"/>
        <v>HUN</v>
      </c>
      <c r="M378">
        <v>1</v>
      </c>
      <c r="N378" t="s">
        <v>304</v>
      </c>
      <c r="O378" t="s">
        <v>248</v>
      </c>
      <c r="P378" s="78">
        <v>45367</v>
      </c>
      <c r="Q378" t="str">
        <f t="shared" si="41"/>
        <v>Novák Máté - Bendiák Dojo</v>
      </c>
      <c r="R378" t="s">
        <v>636</v>
      </c>
      <c r="S378" t="s">
        <v>636</v>
      </c>
      <c r="T378" t="s">
        <v>645</v>
      </c>
    </row>
    <row r="379" spans="1:20" x14ac:dyDescent="0.3">
      <c r="A379" t="s">
        <v>245</v>
      </c>
      <c r="B379" s="50">
        <v>2</v>
      </c>
      <c r="C379">
        <v>85</v>
      </c>
      <c r="D379" t="str">
        <f t="shared" si="50"/>
        <v>Kata</v>
      </c>
      <c r="E379" t="s">
        <v>275</v>
      </c>
      <c r="F379" s="83" t="s">
        <v>537</v>
      </c>
      <c r="G379" s="50" t="str">
        <f t="shared" si="51"/>
        <v>14</v>
      </c>
      <c r="H379" t="str">
        <f t="shared" si="52"/>
        <v>16 fős egyenes kiesés</v>
      </c>
      <c r="I379" s="67" t="s">
        <v>302</v>
      </c>
      <c r="J379" t="s">
        <v>371</v>
      </c>
      <c r="K379" t="s">
        <v>39</v>
      </c>
      <c r="L379" t="str">
        <f t="shared" si="49"/>
        <v>HUN</v>
      </c>
      <c r="M379">
        <v>1</v>
      </c>
      <c r="N379" t="s">
        <v>304</v>
      </c>
      <c r="O379" t="s">
        <v>248</v>
      </c>
      <c r="P379" s="78">
        <v>45367</v>
      </c>
      <c r="Q379" t="str">
        <f t="shared" si="41"/>
        <v>Novák Balázs - Bendiák Dojo</v>
      </c>
      <c r="R379" t="s">
        <v>636</v>
      </c>
      <c r="S379" t="s">
        <v>636</v>
      </c>
      <c r="T379" t="s">
        <v>645</v>
      </c>
    </row>
    <row r="380" spans="1:20" x14ac:dyDescent="0.3">
      <c r="A380" t="s">
        <v>245</v>
      </c>
      <c r="B380" s="50">
        <v>2</v>
      </c>
      <c r="C380">
        <v>86</v>
      </c>
      <c r="D380" t="str">
        <f t="shared" ref="D380:D388" si="53">"Kumite"</f>
        <v>Kumite</v>
      </c>
      <c r="E380" t="s">
        <v>277</v>
      </c>
      <c r="F380" s="83" t="s">
        <v>539</v>
      </c>
      <c r="G380" s="50" t="str">
        <f>"6"</f>
        <v>6</v>
      </c>
      <c r="H380" t="str">
        <f>"6 fős vegyes"</f>
        <v>6 fős vegyes</v>
      </c>
      <c r="I380" s="50" t="str">
        <f>"1"</f>
        <v>1</v>
      </c>
      <c r="J380" t="str">
        <f>"Apáthy Aliz"</f>
        <v>Apáthy Aliz</v>
      </c>
      <c r="K380" t="s">
        <v>87</v>
      </c>
      <c r="L380" t="str">
        <f t="shared" si="49"/>
        <v>HUN</v>
      </c>
      <c r="M380">
        <v>6</v>
      </c>
      <c r="O380" t="s">
        <v>248</v>
      </c>
      <c r="P380" s="78">
        <v>45367</v>
      </c>
      <c r="Q380" t="str">
        <f t="shared" si="41"/>
        <v>Apáthy Aliz - Victory</v>
      </c>
      <c r="R380" t="s">
        <v>636</v>
      </c>
      <c r="S380" t="s">
        <v>636</v>
      </c>
      <c r="T380" t="s">
        <v>645</v>
      </c>
    </row>
    <row r="381" spans="1:20" x14ac:dyDescent="0.3">
      <c r="A381" t="s">
        <v>245</v>
      </c>
      <c r="B381" s="50">
        <v>2</v>
      </c>
      <c r="C381">
        <v>87</v>
      </c>
      <c r="D381" t="str">
        <f t="shared" si="53"/>
        <v>Kumite</v>
      </c>
      <c r="E381" t="s">
        <v>277</v>
      </c>
      <c r="F381" s="83" t="s">
        <v>539</v>
      </c>
      <c r="G381" s="50" t="str">
        <f>"6"</f>
        <v>6</v>
      </c>
      <c r="H381" t="str">
        <f>"6 fős vegyes"</f>
        <v>6 fős vegyes</v>
      </c>
      <c r="I381" s="50" t="str">
        <f>"2"</f>
        <v>2</v>
      </c>
      <c r="J381" t="str">
        <f>"Fúró Liliána"</f>
        <v>Fúró Liliána</v>
      </c>
      <c r="K381" t="s">
        <v>35</v>
      </c>
      <c r="L381" t="str">
        <f t="shared" si="49"/>
        <v>HUN</v>
      </c>
      <c r="M381">
        <v>5</v>
      </c>
      <c r="O381" t="s">
        <v>248</v>
      </c>
      <c r="P381" s="78">
        <v>45367</v>
      </c>
      <c r="Q381" t="str">
        <f t="shared" si="41"/>
        <v>Fúró Liliána - KHSE</v>
      </c>
      <c r="R381" t="s">
        <v>636</v>
      </c>
      <c r="S381" t="s">
        <v>636</v>
      </c>
      <c r="T381" t="s">
        <v>645</v>
      </c>
    </row>
    <row r="382" spans="1:20" x14ac:dyDescent="0.3">
      <c r="A382" t="s">
        <v>245</v>
      </c>
      <c r="B382" s="50">
        <v>2</v>
      </c>
      <c r="C382">
        <v>88</v>
      </c>
      <c r="D382" t="str">
        <f t="shared" si="53"/>
        <v>Kumite</v>
      </c>
      <c r="E382" t="s">
        <v>277</v>
      </c>
      <c r="F382" s="83" t="s">
        <v>539</v>
      </c>
      <c r="G382" s="50" t="str">
        <f>"6"</f>
        <v>6</v>
      </c>
      <c r="H382" t="str">
        <f>"6 fős vegyes"</f>
        <v>6 fős vegyes</v>
      </c>
      <c r="I382" s="50" t="str">
        <f>"3"</f>
        <v>3</v>
      </c>
      <c r="J382" t="str">
        <f>"Karap Virág"</f>
        <v>Karap Virág</v>
      </c>
      <c r="K382" t="s">
        <v>14</v>
      </c>
      <c r="L382" t="str">
        <f t="shared" si="49"/>
        <v>HUN</v>
      </c>
      <c r="M382">
        <v>3</v>
      </c>
      <c r="O382" t="s">
        <v>248</v>
      </c>
      <c r="P382" s="78">
        <v>45367</v>
      </c>
      <c r="Q382" t="str">
        <f t="shared" si="41"/>
        <v>Karap Virág - Shogun</v>
      </c>
      <c r="R382" t="s">
        <v>636</v>
      </c>
      <c r="S382" t="s">
        <v>636</v>
      </c>
      <c r="T382" t="s">
        <v>645</v>
      </c>
    </row>
    <row r="383" spans="1:20" x14ac:dyDescent="0.3">
      <c r="A383" t="s">
        <v>245</v>
      </c>
      <c r="B383" s="50">
        <v>2</v>
      </c>
      <c r="C383">
        <v>89</v>
      </c>
      <c r="D383" t="str">
        <f t="shared" si="53"/>
        <v>Kumite</v>
      </c>
      <c r="E383" t="s">
        <v>278</v>
      </c>
      <c r="F383" s="83" t="s">
        <v>540</v>
      </c>
      <c r="G383" s="50" t="str">
        <f t="shared" ref="G383:G388" si="54">"4"</f>
        <v>4</v>
      </c>
      <c r="H383" t="str">
        <f t="shared" ref="H383:H388" si="55">"4 fős körmérkőzés"</f>
        <v>4 fős körmérkőzés</v>
      </c>
      <c r="I383" s="50" t="str">
        <f>"1"</f>
        <v>1</v>
      </c>
      <c r="J383" t="str">
        <f>"Kolonics Anett"</f>
        <v>Kolonics Anett</v>
      </c>
      <c r="K383" t="s">
        <v>51</v>
      </c>
      <c r="L383" t="str">
        <f t="shared" si="49"/>
        <v>HUN</v>
      </c>
      <c r="M383">
        <v>6</v>
      </c>
      <c r="O383" t="s">
        <v>248</v>
      </c>
      <c r="P383" s="78">
        <v>45367</v>
      </c>
      <c r="Q383" t="str">
        <f t="shared" si="41"/>
        <v>Kolonics Anett - Kisvárda KKDOSC</v>
      </c>
      <c r="R383" t="s">
        <v>636</v>
      </c>
      <c r="S383" t="s">
        <v>636</v>
      </c>
      <c r="T383" t="s">
        <v>645</v>
      </c>
    </row>
    <row r="384" spans="1:20" x14ac:dyDescent="0.3">
      <c r="A384" t="s">
        <v>245</v>
      </c>
      <c r="B384" s="50">
        <v>2</v>
      </c>
      <c r="C384">
        <v>90</v>
      </c>
      <c r="D384" t="str">
        <f t="shared" si="53"/>
        <v>Kumite</v>
      </c>
      <c r="E384" t="s">
        <v>278</v>
      </c>
      <c r="F384" s="83" t="s">
        <v>540</v>
      </c>
      <c r="G384" s="50" t="str">
        <f t="shared" si="54"/>
        <v>4</v>
      </c>
      <c r="H384" t="str">
        <f t="shared" si="55"/>
        <v>4 fős körmérkőzés</v>
      </c>
      <c r="I384" s="50" t="str">
        <f>"2"</f>
        <v>2</v>
      </c>
      <c r="J384" t="str">
        <f>"Albert Szintia Szilvia "</f>
        <v xml:space="preserve">Albert Szintia Szilvia </v>
      </c>
      <c r="K384" t="s">
        <v>334</v>
      </c>
      <c r="L384" t="str">
        <f t="shared" si="49"/>
        <v>HUN</v>
      </c>
      <c r="M384">
        <v>5</v>
      </c>
      <c r="O384" t="s">
        <v>248</v>
      </c>
      <c r="P384" s="78">
        <v>45367</v>
      </c>
      <c r="Q384" t="str">
        <f t="shared" si="41"/>
        <v>Albert Szintia Szilvia  - Samurai SE</v>
      </c>
      <c r="R384" t="s">
        <v>636</v>
      </c>
      <c r="S384" t="s">
        <v>636</v>
      </c>
      <c r="T384" t="s">
        <v>645</v>
      </c>
    </row>
    <row r="385" spans="1:20" x14ac:dyDescent="0.3">
      <c r="A385" t="s">
        <v>245</v>
      </c>
      <c r="B385" s="50">
        <v>2</v>
      </c>
      <c r="C385">
        <v>91</v>
      </c>
      <c r="D385" t="str">
        <f t="shared" si="53"/>
        <v>Kumite</v>
      </c>
      <c r="E385" t="s">
        <v>278</v>
      </c>
      <c r="F385" s="83" t="s">
        <v>540</v>
      </c>
      <c r="G385" s="50" t="str">
        <f t="shared" si="54"/>
        <v>4</v>
      </c>
      <c r="H385" t="str">
        <f t="shared" si="55"/>
        <v>4 fős körmérkőzés</v>
      </c>
      <c r="I385" s="50" t="str">
        <f>"3"</f>
        <v>3</v>
      </c>
      <c r="J385" t="str">
        <f>"Barna Emese Nikolett"</f>
        <v>Barna Emese Nikolett</v>
      </c>
      <c r="K385" t="s">
        <v>39</v>
      </c>
      <c r="L385" t="str">
        <f t="shared" si="49"/>
        <v>HUN</v>
      </c>
      <c r="M385">
        <v>3</v>
      </c>
      <c r="O385" t="s">
        <v>248</v>
      </c>
      <c r="P385" s="78">
        <v>45367</v>
      </c>
      <c r="Q385" t="str">
        <f t="shared" si="41"/>
        <v>Barna Emese Nikolett - Bendiák Dojo</v>
      </c>
      <c r="R385" t="s">
        <v>636</v>
      </c>
      <c r="S385" t="s">
        <v>636</v>
      </c>
      <c r="T385" t="s">
        <v>645</v>
      </c>
    </row>
    <row r="386" spans="1:20" x14ac:dyDescent="0.3">
      <c r="A386" t="s">
        <v>245</v>
      </c>
      <c r="B386" s="50">
        <v>2</v>
      </c>
      <c r="C386">
        <v>92</v>
      </c>
      <c r="D386" t="str">
        <f t="shared" si="53"/>
        <v>Kumite</v>
      </c>
      <c r="E386" t="s">
        <v>297</v>
      </c>
      <c r="F386" s="83" t="s">
        <v>553</v>
      </c>
      <c r="G386" s="50" t="str">
        <f t="shared" si="54"/>
        <v>4</v>
      </c>
      <c r="H386" t="str">
        <f t="shared" si="55"/>
        <v>4 fős körmérkőzés</v>
      </c>
      <c r="I386" s="50" t="str">
        <f>"1"</f>
        <v>1</v>
      </c>
      <c r="J386" t="str">
        <f>"Pénzes Zsófia"</f>
        <v>Pénzes Zsófia</v>
      </c>
      <c r="K386" t="s">
        <v>35</v>
      </c>
      <c r="L386" t="str">
        <f t="shared" si="49"/>
        <v>HUN</v>
      </c>
      <c r="M386">
        <v>6</v>
      </c>
      <c r="O386" t="s">
        <v>248</v>
      </c>
      <c r="P386" s="78">
        <v>45367</v>
      </c>
      <c r="Q386" t="str">
        <f t="shared" si="41"/>
        <v>Pénzes Zsófia - KHSE</v>
      </c>
      <c r="R386" t="s">
        <v>636</v>
      </c>
      <c r="S386" t="s">
        <v>636</v>
      </c>
      <c r="T386" t="s">
        <v>645</v>
      </c>
    </row>
    <row r="387" spans="1:20" x14ac:dyDescent="0.3">
      <c r="A387" t="s">
        <v>245</v>
      </c>
      <c r="B387" s="50">
        <v>2</v>
      </c>
      <c r="C387">
        <v>92</v>
      </c>
      <c r="D387" t="str">
        <f t="shared" si="53"/>
        <v>Kumite</v>
      </c>
      <c r="E387" t="s">
        <v>297</v>
      </c>
      <c r="F387" s="83" t="s">
        <v>553</v>
      </c>
      <c r="G387" s="50" t="str">
        <f t="shared" si="54"/>
        <v>4</v>
      </c>
      <c r="H387" t="str">
        <f t="shared" si="55"/>
        <v>4 fős körmérkőzés</v>
      </c>
      <c r="I387" s="50">
        <v>2</v>
      </c>
      <c r="J387" t="s">
        <v>372</v>
      </c>
      <c r="K387" t="s">
        <v>35</v>
      </c>
      <c r="L387" t="str">
        <f t="shared" si="49"/>
        <v>HUN</v>
      </c>
      <c r="M387">
        <v>5</v>
      </c>
      <c r="O387" t="s">
        <v>248</v>
      </c>
      <c r="P387" s="78">
        <v>45367</v>
      </c>
      <c r="Q387" t="str">
        <f t="shared" ref="Q387:Q450" si="56">J387&amp;" - "&amp;K387</f>
        <v>Vórincsák Vivien - KHSE</v>
      </c>
      <c r="R387" t="s">
        <v>636</v>
      </c>
      <c r="S387" t="s">
        <v>636</v>
      </c>
      <c r="T387" t="s">
        <v>645</v>
      </c>
    </row>
    <row r="388" spans="1:20" x14ac:dyDescent="0.3">
      <c r="A388" t="s">
        <v>245</v>
      </c>
      <c r="B388" s="50">
        <v>2</v>
      </c>
      <c r="C388">
        <v>92</v>
      </c>
      <c r="D388" t="str">
        <f t="shared" si="53"/>
        <v>Kumite</v>
      </c>
      <c r="E388" t="s">
        <v>297</v>
      </c>
      <c r="F388" s="83" t="s">
        <v>553</v>
      </c>
      <c r="G388" s="50" t="str">
        <f t="shared" si="54"/>
        <v>4</v>
      </c>
      <c r="H388" t="str">
        <f t="shared" si="55"/>
        <v>4 fős körmérkőzés</v>
      </c>
      <c r="I388" s="50">
        <v>3</v>
      </c>
      <c r="J388" t="s">
        <v>373</v>
      </c>
      <c r="K388" t="s">
        <v>35</v>
      </c>
      <c r="L388" t="str">
        <f t="shared" si="49"/>
        <v>HUN</v>
      </c>
      <c r="M388">
        <v>3</v>
      </c>
      <c r="O388" t="s">
        <v>248</v>
      </c>
      <c r="P388" s="78">
        <v>45367</v>
      </c>
      <c r="Q388" t="str">
        <f t="shared" si="56"/>
        <v>Ecsedi Réka - KHSE</v>
      </c>
      <c r="R388" t="s">
        <v>636</v>
      </c>
      <c r="S388" t="s">
        <v>636</v>
      </c>
      <c r="T388" t="s">
        <v>645</v>
      </c>
    </row>
    <row r="389" spans="1:20" x14ac:dyDescent="0.3">
      <c r="A389" t="s">
        <v>245</v>
      </c>
      <c r="B389" s="50">
        <v>2</v>
      </c>
      <c r="C389">
        <v>93</v>
      </c>
      <c r="D389" t="str">
        <f>"Kata"</f>
        <v>Kata</v>
      </c>
      <c r="E389" t="s">
        <v>268</v>
      </c>
      <c r="F389" s="83" t="s">
        <v>538</v>
      </c>
      <c r="G389" s="50" t="str">
        <f>"5"</f>
        <v>5</v>
      </c>
      <c r="H389" t="str">
        <f>"8 fős egyenes kiesés"</f>
        <v>8 fős egyenes kiesés</v>
      </c>
      <c r="I389" s="50" t="str">
        <f>"1"</f>
        <v>1</v>
      </c>
      <c r="J389" t="str">
        <f>"Uszkai Flóra"</f>
        <v>Uszkai Flóra</v>
      </c>
      <c r="K389" t="s">
        <v>14</v>
      </c>
      <c r="L389" t="str">
        <f t="shared" si="49"/>
        <v>HUN</v>
      </c>
      <c r="M389">
        <v>5</v>
      </c>
      <c r="O389" t="s">
        <v>248</v>
      </c>
      <c r="P389" s="78">
        <v>45367</v>
      </c>
      <c r="Q389" t="str">
        <f t="shared" si="56"/>
        <v>Uszkai Flóra - Shogun</v>
      </c>
      <c r="R389" t="s">
        <v>636</v>
      </c>
      <c r="S389" t="s">
        <v>636</v>
      </c>
      <c r="T389" t="s">
        <v>645</v>
      </c>
    </row>
    <row r="390" spans="1:20" x14ac:dyDescent="0.3">
      <c r="A390" t="s">
        <v>245</v>
      </c>
      <c r="B390" s="50">
        <v>2</v>
      </c>
      <c r="C390">
        <v>94</v>
      </c>
      <c r="D390" t="str">
        <f>"Kata"</f>
        <v>Kata</v>
      </c>
      <c r="E390" t="s">
        <v>268</v>
      </c>
      <c r="F390" s="83" t="s">
        <v>538</v>
      </c>
      <c r="G390" s="50" t="str">
        <f>"5"</f>
        <v>5</v>
      </c>
      <c r="H390" t="str">
        <f>"8 fős egyenes kiesés"</f>
        <v>8 fős egyenes kiesés</v>
      </c>
      <c r="I390" s="50" t="str">
        <f>"2"</f>
        <v>2</v>
      </c>
      <c r="J390" t="str">
        <f>"Karap Anna"</f>
        <v>Karap Anna</v>
      </c>
      <c r="K390" t="s">
        <v>14</v>
      </c>
      <c r="L390" t="str">
        <f t="shared" si="49"/>
        <v>HUN</v>
      </c>
      <c r="M390">
        <v>4</v>
      </c>
      <c r="O390" t="s">
        <v>248</v>
      </c>
      <c r="P390" s="78">
        <v>45367</v>
      </c>
      <c r="Q390" t="str">
        <f t="shared" si="56"/>
        <v>Karap Anna - Shogun</v>
      </c>
      <c r="R390" t="s">
        <v>636</v>
      </c>
      <c r="S390" t="s">
        <v>636</v>
      </c>
      <c r="T390" t="s">
        <v>645</v>
      </c>
    </row>
    <row r="391" spans="1:20" x14ac:dyDescent="0.3">
      <c r="A391" t="s">
        <v>245</v>
      </c>
      <c r="B391" s="50">
        <v>2</v>
      </c>
      <c r="C391">
        <v>95</v>
      </c>
      <c r="D391" t="str">
        <f>"Kata"</f>
        <v>Kata</v>
      </c>
      <c r="E391" t="s">
        <v>268</v>
      </c>
      <c r="F391" s="83" t="s">
        <v>538</v>
      </c>
      <c r="G391" s="50" t="str">
        <f>"5"</f>
        <v>5</v>
      </c>
      <c r="H391" t="str">
        <f>"8 fős egyenes kiesés"</f>
        <v>8 fős egyenes kiesés</v>
      </c>
      <c r="I391" s="50" t="str">
        <f>"3"</f>
        <v>3</v>
      </c>
      <c r="J391" t="str">
        <f>"Farkas Eszter"</f>
        <v>Farkas Eszter</v>
      </c>
      <c r="K391" t="s">
        <v>39</v>
      </c>
      <c r="L391" t="str">
        <f t="shared" si="49"/>
        <v>HUN</v>
      </c>
      <c r="M391">
        <v>2</v>
      </c>
      <c r="O391" t="s">
        <v>248</v>
      </c>
      <c r="P391" s="78">
        <v>45367</v>
      </c>
      <c r="Q391" t="str">
        <f t="shared" si="56"/>
        <v>Farkas Eszter - Bendiák Dojo</v>
      </c>
      <c r="R391" t="s">
        <v>636</v>
      </c>
      <c r="S391" t="s">
        <v>636</v>
      </c>
      <c r="T391" t="s">
        <v>645</v>
      </c>
    </row>
    <row r="392" spans="1:20" x14ac:dyDescent="0.3">
      <c r="A392" t="s">
        <v>245</v>
      </c>
      <c r="B392" s="50">
        <v>2</v>
      </c>
      <c r="C392">
        <v>96</v>
      </c>
      <c r="D392" t="str">
        <f>"Kata"</f>
        <v>Kata</v>
      </c>
      <c r="E392" t="s">
        <v>268</v>
      </c>
      <c r="F392" s="83" t="s">
        <v>538</v>
      </c>
      <c r="G392" s="50" t="str">
        <f>"5"</f>
        <v>5</v>
      </c>
      <c r="H392" t="str">
        <f>"8 fős egyenes kiesés"</f>
        <v>8 fős egyenes kiesés</v>
      </c>
      <c r="I392" s="50" t="str">
        <f>"3"</f>
        <v>3</v>
      </c>
      <c r="J392" t="str">
        <f>"Karap Virág"</f>
        <v>Karap Virág</v>
      </c>
      <c r="K392" t="s">
        <v>14</v>
      </c>
      <c r="L392" t="str">
        <f t="shared" si="49"/>
        <v>HUN</v>
      </c>
      <c r="M392">
        <v>2</v>
      </c>
      <c r="O392" t="s">
        <v>248</v>
      </c>
      <c r="P392" s="78">
        <v>45367</v>
      </c>
      <c r="Q392" t="str">
        <f t="shared" si="56"/>
        <v>Karap Virág - Shogun</v>
      </c>
      <c r="R392" t="s">
        <v>636</v>
      </c>
      <c r="S392" t="s">
        <v>636</v>
      </c>
      <c r="T392" t="s">
        <v>645</v>
      </c>
    </row>
    <row r="393" spans="1:20" x14ac:dyDescent="0.3">
      <c r="A393" t="s">
        <v>245</v>
      </c>
      <c r="B393" s="50">
        <v>2</v>
      </c>
      <c r="C393">
        <v>97</v>
      </c>
      <c r="D393" t="str">
        <f t="shared" ref="D393:D411" si="57">"Kumite"</f>
        <v>Kumite</v>
      </c>
      <c r="E393" t="s">
        <v>280</v>
      </c>
      <c r="F393" s="83" t="s">
        <v>541</v>
      </c>
      <c r="G393" s="50" t="str">
        <f>"3"</f>
        <v>3</v>
      </c>
      <c r="H393" t="str">
        <f>"3 fős körmérkőzés"</f>
        <v>3 fős körmérkőzés</v>
      </c>
      <c r="I393" s="50" t="str">
        <f>"1"</f>
        <v>1</v>
      </c>
      <c r="J393" t="str">
        <f>"Nagy Péter"</f>
        <v>Nagy Péter</v>
      </c>
      <c r="K393" t="s">
        <v>35</v>
      </c>
      <c r="L393" t="str">
        <f t="shared" si="49"/>
        <v>HUN</v>
      </c>
      <c r="M393">
        <v>4</v>
      </c>
      <c r="O393" t="s">
        <v>248</v>
      </c>
      <c r="P393" s="78">
        <v>45367</v>
      </c>
      <c r="Q393" t="str">
        <f t="shared" si="56"/>
        <v>Nagy Péter - KHSE</v>
      </c>
      <c r="R393" t="s">
        <v>636</v>
      </c>
      <c r="S393" t="s">
        <v>636</v>
      </c>
      <c r="T393" t="s">
        <v>645</v>
      </c>
    </row>
    <row r="394" spans="1:20" x14ac:dyDescent="0.3">
      <c r="A394" t="s">
        <v>245</v>
      </c>
      <c r="B394" s="50">
        <v>2</v>
      </c>
      <c r="C394">
        <v>98</v>
      </c>
      <c r="D394" t="str">
        <f t="shared" si="57"/>
        <v>Kumite</v>
      </c>
      <c r="E394" t="s">
        <v>280</v>
      </c>
      <c r="F394" s="83" t="s">
        <v>541</v>
      </c>
      <c r="G394" s="50" t="str">
        <f>"3"</f>
        <v>3</v>
      </c>
      <c r="H394" t="str">
        <f>"3 fős körmérkőzés"</f>
        <v>3 fős körmérkőzés</v>
      </c>
      <c r="I394" s="50" t="str">
        <f>"2"</f>
        <v>2</v>
      </c>
      <c r="J394" t="str">
        <f>"Kállai László"</f>
        <v>Kállai László</v>
      </c>
      <c r="K394" t="s">
        <v>87</v>
      </c>
      <c r="L394" t="str">
        <f t="shared" si="49"/>
        <v>HUN</v>
      </c>
      <c r="M394">
        <v>3</v>
      </c>
      <c r="O394" t="s">
        <v>248</v>
      </c>
      <c r="P394" s="78">
        <v>45367</v>
      </c>
      <c r="Q394" t="str">
        <f t="shared" si="56"/>
        <v>Kállai László - Victory</v>
      </c>
      <c r="R394" t="s">
        <v>636</v>
      </c>
      <c r="S394" t="s">
        <v>636</v>
      </c>
      <c r="T394" t="s">
        <v>645</v>
      </c>
    </row>
    <row r="395" spans="1:20" x14ac:dyDescent="0.3">
      <c r="A395" t="s">
        <v>245</v>
      </c>
      <c r="B395" s="50">
        <v>2</v>
      </c>
      <c r="C395">
        <v>99</v>
      </c>
      <c r="D395" t="str">
        <f t="shared" si="57"/>
        <v>Kumite</v>
      </c>
      <c r="E395" t="s">
        <v>280</v>
      </c>
      <c r="F395" s="83" t="s">
        <v>541</v>
      </c>
      <c r="G395" s="50" t="str">
        <f>"3"</f>
        <v>3</v>
      </c>
      <c r="H395" t="str">
        <f>"3 fős körmérkőzés"</f>
        <v>3 fős körmérkőzés</v>
      </c>
      <c r="I395" s="50" t="str">
        <f>"3"</f>
        <v>3</v>
      </c>
      <c r="J395" t="str">
        <f>"Lakos Ádám"</f>
        <v>Lakos Ádám</v>
      </c>
      <c r="K395" t="s">
        <v>87</v>
      </c>
      <c r="L395" t="str">
        <f t="shared" si="49"/>
        <v>HUN</v>
      </c>
      <c r="M395">
        <v>0</v>
      </c>
      <c r="N395" t="s">
        <v>158</v>
      </c>
      <c r="O395" t="s">
        <v>248</v>
      </c>
      <c r="P395" s="78">
        <v>45367</v>
      </c>
      <c r="Q395" t="str">
        <f t="shared" si="56"/>
        <v>Lakos Ádám - Victory</v>
      </c>
      <c r="R395" t="s">
        <v>636</v>
      </c>
      <c r="S395" t="s">
        <v>636</v>
      </c>
      <c r="T395" t="s">
        <v>645</v>
      </c>
    </row>
    <row r="396" spans="1:20" x14ac:dyDescent="0.3">
      <c r="A396" t="s">
        <v>245</v>
      </c>
      <c r="B396" s="50">
        <v>2</v>
      </c>
      <c r="C396">
        <v>100</v>
      </c>
      <c r="D396" t="str">
        <f t="shared" si="57"/>
        <v>Kumite</v>
      </c>
      <c r="E396" t="s">
        <v>282</v>
      </c>
      <c r="F396" s="83" t="s">
        <v>544</v>
      </c>
      <c r="G396" s="50" t="str">
        <f>"6"</f>
        <v>6</v>
      </c>
      <c r="H396" t="str">
        <f>"6 fős vegyes"</f>
        <v>6 fős vegyes</v>
      </c>
      <c r="I396" s="50" t="str">
        <f>"1"</f>
        <v>1</v>
      </c>
      <c r="J396" t="str">
        <f>"Bacskai Bence"</f>
        <v>Bacskai Bence</v>
      </c>
      <c r="K396" t="s">
        <v>35</v>
      </c>
      <c r="L396" t="str">
        <f t="shared" si="49"/>
        <v>HUN</v>
      </c>
      <c r="M396">
        <v>6</v>
      </c>
      <c r="O396" t="s">
        <v>248</v>
      </c>
      <c r="P396" s="78">
        <v>45367</v>
      </c>
      <c r="Q396" t="str">
        <f t="shared" si="56"/>
        <v>Bacskai Bence - KHSE</v>
      </c>
      <c r="R396" t="s">
        <v>636</v>
      </c>
      <c r="S396" t="s">
        <v>636</v>
      </c>
      <c r="T396" t="s">
        <v>645</v>
      </c>
    </row>
    <row r="397" spans="1:20" x14ac:dyDescent="0.3">
      <c r="A397" t="s">
        <v>245</v>
      </c>
      <c r="B397" s="50">
        <v>2</v>
      </c>
      <c r="C397">
        <v>101</v>
      </c>
      <c r="D397" t="str">
        <f t="shared" si="57"/>
        <v>Kumite</v>
      </c>
      <c r="E397" t="s">
        <v>282</v>
      </c>
      <c r="F397" s="83" t="s">
        <v>544</v>
      </c>
      <c r="G397" s="50" t="str">
        <f>"6"</f>
        <v>6</v>
      </c>
      <c r="H397" t="str">
        <f>"6 fős vegyes"</f>
        <v>6 fős vegyes</v>
      </c>
      <c r="I397" s="50" t="str">
        <f>"2"</f>
        <v>2</v>
      </c>
      <c r="J397" t="str">
        <f>"Takács-Sárkány Csanád"</f>
        <v>Takács-Sárkány Csanád</v>
      </c>
      <c r="K397" t="s">
        <v>35</v>
      </c>
      <c r="L397" t="str">
        <f t="shared" si="49"/>
        <v>HUN</v>
      </c>
      <c r="M397">
        <v>5</v>
      </c>
      <c r="O397" t="s">
        <v>248</v>
      </c>
      <c r="P397" s="78">
        <v>45367</v>
      </c>
      <c r="Q397" t="str">
        <f t="shared" si="56"/>
        <v>Takács-Sárkány Csanád - KHSE</v>
      </c>
      <c r="R397" t="s">
        <v>636</v>
      </c>
      <c r="S397" t="s">
        <v>636</v>
      </c>
      <c r="T397" t="s">
        <v>645</v>
      </c>
    </row>
    <row r="398" spans="1:20" x14ac:dyDescent="0.3">
      <c r="A398" t="s">
        <v>245</v>
      </c>
      <c r="B398" s="50">
        <v>2</v>
      </c>
      <c r="C398">
        <v>102</v>
      </c>
      <c r="D398" t="str">
        <f t="shared" si="57"/>
        <v>Kumite</v>
      </c>
      <c r="E398" t="s">
        <v>282</v>
      </c>
      <c r="F398" s="83" t="s">
        <v>544</v>
      </c>
      <c r="G398" s="50" t="str">
        <f>"6"</f>
        <v>6</v>
      </c>
      <c r="H398" t="str">
        <f>"6 fős vegyes"</f>
        <v>6 fős vegyes</v>
      </c>
      <c r="I398" s="50" t="str">
        <f>"3"</f>
        <v>3</v>
      </c>
      <c r="J398" t="str">
        <f>"Vágó Csongor"</f>
        <v>Vágó Csongor</v>
      </c>
      <c r="K398" t="s">
        <v>14</v>
      </c>
      <c r="L398" t="str">
        <f t="shared" si="49"/>
        <v>HUN</v>
      </c>
      <c r="M398">
        <v>3</v>
      </c>
      <c r="O398" t="s">
        <v>248</v>
      </c>
      <c r="P398" s="78">
        <v>45367</v>
      </c>
      <c r="Q398" t="str">
        <f t="shared" si="56"/>
        <v>Vágó Csongor - Shogun</v>
      </c>
      <c r="R398" t="s">
        <v>636</v>
      </c>
      <c r="S398" t="s">
        <v>636</v>
      </c>
      <c r="T398" t="s">
        <v>645</v>
      </c>
    </row>
    <row r="399" spans="1:20" x14ac:dyDescent="0.3">
      <c r="A399" t="s">
        <v>245</v>
      </c>
      <c r="B399" s="50">
        <v>2</v>
      </c>
      <c r="C399">
        <v>103</v>
      </c>
      <c r="D399" t="str">
        <f t="shared" si="57"/>
        <v>Kumite</v>
      </c>
      <c r="E399" t="s">
        <v>291</v>
      </c>
      <c r="F399" s="83" t="s">
        <v>555</v>
      </c>
      <c r="G399" s="50" t="str">
        <f>"3"</f>
        <v>3</v>
      </c>
      <c r="H399" t="str">
        <f>"3 fős körmérkőzés"</f>
        <v>3 fős körmérkőzés</v>
      </c>
      <c r="I399" s="50" t="str">
        <f>"1"</f>
        <v>1</v>
      </c>
      <c r="J399" t="str">
        <f>"Szabó Ákos Roland"</f>
        <v>Szabó Ákos Roland</v>
      </c>
      <c r="K399" t="s">
        <v>35</v>
      </c>
      <c r="L399" t="str">
        <f t="shared" si="49"/>
        <v>HUN</v>
      </c>
      <c r="M399">
        <v>4</v>
      </c>
      <c r="O399" t="s">
        <v>248</v>
      </c>
      <c r="P399" s="78">
        <v>45367</v>
      </c>
      <c r="Q399" t="str">
        <f t="shared" si="56"/>
        <v>Szabó Ákos Roland - KHSE</v>
      </c>
      <c r="R399" t="s">
        <v>636</v>
      </c>
      <c r="S399" t="s">
        <v>636</v>
      </c>
      <c r="T399" t="s">
        <v>645</v>
      </c>
    </row>
    <row r="400" spans="1:20" x14ac:dyDescent="0.3">
      <c r="A400" t="s">
        <v>245</v>
      </c>
      <c r="B400" s="50">
        <v>2</v>
      </c>
      <c r="C400">
        <v>104</v>
      </c>
      <c r="D400" t="str">
        <f t="shared" si="57"/>
        <v>Kumite</v>
      </c>
      <c r="E400" t="s">
        <v>291</v>
      </c>
      <c r="F400" s="83" t="s">
        <v>555</v>
      </c>
      <c r="G400" s="50" t="str">
        <f>"3"</f>
        <v>3</v>
      </c>
      <c r="H400" t="str">
        <f>"3 fős körmérkőzés"</f>
        <v>3 fős körmérkőzés</v>
      </c>
      <c r="I400" s="50" t="str">
        <f>"2"</f>
        <v>2</v>
      </c>
      <c r="J400" t="str">
        <f>"Jónás Bence"</f>
        <v>Jónás Bence</v>
      </c>
      <c r="K400" t="s">
        <v>87</v>
      </c>
      <c r="L400" t="str">
        <f t="shared" si="49"/>
        <v>HUN</v>
      </c>
      <c r="M400">
        <v>3</v>
      </c>
      <c r="O400" t="s">
        <v>248</v>
      </c>
      <c r="P400" s="78">
        <v>45367</v>
      </c>
      <c r="Q400" t="str">
        <f t="shared" si="56"/>
        <v>Jónás Bence - Victory</v>
      </c>
      <c r="R400" t="s">
        <v>636</v>
      </c>
      <c r="S400" t="s">
        <v>636</v>
      </c>
      <c r="T400" t="s">
        <v>645</v>
      </c>
    </row>
    <row r="401" spans="1:20" x14ac:dyDescent="0.3">
      <c r="A401" t="s">
        <v>245</v>
      </c>
      <c r="B401" s="50">
        <v>2</v>
      </c>
      <c r="C401">
        <v>105</v>
      </c>
      <c r="D401" t="str">
        <f t="shared" si="57"/>
        <v>Kumite</v>
      </c>
      <c r="E401" t="s">
        <v>291</v>
      </c>
      <c r="F401" s="83" t="s">
        <v>555</v>
      </c>
      <c r="G401" s="50" t="str">
        <f>"3"</f>
        <v>3</v>
      </c>
      <c r="H401" t="str">
        <f>"3 fős körmérkőzés"</f>
        <v>3 fős körmérkőzés</v>
      </c>
      <c r="I401" s="50" t="str">
        <f>"3"</f>
        <v>3</v>
      </c>
      <c r="J401" t="str">
        <f>"Vancsó Ákos"</f>
        <v>Vancsó Ákos</v>
      </c>
      <c r="K401" t="s">
        <v>39</v>
      </c>
      <c r="L401" t="str">
        <f t="shared" si="49"/>
        <v>HUN</v>
      </c>
      <c r="M401">
        <v>0</v>
      </c>
      <c r="N401" t="s">
        <v>158</v>
      </c>
      <c r="O401" t="s">
        <v>248</v>
      </c>
      <c r="P401" s="78">
        <v>45367</v>
      </c>
      <c r="Q401" t="str">
        <f t="shared" si="56"/>
        <v>Vancsó Ákos - Bendiák Dojo</v>
      </c>
      <c r="R401" t="s">
        <v>636</v>
      </c>
      <c r="S401" t="s">
        <v>636</v>
      </c>
      <c r="T401" t="s">
        <v>645</v>
      </c>
    </row>
    <row r="402" spans="1:20" x14ac:dyDescent="0.3">
      <c r="A402" t="s">
        <v>245</v>
      </c>
      <c r="B402" s="50">
        <v>2</v>
      </c>
      <c r="C402">
        <v>106</v>
      </c>
      <c r="D402" t="str">
        <f t="shared" si="57"/>
        <v>Kumite</v>
      </c>
      <c r="E402" t="s">
        <v>283</v>
      </c>
      <c r="F402" s="83" t="s">
        <v>545</v>
      </c>
      <c r="G402" s="50" t="str">
        <f>"6"</f>
        <v>6</v>
      </c>
      <c r="H402" t="str">
        <f>"6 fős vegyes"</f>
        <v>6 fős vegyes</v>
      </c>
      <c r="I402" s="50" t="str">
        <f>"1"</f>
        <v>1</v>
      </c>
      <c r="J402" t="str">
        <f>"Kolláth-Pataki Gergely"</f>
        <v>Kolláth-Pataki Gergely</v>
      </c>
      <c r="K402" t="s">
        <v>47</v>
      </c>
      <c r="L402" t="str">
        <f t="shared" si="49"/>
        <v>HUN</v>
      </c>
      <c r="M402">
        <v>6</v>
      </c>
      <c r="O402" t="s">
        <v>248</v>
      </c>
      <c r="P402" s="78">
        <v>45367</v>
      </c>
      <c r="Q402" t="str">
        <f t="shared" si="56"/>
        <v>Kolláth-Pataki Gergely - BHMSE</v>
      </c>
      <c r="R402" t="s">
        <v>636</v>
      </c>
      <c r="S402" t="s">
        <v>636</v>
      </c>
      <c r="T402" t="s">
        <v>645</v>
      </c>
    </row>
    <row r="403" spans="1:20" x14ac:dyDescent="0.3">
      <c r="A403" t="s">
        <v>245</v>
      </c>
      <c r="B403" s="50">
        <v>2</v>
      </c>
      <c r="C403">
        <v>107</v>
      </c>
      <c r="D403" t="str">
        <f t="shared" si="57"/>
        <v>Kumite</v>
      </c>
      <c r="E403" t="s">
        <v>283</v>
      </c>
      <c r="F403" s="83" t="s">
        <v>545</v>
      </c>
      <c r="G403" s="50" t="str">
        <f>"6"</f>
        <v>6</v>
      </c>
      <c r="H403" t="str">
        <f>"6 fős vegyes"</f>
        <v>6 fős vegyes</v>
      </c>
      <c r="I403" s="50" t="str">
        <f>"2"</f>
        <v>2</v>
      </c>
      <c r="J403" t="str">
        <f>"Vass Balázs Benedek"</f>
        <v>Vass Balázs Benedek</v>
      </c>
      <c r="K403" t="s">
        <v>14</v>
      </c>
      <c r="L403" t="str">
        <f t="shared" si="49"/>
        <v>HUN</v>
      </c>
      <c r="M403">
        <v>5</v>
      </c>
      <c r="O403" t="s">
        <v>248</v>
      </c>
      <c r="P403" s="78">
        <v>45367</v>
      </c>
      <c r="Q403" t="str">
        <f t="shared" si="56"/>
        <v>Vass Balázs Benedek - Shogun</v>
      </c>
      <c r="R403" t="s">
        <v>636</v>
      </c>
      <c r="S403" t="s">
        <v>636</v>
      </c>
      <c r="T403" t="s">
        <v>645</v>
      </c>
    </row>
    <row r="404" spans="1:20" x14ac:dyDescent="0.3">
      <c r="A404" t="s">
        <v>245</v>
      </c>
      <c r="B404" s="50">
        <v>2</v>
      </c>
      <c r="C404">
        <v>108</v>
      </c>
      <c r="D404" t="str">
        <f t="shared" si="57"/>
        <v>Kumite</v>
      </c>
      <c r="E404" t="s">
        <v>283</v>
      </c>
      <c r="F404" s="83" t="s">
        <v>545</v>
      </c>
      <c r="G404" s="50" t="str">
        <f>"6"</f>
        <v>6</v>
      </c>
      <c r="H404" t="str">
        <f>"6 fős vegyes"</f>
        <v>6 fős vegyes</v>
      </c>
      <c r="I404" s="50" t="str">
        <f>"3"</f>
        <v>3</v>
      </c>
      <c r="J404" t="str">
        <f>"Nagy Richárd"</f>
        <v>Nagy Richárd</v>
      </c>
      <c r="K404" t="s">
        <v>149</v>
      </c>
      <c r="L404" t="str">
        <f t="shared" si="49"/>
        <v>HUN</v>
      </c>
      <c r="M404">
        <v>3</v>
      </c>
      <c r="O404" t="s">
        <v>248</v>
      </c>
      <c r="P404" s="78">
        <v>45367</v>
      </c>
      <c r="Q404" t="str">
        <f t="shared" si="56"/>
        <v>Nagy Richárd - Kagami</v>
      </c>
      <c r="R404" t="s">
        <v>636</v>
      </c>
      <c r="S404" t="s">
        <v>636</v>
      </c>
      <c r="T404" t="s">
        <v>645</v>
      </c>
    </row>
    <row r="405" spans="1:20" x14ac:dyDescent="0.3">
      <c r="A405" t="s">
        <v>245</v>
      </c>
      <c r="B405" s="50">
        <v>2</v>
      </c>
      <c r="C405">
        <v>109</v>
      </c>
      <c r="D405" t="str">
        <f t="shared" si="57"/>
        <v>Kumite</v>
      </c>
      <c r="E405" t="s">
        <v>292</v>
      </c>
      <c r="F405" s="83" t="s">
        <v>556</v>
      </c>
      <c r="G405" s="50" t="str">
        <f>"8"</f>
        <v>8</v>
      </c>
      <c r="H405" t="str">
        <f>"8 fős egyenes kiesés"</f>
        <v>8 fős egyenes kiesés</v>
      </c>
      <c r="I405" s="50" t="str">
        <f>"1"</f>
        <v>1</v>
      </c>
      <c r="J405" t="str">
        <f>"Bessenyei Csongor"</f>
        <v>Bessenyei Csongor</v>
      </c>
      <c r="K405" t="s">
        <v>14</v>
      </c>
      <c r="L405" t="str">
        <f t="shared" si="49"/>
        <v>HUN</v>
      </c>
      <c r="M405">
        <v>6</v>
      </c>
      <c r="O405" t="s">
        <v>248</v>
      </c>
      <c r="P405" s="78">
        <v>45367</v>
      </c>
      <c r="Q405" t="str">
        <f t="shared" si="56"/>
        <v>Bessenyei Csongor - Shogun</v>
      </c>
      <c r="R405" t="s">
        <v>636</v>
      </c>
      <c r="S405" t="s">
        <v>636</v>
      </c>
      <c r="T405" t="s">
        <v>645</v>
      </c>
    </row>
    <row r="406" spans="1:20" x14ac:dyDescent="0.3">
      <c r="A406" t="s">
        <v>245</v>
      </c>
      <c r="B406" s="50">
        <v>2</v>
      </c>
      <c r="C406">
        <v>110</v>
      </c>
      <c r="D406" t="str">
        <f t="shared" si="57"/>
        <v>Kumite</v>
      </c>
      <c r="E406" t="s">
        <v>292</v>
      </c>
      <c r="F406" s="83" t="s">
        <v>556</v>
      </c>
      <c r="G406" s="50" t="str">
        <f>"8"</f>
        <v>8</v>
      </c>
      <c r="H406" t="str">
        <f>"8 fős egyenes kiesés"</f>
        <v>8 fős egyenes kiesés</v>
      </c>
      <c r="I406" s="50" t="str">
        <f>"2"</f>
        <v>2</v>
      </c>
      <c r="J406" t="str">
        <f>"Tóth Kálmán"</f>
        <v>Tóth Kálmán</v>
      </c>
      <c r="K406" t="s">
        <v>14</v>
      </c>
      <c r="L406" t="str">
        <f t="shared" si="49"/>
        <v>HUN</v>
      </c>
      <c r="M406">
        <v>5</v>
      </c>
      <c r="O406" t="s">
        <v>248</v>
      </c>
      <c r="P406" s="78">
        <v>45367</v>
      </c>
      <c r="Q406" t="str">
        <f t="shared" si="56"/>
        <v>Tóth Kálmán - Shogun</v>
      </c>
      <c r="R406" t="s">
        <v>636</v>
      </c>
      <c r="S406" t="s">
        <v>636</v>
      </c>
      <c r="T406" t="s">
        <v>645</v>
      </c>
    </row>
    <row r="407" spans="1:20" x14ac:dyDescent="0.3">
      <c r="A407" t="s">
        <v>245</v>
      </c>
      <c r="B407" s="50">
        <v>2</v>
      </c>
      <c r="C407">
        <v>111</v>
      </c>
      <c r="D407" t="str">
        <f t="shared" si="57"/>
        <v>Kumite</v>
      </c>
      <c r="E407" t="s">
        <v>292</v>
      </c>
      <c r="F407" s="83" t="s">
        <v>556</v>
      </c>
      <c r="G407" s="50" t="str">
        <f>"8"</f>
        <v>8</v>
      </c>
      <c r="H407" t="str">
        <f>"8 fős egyenes kiesés"</f>
        <v>8 fős egyenes kiesés</v>
      </c>
      <c r="I407" s="50" t="str">
        <f>"3"</f>
        <v>3</v>
      </c>
      <c r="J407" t="str">
        <f>"Jónás Bálint"</f>
        <v>Jónás Bálint</v>
      </c>
      <c r="K407" t="s">
        <v>87</v>
      </c>
      <c r="L407" t="str">
        <f t="shared" si="49"/>
        <v>HUN</v>
      </c>
      <c r="M407">
        <v>3</v>
      </c>
      <c r="O407" t="s">
        <v>248</v>
      </c>
      <c r="P407" s="78">
        <v>45367</v>
      </c>
      <c r="Q407" t="str">
        <f t="shared" si="56"/>
        <v>Jónás Bálint - Victory</v>
      </c>
      <c r="R407" t="s">
        <v>636</v>
      </c>
      <c r="S407" t="s">
        <v>636</v>
      </c>
      <c r="T407" t="s">
        <v>645</v>
      </c>
    </row>
    <row r="408" spans="1:20" x14ac:dyDescent="0.3">
      <c r="A408" t="s">
        <v>245</v>
      </c>
      <c r="B408" s="50">
        <v>2</v>
      </c>
      <c r="C408">
        <v>112</v>
      </c>
      <c r="D408" t="str">
        <f t="shared" si="57"/>
        <v>Kumite</v>
      </c>
      <c r="E408" t="s">
        <v>292</v>
      </c>
      <c r="F408" s="83" t="s">
        <v>556</v>
      </c>
      <c r="G408" s="50" t="str">
        <f>"8"</f>
        <v>8</v>
      </c>
      <c r="H408" t="str">
        <f>"8 fős egyenes kiesés"</f>
        <v>8 fős egyenes kiesés</v>
      </c>
      <c r="I408" s="50" t="str">
        <f>"3"</f>
        <v>3</v>
      </c>
      <c r="J408" t="str">
        <f>"Boruzs Richárd"</f>
        <v>Boruzs Richárd</v>
      </c>
      <c r="K408" t="s">
        <v>35</v>
      </c>
      <c r="L408" t="str">
        <f t="shared" si="49"/>
        <v>HUN</v>
      </c>
      <c r="M408">
        <v>3</v>
      </c>
      <c r="O408" t="s">
        <v>248</v>
      </c>
      <c r="P408" s="78">
        <v>45367</v>
      </c>
      <c r="Q408" t="str">
        <f t="shared" si="56"/>
        <v>Boruzs Richárd - KHSE</v>
      </c>
      <c r="R408" t="s">
        <v>636</v>
      </c>
      <c r="S408" t="s">
        <v>636</v>
      </c>
      <c r="T408" t="s">
        <v>645</v>
      </c>
    </row>
    <row r="409" spans="1:20" x14ac:dyDescent="0.3">
      <c r="A409" t="s">
        <v>245</v>
      </c>
      <c r="B409" s="50">
        <v>2</v>
      </c>
      <c r="C409">
        <v>113</v>
      </c>
      <c r="D409" t="str">
        <f t="shared" si="57"/>
        <v>Kumite</v>
      </c>
      <c r="E409" t="s">
        <v>284</v>
      </c>
      <c r="F409" s="83" t="s">
        <v>547</v>
      </c>
      <c r="G409" s="50" t="str">
        <f>"3"</f>
        <v>3</v>
      </c>
      <c r="H409" t="str">
        <f>"3 fős körmérkőzés"</f>
        <v>3 fős körmérkőzés</v>
      </c>
      <c r="I409" s="50" t="str">
        <f>"1"</f>
        <v>1</v>
      </c>
      <c r="J409" t="str">
        <f>"Maklári Balázs"</f>
        <v>Maklári Balázs</v>
      </c>
      <c r="K409" t="s">
        <v>51</v>
      </c>
      <c r="L409" t="str">
        <f t="shared" si="49"/>
        <v>HUN</v>
      </c>
      <c r="M409">
        <v>4</v>
      </c>
      <c r="O409" t="s">
        <v>248</v>
      </c>
      <c r="P409" s="78">
        <v>45367</v>
      </c>
      <c r="Q409" t="str">
        <f t="shared" si="56"/>
        <v>Maklári Balázs - Kisvárda KKDOSC</v>
      </c>
      <c r="R409" t="s">
        <v>636</v>
      </c>
      <c r="S409" t="s">
        <v>636</v>
      </c>
      <c r="T409" t="s">
        <v>645</v>
      </c>
    </row>
    <row r="410" spans="1:20" x14ac:dyDescent="0.3">
      <c r="A410" t="s">
        <v>245</v>
      </c>
      <c r="B410" s="50">
        <v>2</v>
      </c>
      <c r="C410">
        <v>114</v>
      </c>
      <c r="D410" t="str">
        <f t="shared" si="57"/>
        <v>Kumite</v>
      </c>
      <c r="E410" t="s">
        <v>284</v>
      </c>
      <c r="F410" s="83" t="s">
        <v>547</v>
      </c>
      <c r="G410" s="50" t="str">
        <f>"3"</f>
        <v>3</v>
      </c>
      <c r="H410" t="str">
        <f>"3 fős körmérkőzés"</f>
        <v>3 fős körmérkőzés</v>
      </c>
      <c r="I410" s="50" t="str">
        <f>"2"</f>
        <v>2</v>
      </c>
      <c r="J410" t="str">
        <f>"Csorba Kristóf"</f>
        <v>Csorba Kristóf</v>
      </c>
      <c r="K410" t="s">
        <v>14</v>
      </c>
      <c r="L410" t="str">
        <f t="shared" si="49"/>
        <v>HUN</v>
      </c>
      <c r="M410">
        <v>3</v>
      </c>
      <c r="O410" t="s">
        <v>248</v>
      </c>
      <c r="P410" s="78">
        <v>45367</v>
      </c>
      <c r="Q410" t="str">
        <f t="shared" si="56"/>
        <v>Csorba Kristóf - Shogun</v>
      </c>
      <c r="R410" t="s">
        <v>636</v>
      </c>
      <c r="S410" t="s">
        <v>636</v>
      </c>
      <c r="T410" t="s">
        <v>645</v>
      </c>
    </row>
    <row r="411" spans="1:20" x14ac:dyDescent="0.3">
      <c r="A411" t="s">
        <v>245</v>
      </c>
      <c r="B411" s="50">
        <v>2</v>
      </c>
      <c r="C411">
        <v>115</v>
      </c>
      <c r="D411" t="str">
        <f t="shared" si="57"/>
        <v>Kumite</v>
      </c>
      <c r="E411" t="s">
        <v>284</v>
      </c>
      <c r="F411" s="83" t="s">
        <v>547</v>
      </c>
      <c r="G411" s="50" t="str">
        <f>"3"</f>
        <v>3</v>
      </c>
      <c r="H411" t="str">
        <f>"3 fős körmérkőzés"</f>
        <v>3 fős körmérkőzés</v>
      </c>
      <c r="I411" s="50" t="str">
        <f>"3"</f>
        <v>3</v>
      </c>
      <c r="J411" t="str">
        <f>"Soós Viktor"</f>
        <v>Soós Viktor</v>
      </c>
      <c r="K411" t="s">
        <v>51</v>
      </c>
      <c r="L411" t="str">
        <f t="shared" si="49"/>
        <v>HUN</v>
      </c>
      <c r="M411">
        <v>0</v>
      </c>
      <c r="N411" t="s">
        <v>158</v>
      </c>
      <c r="O411" t="s">
        <v>248</v>
      </c>
      <c r="P411" s="78">
        <v>45367</v>
      </c>
      <c r="Q411" t="str">
        <f t="shared" si="56"/>
        <v>Soós Viktor - Kisvárda KKDOSC</v>
      </c>
      <c r="R411" t="s">
        <v>636</v>
      </c>
      <c r="S411" t="s">
        <v>636</v>
      </c>
      <c r="T411" t="s">
        <v>645</v>
      </c>
    </row>
    <row r="412" spans="1:20" x14ac:dyDescent="0.3">
      <c r="A412" t="s">
        <v>245</v>
      </c>
      <c r="B412" s="50">
        <v>2</v>
      </c>
      <c r="C412">
        <v>116</v>
      </c>
      <c r="D412" t="str">
        <f>"Kata"</f>
        <v>Kata</v>
      </c>
      <c r="E412" t="s">
        <v>285</v>
      </c>
      <c r="F412" s="83" t="s">
        <v>548</v>
      </c>
      <c r="G412" s="50" t="str">
        <f>"7"</f>
        <v>7</v>
      </c>
      <c r="H412" t="str">
        <f>"8 fős egyenes kiesés + 3. hely"</f>
        <v>8 fős egyenes kiesés + 3. hely</v>
      </c>
      <c r="I412" s="50" t="str">
        <f>"1"</f>
        <v>1</v>
      </c>
      <c r="J412" t="str">
        <f>"Bessenyei Csongor"</f>
        <v>Bessenyei Csongor</v>
      </c>
      <c r="K412" t="s">
        <v>14</v>
      </c>
      <c r="L412" t="str">
        <f t="shared" si="49"/>
        <v>HUN</v>
      </c>
      <c r="M412">
        <v>5</v>
      </c>
      <c r="O412" t="s">
        <v>248</v>
      </c>
      <c r="P412" s="78">
        <v>45367</v>
      </c>
      <c r="Q412" t="str">
        <f t="shared" si="56"/>
        <v>Bessenyei Csongor - Shogun</v>
      </c>
      <c r="R412" t="s">
        <v>636</v>
      </c>
      <c r="S412" t="s">
        <v>636</v>
      </c>
      <c r="T412" t="s">
        <v>645</v>
      </c>
    </row>
    <row r="413" spans="1:20" x14ac:dyDescent="0.3">
      <c r="A413" t="s">
        <v>245</v>
      </c>
      <c r="B413" s="50">
        <v>2</v>
      </c>
      <c r="C413">
        <v>117</v>
      </c>
      <c r="D413" t="str">
        <f>"Kata"</f>
        <v>Kata</v>
      </c>
      <c r="E413" t="s">
        <v>285</v>
      </c>
      <c r="F413" s="83" t="s">
        <v>548</v>
      </c>
      <c r="G413" s="50" t="str">
        <f>"7"</f>
        <v>7</v>
      </c>
      <c r="H413" t="str">
        <f>"8 fős egyenes kiesés + 3. hely"</f>
        <v>8 fős egyenes kiesés + 3. hely</v>
      </c>
      <c r="I413" s="50" t="str">
        <f>"2"</f>
        <v>2</v>
      </c>
      <c r="J413" t="str">
        <f>"Terbócs Roland"</f>
        <v>Terbócs Roland</v>
      </c>
      <c r="K413" t="s">
        <v>14</v>
      </c>
      <c r="L413" t="str">
        <f t="shared" si="49"/>
        <v>HUN</v>
      </c>
      <c r="M413">
        <v>4</v>
      </c>
      <c r="O413" t="s">
        <v>248</v>
      </c>
      <c r="P413" s="78">
        <v>45367</v>
      </c>
      <c r="Q413" t="str">
        <f t="shared" si="56"/>
        <v>Terbócs Roland - Shogun</v>
      </c>
      <c r="R413" t="s">
        <v>636</v>
      </c>
      <c r="S413" t="s">
        <v>636</v>
      </c>
      <c r="T413" t="s">
        <v>645</v>
      </c>
    </row>
    <row r="414" spans="1:20" x14ac:dyDescent="0.3">
      <c r="A414" t="s">
        <v>245</v>
      </c>
      <c r="B414" s="50">
        <v>2</v>
      </c>
      <c r="C414">
        <v>118</v>
      </c>
      <c r="D414" t="str">
        <f>"Kata"</f>
        <v>Kata</v>
      </c>
      <c r="E414" t="s">
        <v>285</v>
      </c>
      <c r="F414" s="83" t="s">
        <v>548</v>
      </c>
      <c r="G414" s="50" t="str">
        <f>"7"</f>
        <v>7</v>
      </c>
      <c r="H414" t="str">
        <f>"8 fős egyenes kiesés + 3. hely"</f>
        <v>8 fős egyenes kiesés + 3. hely</v>
      </c>
      <c r="I414" s="50" t="str">
        <f>"3"</f>
        <v>3</v>
      </c>
      <c r="J414" t="str">
        <f>"Nagy Richárd"</f>
        <v>Nagy Richárd</v>
      </c>
      <c r="K414" t="s">
        <v>149</v>
      </c>
      <c r="L414" t="str">
        <f t="shared" si="49"/>
        <v>HUN</v>
      </c>
      <c r="M414">
        <v>2</v>
      </c>
      <c r="O414" t="s">
        <v>248</v>
      </c>
      <c r="P414" s="78">
        <v>45367</v>
      </c>
      <c r="Q414" t="str">
        <f t="shared" si="56"/>
        <v>Nagy Richárd - Kagami</v>
      </c>
      <c r="R414" t="s">
        <v>636</v>
      </c>
      <c r="S414" t="s">
        <v>636</v>
      </c>
      <c r="T414" t="s">
        <v>645</v>
      </c>
    </row>
    <row r="415" spans="1:20" x14ac:dyDescent="0.3">
      <c r="A415" t="s">
        <v>245</v>
      </c>
      <c r="B415" s="50">
        <v>2</v>
      </c>
      <c r="C415">
        <v>119</v>
      </c>
      <c r="D415" t="str">
        <f>"Kata"</f>
        <v>Kata</v>
      </c>
      <c r="E415" t="s">
        <v>285</v>
      </c>
      <c r="F415" s="83" t="s">
        <v>548</v>
      </c>
      <c r="G415" s="50" t="str">
        <f>"7"</f>
        <v>7</v>
      </c>
      <c r="H415" t="str">
        <f>"8 fős egyenes kiesés + 3. hely"</f>
        <v>8 fős egyenes kiesés + 3. hely</v>
      </c>
      <c r="I415" s="50" t="str">
        <f>"4"</f>
        <v>4</v>
      </c>
      <c r="J415" t="str">
        <f>"Vágó Márton"</f>
        <v>Vágó Márton</v>
      </c>
      <c r="K415" t="s">
        <v>14</v>
      </c>
      <c r="L415" t="str">
        <f t="shared" si="49"/>
        <v>HUN</v>
      </c>
      <c r="M415">
        <v>2</v>
      </c>
      <c r="O415" t="s">
        <v>248</v>
      </c>
      <c r="P415" s="78">
        <v>45367</v>
      </c>
      <c r="Q415" t="str">
        <f t="shared" si="56"/>
        <v>Vágó Márton - Shogun</v>
      </c>
      <c r="R415" t="s">
        <v>636</v>
      </c>
      <c r="S415" t="s">
        <v>636</v>
      </c>
      <c r="T415" t="s">
        <v>645</v>
      </c>
    </row>
    <row r="416" spans="1:20" x14ac:dyDescent="0.3">
      <c r="A416" t="s">
        <v>245</v>
      </c>
      <c r="B416" s="50">
        <v>2</v>
      </c>
      <c r="C416">
        <v>120</v>
      </c>
      <c r="D416" t="str">
        <f t="shared" ref="D416:D427" si="58">"Kumite"</f>
        <v>Kumite</v>
      </c>
      <c r="E416" t="s">
        <v>293</v>
      </c>
      <c r="F416" s="83" t="s">
        <v>546</v>
      </c>
      <c r="G416" s="50" t="str">
        <f>"2"</f>
        <v>2</v>
      </c>
      <c r="H416" t="str">
        <f>"2 fős egyenes kiesés"</f>
        <v>2 fős egyenes kiesés</v>
      </c>
      <c r="I416" s="50" t="str">
        <f>"1"</f>
        <v>1</v>
      </c>
      <c r="J416" t="str">
        <f>"Fekete Csenge"</f>
        <v>Fekete Csenge</v>
      </c>
      <c r="K416" t="s">
        <v>16</v>
      </c>
      <c r="L416" t="str">
        <f t="shared" si="49"/>
        <v>HUN</v>
      </c>
      <c r="M416">
        <v>3</v>
      </c>
      <c r="O416" t="s">
        <v>248</v>
      </c>
      <c r="P416" s="78">
        <v>45367</v>
      </c>
      <c r="Q416" t="str">
        <f t="shared" si="56"/>
        <v>Fekete Csenge - Nozomu Dojo</v>
      </c>
      <c r="R416" t="s">
        <v>636</v>
      </c>
      <c r="S416" t="s">
        <v>636</v>
      </c>
      <c r="T416" t="s">
        <v>645</v>
      </c>
    </row>
    <row r="417" spans="1:20" x14ac:dyDescent="0.3">
      <c r="A417" t="s">
        <v>245</v>
      </c>
      <c r="B417" s="50">
        <v>2</v>
      </c>
      <c r="C417">
        <v>121</v>
      </c>
      <c r="D417" t="str">
        <f t="shared" si="58"/>
        <v>Kumite</v>
      </c>
      <c r="E417" t="s">
        <v>293</v>
      </c>
      <c r="F417" s="83" t="s">
        <v>546</v>
      </c>
      <c r="G417" s="50" t="str">
        <f>"2"</f>
        <v>2</v>
      </c>
      <c r="H417" t="str">
        <f>"2 fős egyenes kiesés"</f>
        <v>2 fős egyenes kiesés</v>
      </c>
      <c r="I417" s="50" t="str">
        <f>"2"</f>
        <v>2</v>
      </c>
      <c r="J417" t="str">
        <f>"Szanics Boglárka"</f>
        <v>Szanics Boglárka</v>
      </c>
      <c r="K417" t="s">
        <v>14</v>
      </c>
      <c r="L417" t="str">
        <f t="shared" ref="L417:L480" si="59">"HUN"</f>
        <v>HUN</v>
      </c>
      <c r="M417">
        <v>0</v>
      </c>
      <c r="N417" t="s">
        <v>158</v>
      </c>
      <c r="O417" t="s">
        <v>248</v>
      </c>
      <c r="P417" s="78">
        <v>45367</v>
      </c>
      <c r="Q417" t="str">
        <f t="shared" si="56"/>
        <v>Szanics Boglárka - Shogun</v>
      </c>
      <c r="R417" t="s">
        <v>636</v>
      </c>
      <c r="S417" t="s">
        <v>636</v>
      </c>
      <c r="T417" t="s">
        <v>645</v>
      </c>
    </row>
    <row r="418" spans="1:20" x14ac:dyDescent="0.3">
      <c r="A418" t="s">
        <v>245</v>
      </c>
      <c r="B418" s="50">
        <v>2</v>
      </c>
      <c r="C418">
        <v>122</v>
      </c>
      <c r="D418" t="str">
        <f t="shared" si="58"/>
        <v>Kumite</v>
      </c>
      <c r="E418" t="s">
        <v>295</v>
      </c>
      <c r="F418" s="83" t="s">
        <v>551</v>
      </c>
      <c r="G418" s="50" t="str">
        <f>"5"</f>
        <v>5</v>
      </c>
      <c r="H418" t="str">
        <f>"5 fős körmérkőzés"</f>
        <v>5 fős körmérkőzés</v>
      </c>
      <c r="I418" s="50" t="str">
        <f>"1"</f>
        <v>1</v>
      </c>
      <c r="J418" t="str">
        <f>"Ágoston Sára"</f>
        <v>Ágoston Sára</v>
      </c>
      <c r="K418" t="s">
        <v>35</v>
      </c>
      <c r="L418" t="str">
        <f t="shared" si="59"/>
        <v>HUN</v>
      </c>
      <c r="M418">
        <v>8</v>
      </c>
      <c r="O418" t="s">
        <v>248</v>
      </c>
      <c r="P418" s="78">
        <v>45367</v>
      </c>
      <c r="Q418" t="str">
        <f t="shared" si="56"/>
        <v>Ágoston Sára - KHSE</v>
      </c>
      <c r="R418" t="s">
        <v>636</v>
      </c>
      <c r="S418" t="s">
        <v>636</v>
      </c>
      <c r="T418" t="s">
        <v>645</v>
      </c>
    </row>
    <row r="419" spans="1:20" x14ac:dyDescent="0.3">
      <c r="A419" t="s">
        <v>245</v>
      </c>
      <c r="B419" s="50">
        <v>2</v>
      </c>
      <c r="C419">
        <v>123</v>
      </c>
      <c r="D419" t="str">
        <f t="shared" si="58"/>
        <v>Kumite</v>
      </c>
      <c r="E419" t="s">
        <v>295</v>
      </c>
      <c r="F419" s="83" t="s">
        <v>551</v>
      </c>
      <c r="G419" s="50" t="str">
        <f>"5"</f>
        <v>5</v>
      </c>
      <c r="H419" t="str">
        <f>"5 fős körmérkőzés"</f>
        <v>5 fős körmérkőzés</v>
      </c>
      <c r="I419" s="50" t="str">
        <f>"2"</f>
        <v>2</v>
      </c>
      <c r="J419" t="str">
        <f>"Orosz Dorina"</f>
        <v>Orosz Dorina</v>
      </c>
      <c r="K419" t="s">
        <v>23</v>
      </c>
      <c r="L419" t="str">
        <f t="shared" si="59"/>
        <v>HUN</v>
      </c>
      <c r="M419">
        <v>6</v>
      </c>
      <c r="O419" t="s">
        <v>248</v>
      </c>
      <c r="P419" s="78">
        <v>45367</v>
      </c>
      <c r="Q419" t="str">
        <f t="shared" si="56"/>
        <v>Orosz Dorina - Kemecse SE</v>
      </c>
      <c r="R419" t="s">
        <v>636</v>
      </c>
      <c r="S419" t="s">
        <v>636</v>
      </c>
      <c r="T419" t="s">
        <v>645</v>
      </c>
    </row>
    <row r="420" spans="1:20" x14ac:dyDescent="0.3">
      <c r="A420" t="s">
        <v>245</v>
      </c>
      <c r="B420" s="50">
        <v>2</v>
      </c>
      <c r="C420">
        <v>124</v>
      </c>
      <c r="D420" t="str">
        <f t="shared" si="58"/>
        <v>Kumite</v>
      </c>
      <c r="E420" t="s">
        <v>295</v>
      </c>
      <c r="F420" s="83" t="s">
        <v>551</v>
      </c>
      <c r="G420" s="50" t="str">
        <f>"5"</f>
        <v>5</v>
      </c>
      <c r="H420" t="str">
        <f>"5 fős körmérkőzés"</f>
        <v>5 fős körmérkőzés</v>
      </c>
      <c r="I420" s="50" t="str">
        <f>"3"</f>
        <v>3</v>
      </c>
      <c r="J420" t="str">
        <f>"Hegedűs Anna "</f>
        <v xml:space="preserve">Hegedűs Anna </v>
      </c>
      <c r="K420" t="s">
        <v>320</v>
      </c>
      <c r="L420" t="str">
        <f t="shared" si="59"/>
        <v>HUN</v>
      </c>
      <c r="M420">
        <v>4</v>
      </c>
      <c r="O420" t="s">
        <v>248</v>
      </c>
      <c r="P420" s="78">
        <v>45367</v>
      </c>
      <c r="Q420" t="str">
        <f t="shared" si="56"/>
        <v>Hegedűs Anna  - Fight-team</v>
      </c>
      <c r="R420" t="s">
        <v>636</v>
      </c>
      <c r="S420" t="s">
        <v>636</v>
      </c>
      <c r="T420" t="s">
        <v>645</v>
      </c>
    </row>
    <row r="421" spans="1:20" x14ac:dyDescent="0.3">
      <c r="A421" t="s">
        <v>245</v>
      </c>
      <c r="B421" s="50">
        <v>2</v>
      </c>
      <c r="C421">
        <v>124</v>
      </c>
      <c r="D421" t="str">
        <f t="shared" si="58"/>
        <v>Kumite</v>
      </c>
      <c r="E421" t="s">
        <v>295</v>
      </c>
      <c r="F421" s="83" t="s">
        <v>551</v>
      </c>
      <c r="G421" s="50" t="str">
        <f>"5"</f>
        <v>5</v>
      </c>
      <c r="H421" t="str">
        <f>"5 fős körmérkőzés"</f>
        <v>5 fős körmérkőzés</v>
      </c>
      <c r="I421" s="50">
        <v>4</v>
      </c>
      <c r="J421" t="s">
        <v>374</v>
      </c>
      <c r="K421" t="s">
        <v>87</v>
      </c>
      <c r="L421" t="str">
        <f t="shared" si="59"/>
        <v>HUN</v>
      </c>
      <c r="M421">
        <v>3</v>
      </c>
      <c r="O421" t="s">
        <v>248</v>
      </c>
      <c r="P421" s="78">
        <v>45367</v>
      </c>
      <c r="Q421" t="str">
        <f t="shared" si="56"/>
        <v>Szabó Lara - Victory</v>
      </c>
      <c r="R421" t="s">
        <v>636</v>
      </c>
      <c r="S421" t="s">
        <v>636</v>
      </c>
      <c r="T421" t="s">
        <v>645</v>
      </c>
    </row>
    <row r="422" spans="1:20" x14ac:dyDescent="0.3">
      <c r="A422" t="s">
        <v>245</v>
      </c>
      <c r="B422" s="50">
        <v>2</v>
      </c>
      <c r="C422">
        <v>125</v>
      </c>
      <c r="D422" t="str">
        <f t="shared" si="58"/>
        <v>Kumite</v>
      </c>
      <c r="E422" t="s">
        <v>296</v>
      </c>
      <c r="F422" s="83" t="s">
        <v>552</v>
      </c>
      <c r="G422" s="50" t="str">
        <f>"3"</f>
        <v>3</v>
      </c>
      <c r="H422" t="str">
        <f>"3 fős körmérkőzés"</f>
        <v>3 fős körmérkőzés</v>
      </c>
      <c r="I422" s="50" t="str">
        <f>"1"</f>
        <v>1</v>
      </c>
      <c r="J422" t="str">
        <f>"Gerő Hanna Gréta"</f>
        <v>Gerő Hanna Gréta</v>
      </c>
      <c r="K422" t="s">
        <v>149</v>
      </c>
      <c r="L422" t="str">
        <f t="shared" si="59"/>
        <v>HUN</v>
      </c>
      <c r="M422">
        <v>4</v>
      </c>
      <c r="O422" t="s">
        <v>248</v>
      </c>
      <c r="P422" s="78">
        <v>45367</v>
      </c>
      <c r="Q422" t="str">
        <f t="shared" si="56"/>
        <v>Gerő Hanna Gréta - Kagami</v>
      </c>
      <c r="R422" t="s">
        <v>636</v>
      </c>
      <c r="S422" t="s">
        <v>636</v>
      </c>
      <c r="T422" t="s">
        <v>645</v>
      </c>
    </row>
    <row r="423" spans="1:20" x14ac:dyDescent="0.3">
      <c r="A423" t="s">
        <v>245</v>
      </c>
      <c r="B423" s="50">
        <v>2</v>
      </c>
      <c r="C423">
        <v>126</v>
      </c>
      <c r="D423" t="str">
        <f t="shared" si="58"/>
        <v>Kumite</v>
      </c>
      <c r="E423" t="s">
        <v>296</v>
      </c>
      <c r="F423" s="83" t="s">
        <v>552</v>
      </c>
      <c r="G423" s="50" t="str">
        <f>"3"</f>
        <v>3</v>
      </c>
      <c r="H423" t="str">
        <f>"3 fős körmérkőzés"</f>
        <v>3 fős körmérkőzés</v>
      </c>
      <c r="I423" s="50" t="str">
        <f>"2"</f>
        <v>2</v>
      </c>
      <c r="J423" t="str">
        <f>"Szabó Petra"</f>
        <v>Szabó Petra</v>
      </c>
      <c r="K423" t="s">
        <v>14</v>
      </c>
      <c r="L423" t="str">
        <f t="shared" si="59"/>
        <v>HUN</v>
      </c>
      <c r="M423">
        <v>3</v>
      </c>
      <c r="O423" t="s">
        <v>248</v>
      </c>
      <c r="P423" s="78">
        <v>45367</v>
      </c>
      <c r="Q423" t="str">
        <f t="shared" si="56"/>
        <v>Szabó Petra - Shogun</v>
      </c>
      <c r="R423" t="s">
        <v>636</v>
      </c>
      <c r="S423" t="s">
        <v>636</v>
      </c>
      <c r="T423" t="s">
        <v>645</v>
      </c>
    </row>
    <row r="424" spans="1:20" x14ac:dyDescent="0.3">
      <c r="A424" t="s">
        <v>245</v>
      </c>
      <c r="B424" s="50">
        <v>2</v>
      </c>
      <c r="C424">
        <v>127</v>
      </c>
      <c r="D424" t="str">
        <f t="shared" si="58"/>
        <v>Kumite</v>
      </c>
      <c r="E424" t="s">
        <v>296</v>
      </c>
      <c r="F424" s="83" t="s">
        <v>552</v>
      </c>
      <c r="G424" s="50" t="str">
        <f>"3"</f>
        <v>3</v>
      </c>
      <c r="H424" t="str">
        <f>"3 fős körmérkőzés"</f>
        <v>3 fős körmérkőzés</v>
      </c>
      <c r="I424" s="50" t="str">
        <f>"3"</f>
        <v>3</v>
      </c>
      <c r="J424" t="str">
        <f>"Szutor Anna"</f>
        <v>Szutor Anna</v>
      </c>
      <c r="K424" t="s">
        <v>14</v>
      </c>
      <c r="L424" t="str">
        <f t="shared" si="59"/>
        <v>HUN</v>
      </c>
      <c r="M424">
        <v>0</v>
      </c>
      <c r="N424" t="s">
        <v>158</v>
      </c>
      <c r="O424" t="s">
        <v>248</v>
      </c>
      <c r="P424" s="78">
        <v>45367</v>
      </c>
      <c r="Q424" t="str">
        <f t="shared" si="56"/>
        <v>Szutor Anna - Shogun</v>
      </c>
      <c r="R424" t="s">
        <v>636</v>
      </c>
      <c r="S424" t="s">
        <v>636</v>
      </c>
      <c r="T424" t="s">
        <v>645</v>
      </c>
    </row>
    <row r="425" spans="1:20" x14ac:dyDescent="0.3">
      <c r="A425" t="s">
        <v>245</v>
      </c>
      <c r="B425" s="50">
        <v>2</v>
      </c>
      <c r="C425">
        <v>128</v>
      </c>
      <c r="D425" t="str">
        <f t="shared" si="58"/>
        <v>Kumite</v>
      </c>
      <c r="E425" t="s">
        <v>297</v>
      </c>
      <c r="F425" s="83" t="s">
        <v>553</v>
      </c>
      <c r="G425" s="50" t="str">
        <f t="shared" ref="G425:G431" si="60">"4"</f>
        <v>4</v>
      </c>
      <c r="H425" t="str">
        <f>"4 fős körmérkőzés"</f>
        <v>4 fős körmérkőzés</v>
      </c>
      <c r="I425" s="50">
        <v>1</v>
      </c>
      <c r="J425" t="s">
        <v>375</v>
      </c>
      <c r="K425" t="s">
        <v>35</v>
      </c>
      <c r="L425" t="str">
        <f t="shared" si="59"/>
        <v>HUN</v>
      </c>
      <c r="M425">
        <v>6</v>
      </c>
      <c r="O425" t="s">
        <v>248</v>
      </c>
      <c r="P425" s="78">
        <v>45367</v>
      </c>
      <c r="Q425" t="str">
        <f t="shared" si="56"/>
        <v>Pénzes Zsófia - KHSE</v>
      </c>
      <c r="R425" t="s">
        <v>636</v>
      </c>
      <c r="S425" t="s">
        <v>636</v>
      </c>
      <c r="T425" t="s">
        <v>645</v>
      </c>
    </row>
    <row r="426" spans="1:20" x14ac:dyDescent="0.3">
      <c r="A426" t="s">
        <v>245</v>
      </c>
      <c r="B426" s="50">
        <v>2</v>
      </c>
      <c r="C426">
        <v>128</v>
      </c>
      <c r="D426" t="str">
        <f t="shared" si="58"/>
        <v>Kumite</v>
      </c>
      <c r="E426" t="s">
        <v>297</v>
      </c>
      <c r="F426" s="83" t="s">
        <v>553</v>
      </c>
      <c r="G426" s="50" t="str">
        <f t="shared" si="60"/>
        <v>4</v>
      </c>
      <c r="H426" t="str">
        <f>"4 fős körmérkőzés"</f>
        <v>4 fős körmérkőzés</v>
      </c>
      <c r="I426" s="50" t="str">
        <f>"2"</f>
        <v>2</v>
      </c>
      <c r="J426" t="str">
        <f>"Vórincsák Vivien"</f>
        <v>Vórincsák Vivien</v>
      </c>
      <c r="K426" t="s">
        <v>35</v>
      </c>
      <c r="L426" t="str">
        <f t="shared" si="59"/>
        <v>HUN</v>
      </c>
      <c r="M426">
        <v>5</v>
      </c>
      <c r="O426" t="s">
        <v>248</v>
      </c>
      <c r="P426" s="78">
        <v>45367</v>
      </c>
      <c r="Q426" t="str">
        <f t="shared" si="56"/>
        <v>Vórincsák Vivien - KHSE</v>
      </c>
      <c r="R426" t="s">
        <v>636</v>
      </c>
      <c r="S426" t="s">
        <v>636</v>
      </c>
      <c r="T426" t="s">
        <v>645</v>
      </c>
    </row>
    <row r="427" spans="1:20" x14ac:dyDescent="0.3">
      <c r="A427" t="s">
        <v>245</v>
      </c>
      <c r="B427" s="50">
        <v>2</v>
      </c>
      <c r="C427">
        <v>129</v>
      </c>
      <c r="D427" t="str">
        <f t="shared" si="58"/>
        <v>Kumite</v>
      </c>
      <c r="E427" t="s">
        <v>297</v>
      </c>
      <c r="F427" s="83" t="s">
        <v>553</v>
      </c>
      <c r="G427" s="50" t="str">
        <f t="shared" si="60"/>
        <v>4</v>
      </c>
      <c r="H427" t="str">
        <f>"4 fős körmérkőzés"</f>
        <v>4 fős körmérkőzés</v>
      </c>
      <c r="I427" s="50" t="str">
        <f>"3"</f>
        <v>3</v>
      </c>
      <c r="J427" t="str">
        <f>"Ecsedi Réka"</f>
        <v>Ecsedi Réka</v>
      </c>
      <c r="K427" t="s">
        <v>35</v>
      </c>
      <c r="L427" t="str">
        <f t="shared" si="59"/>
        <v>HUN</v>
      </c>
      <c r="M427">
        <v>3</v>
      </c>
      <c r="O427" t="s">
        <v>248</v>
      </c>
      <c r="P427" s="78">
        <v>45367</v>
      </c>
      <c r="Q427" t="str">
        <f t="shared" si="56"/>
        <v>Ecsedi Réka - KHSE</v>
      </c>
      <c r="R427" t="s">
        <v>636</v>
      </c>
      <c r="S427" t="s">
        <v>636</v>
      </c>
      <c r="T427" t="s">
        <v>645</v>
      </c>
    </row>
    <row r="428" spans="1:20" x14ac:dyDescent="0.3">
      <c r="A428" t="s">
        <v>245</v>
      </c>
      <c r="B428" s="50">
        <v>2</v>
      </c>
      <c r="C428">
        <v>130</v>
      </c>
      <c r="D428" t="str">
        <f>"Kata"</f>
        <v>Kata</v>
      </c>
      <c r="E428" t="s">
        <v>298</v>
      </c>
      <c r="F428" s="83" t="s">
        <v>549</v>
      </c>
      <c r="G428" s="50" t="str">
        <f t="shared" si="60"/>
        <v>4</v>
      </c>
      <c r="H428" t="str">
        <f>"4 fős egyenes kiesés + 3. hely"</f>
        <v>4 fős egyenes kiesés + 3. hely</v>
      </c>
      <c r="I428" s="50" t="str">
        <f>"1"</f>
        <v>1</v>
      </c>
      <c r="J428" t="str">
        <f>"Gerő Hanna Gréta"</f>
        <v>Gerő Hanna Gréta</v>
      </c>
      <c r="K428" t="s">
        <v>149</v>
      </c>
      <c r="L428" t="str">
        <f t="shared" si="59"/>
        <v>HUN</v>
      </c>
      <c r="M428">
        <v>3</v>
      </c>
      <c r="O428" t="s">
        <v>248</v>
      </c>
      <c r="P428" s="78">
        <v>45367</v>
      </c>
      <c r="Q428" t="str">
        <f t="shared" si="56"/>
        <v>Gerő Hanna Gréta - Kagami</v>
      </c>
      <c r="R428" t="s">
        <v>636</v>
      </c>
      <c r="S428" t="s">
        <v>636</v>
      </c>
      <c r="T428" t="s">
        <v>645</v>
      </c>
    </row>
    <row r="429" spans="1:20" x14ac:dyDescent="0.3">
      <c r="A429" t="s">
        <v>245</v>
      </c>
      <c r="B429" s="50">
        <v>2</v>
      </c>
      <c r="C429">
        <v>131</v>
      </c>
      <c r="D429" t="str">
        <f>"Kata"</f>
        <v>Kata</v>
      </c>
      <c r="E429" t="s">
        <v>298</v>
      </c>
      <c r="F429" s="83" t="s">
        <v>549</v>
      </c>
      <c r="G429" s="50" t="str">
        <f t="shared" si="60"/>
        <v>4</v>
      </c>
      <c r="H429" t="str">
        <f>"4 fős egyenes kiesés + 3. hely"</f>
        <v>4 fős egyenes kiesés + 3. hely</v>
      </c>
      <c r="I429" s="50" t="str">
        <f>"2"</f>
        <v>2</v>
      </c>
      <c r="J429" t="str">
        <f>"Orosz Dorina"</f>
        <v>Orosz Dorina</v>
      </c>
      <c r="K429" t="s">
        <v>23</v>
      </c>
      <c r="L429" t="str">
        <f t="shared" si="59"/>
        <v>HUN</v>
      </c>
      <c r="M429">
        <v>2</v>
      </c>
      <c r="O429" t="s">
        <v>248</v>
      </c>
      <c r="P429" s="78">
        <v>45367</v>
      </c>
      <c r="Q429" t="str">
        <f t="shared" si="56"/>
        <v>Orosz Dorina - Kemecse SE</v>
      </c>
      <c r="R429" t="s">
        <v>636</v>
      </c>
      <c r="S429" t="s">
        <v>636</v>
      </c>
      <c r="T429" t="s">
        <v>645</v>
      </c>
    </row>
    <row r="430" spans="1:20" x14ac:dyDescent="0.3">
      <c r="A430" t="s">
        <v>245</v>
      </c>
      <c r="B430" s="50">
        <v>2</v>
      </c>
      <c r="C430">
        <v>132</v>
      </c>
      <c r="D430" t="str">
        <f>"Kata"</f>
        <v>Kata</v>
      </c>
      <c r="E430" t="s">
        <v>298</v>
      </c>
      <c r="F430" s="83" t="s">
        <v>549</v>
      </c>
      <c r="G430" s="50" t="str">
        <f t="shared" si="60"/>
        <v>4</v>
      </c>
      <c r="H430" t="str">
        <f>"4 fős egyenes kiesés + 3. hely"</f>
        <v>4 fős egyenes kiesés + 3. hely</v>
      </c>
      <c r="I430" s="50" t="str">
        <f>"3"</f>
        <v>3</v>
      </c>
      <c r="J430" t="str">
        <f>"Szabó Petra"</f>
        <v>Szabó Petra</v>
      </c>
      <c r="K430" t="s">
        <v>14</v>
      </c>
      <c r="L430" t="str">
        <f t="shared" si="59"/>
        <v>HUN</v>
      </c>
      <c r="M430">
        <v>1</v>
      </c>
      <c r="O430" t="s">
        <v>248</v>
      </c>
      <c r="P430" s="78">
        <v>45367</v>
      </c>
      <c r="Q430" t="str">
        <f t="shared" si="56"/>
        <v>Szabó Petra - Shogun</v>
      </c>
      <c r="R430" t="s">
        <v>636</v>
      </c>
      <c r="S430" t="s">
        <v>636</v>
      </c>
      <c r="T430" t="s">
        <v>645</v>
      </c>
    </row>
    <row r="431" spans="1:20" x14ac:dyDescent="0.3">
      <c r="A431" t="s">
        <v>245</v>
      </c>
      <c r="B431" s="50">
        <v>2</v>
      </c>
      <c r="C431">
        <v>133</v>
      </c>
      <c r="D431" t="str">
        <f>"Kata"</f>
        <v>Kata</v>
      </c>
      <c r="E431" t="s">
        <v>298</v>
      </c>
      <c r="F431" s="83" t="s">
        <v>549</v>
      </c>
      <c r="G431" s="50" t="str">
        <f t="shared" si="60"/>
        <v>4</v>
      </c>
      <c r="H431" t="str">
        <f>"4 fős egyenes kiesés + 3. hely"</f>
        <v>4 fős egyenes kiesés + 3. hely</v>
      </c>
      <c r="I431" s="50" t="str">
        <f>"4"</f>
        <v>4</v>
      </c>
      <c r="J431" t="str">
        <f>"Szutor Anna"</f>
        <v>Szutor Anna</v>
      </c>
      <c r="K431" t="s">
        <v>14</v>
      </c>
      <c r="L431" t="str">
        <f t="shared" si="59"/>
        <v>HUN</v>
      </c>
      <c r="M431">
        <v>0</v>
      </c>
      <c r="N431" t="s">
        <v>158</v>
      </c>
      <c r="O431" t="s">
        <v>248</v>
      </c>
      <c r="P431" s="78">
        <v>45367</v>
      </c>
      <c r="Q431" t="str">
        <f t="shared" si="56"/>
        <v>Szutor Anna - Shogun</v>
      </c>
      <c r="R431" t="s">
        <v>636</v>
      </c>
      <c r="S431" t="s">
        <v>636</v>
      </c>
      <c r="T431" t="s">
        <v>645</v>
      </c>
    </row>
    <row r="432" spans="1:20" s="80" customFormat="1" x14ac:dyDescent="0.3">
      <c r="A432" s="80" t="s">
        <v>245</v>
      </c>
      <c r="B432" s="81">
        <v>2</v>
      </c>
      <c r="C432" s="80">
        <v>134</v>
      </c>
      <c r="D432" s="80" t="str">
        <f>"Kumite"</f>
        <v>Kumite</v>
      </c>
      <c r="E432" s="80" t="s">
        <v>286</v>
      </c>
      <c r="F432" s="80" t="s">
        <v>496</v>
      </c>
      <c r="G432" s="81" t="str">
        <f>"3"</f>
        <v>3</v>
      </c>
      <c r="H432" s="80" t="str">
        <f>"3 fős körmérkőzés"</f>
        <v>3 fős körmérkőzés</v>
      </c>
      <c r="I432" s="81" t="str">
        <f>"2"</f>
        <v>2</v>
      </c>
      <c r="J432" s="80" t="str">
        <f>"Eiler László Ádám"</f>
        <v>Eiler László Ádám</v>
      </c>
      <c r="K432" s="80" t="s">
        <v>87</v>
      </c>
      <c r="L432" s="80" t="str">
        <f t="shared" si="59"/>
        <v>HUN</v>
      </c>
      <c r="M432" s="80">
        <v>0</v>
      </c>
      <c r="N432" s="80" t="s">
        <v>247</v>
      </c>
      <c r="O432" s="80" t="s">
        <v>248</v>
      </c>
      <c r="P432" s="82">
        <v>45367</v>
      </c>
      <c r="Q432" s="80" t="str">
        <f t="shared" si="56"/>
        <v>Eiler László Ádám - Victory</v>
      </c>
      <c r="R432" s="80" t="s">
        <v>636</v>
      </c>
      <c r="S432" s="80" t="s">
        <v>636</v>
      </c>
      <c r="T432" t="s">
        <v>645</v>
      </c>
    </row>
    <row r="433" spans="1:20" s="80" customFormat="1" x14ac:dyDescent="0.3">
      <c r="A433" s="80" t="s">
        <v>245</v>
      </c>
      <c r="B433" s="81">
        <v>2</v>
      </c>
      <c r="C433" s="80">
        <v>135</v>
      </c>
      <c r="D433" s="80" t="str">
        <f>"Kumite"</f>
        <v>Kumite</v>
      </c>
      <c r="E433" s="80" t="s">
        <v>286</v>
      </c>
      <c r="F433" s="80" t="s">
        <v>496</v>
      </c>
      <c r="G433" s="81" t="str">
        <f>"3"</f>
        <v>3</v>
      </c>
      <c r="H433" s="80" t="str">
        <f>"3 fős körmérkőzés"</f>
        <v>3 fős körmérkőzés</v>
      </c>
      <c r="I433" s="81" t="str">
        <f>"3"</f>
        <v>3</v>
      </c>
      <c r="J433" s="80" t="str">
        <f>"Breznyiczki Benedek"</f>
        <v>Breznyiczki Benedek</v>
      </c>
      <c r="K433" s="80" t="s">
        <v>16</v>
      </c>
      <c r="L433" s="80" t="str">
        <f t="shared" si="59"/>
        <v>HUN</v>
      </c>
      <c r="M433" s="80">
        <v>0</v>
      </c>
      <c r="N433" s="80" t="s">
        <v>247</v>
      </c>
      <c r="O433" s="80" t="s">
        <v>248</v>
      </c>
      <c r="P433" s="82">
        <v>45367</v>
      </c>
      <c r="Q433" s="80" t="str">
        <f t="shared" si="56"/>
        <v>Breznyiczki Benedek - Nozomu Dojo</v>
      </c>
      <c r="R433" s="80" t="s">
        <v>636</v>
      </c>
      <c r="S433" s="80" t="s">
        <v>636</v>
      </c>
      <c r="T433" t="s">
        <v>645</v>
      </c>
    </row>
    <row r="434" spans="1:20" s="80" customFormat="1" x14ac:dyDescent="0.3">
      <c r="A434" s="80" t="s">
        <v>245</v>
      </c>
      <c r="B434" s="81">
        <v>2</v>
      </c>
      <c r="C434" s="80">
        <v>136</v>
      </c>
      <c r="D434" s="80" t="str">
        <f>"Kumite"</f>
        <v>Kumite</v>
      </c>
      <c r="E434" s="80" t="s">
        <v>287</v>
      </c>
      <c r="F434" s="80" t="s">
        <v>498</v>
      </c>
      <c r="G434" s="81" t="str">
        <f>"3"</f>
        <v>3</v>
      </c>
      <c r="H434" s="80" t="str">
        <f>"3 fős körmérkőzés"</f>
        <v>3 fős körmérkőzés</v>
      </c>
      <c r="I434" s="81" t="str">
        <f>"1"</f>
        <v>1</v>
      </c>
      <c r="J434" s="80" t="str">
        <f>"Krizsán Miklós"</f>
        <v>Krizsán Miklós</v>
      </c>
      <c r="K434" s="80" t="s">
        <v>319</v>
      </c>
      <c r="L434" s="80" t="str">
        <f t="shared" si="59"/>
        <v>HUN</v>
      </c>
      <c r="M434" s="80">
        <v>0</v>
      </c>
      <c r="N434" s="80" t="s">
        <v>247</v>
      </c>
      <c r="O434" s="80" t="s">
        <v>248</v>
      </c>
      <c r="P434" s="82">
        <v>45367</v>
      </c>
      <c r="Q434" s="80" t="str">
        <f t="shared" si="56"/>
        <v>Krizsán Miklós - DTKK SE</v>
      </c>
      <c r="R434" t="s">
        <v>637</v>
      </c>
      <c r="S434" t="s">
        <v>170</v>
      </c>
      <c r="T434" t="s">
        <v>645</v>
      </c>
    </row>
    <row r="435" spans="1:20" s="80" customFormat="1" x14ac:dyDescent="0.3">
      <c r="A435" s="80" t="s">
        <v>245</v>
      </c>
      <c r="B435" s="81">
        <v>2</v>
      </c>
      <c r="C435" s="80">
        <v>137</v>
      </c>
      <c r="D435" s="80" t="str">
        <f>"Kumite"</f>
        <v>Kumite</v>
      </c>
      <c r="E435" s="80" t="s">
        <v>287</v>
      </c>
      <c r="F435" s="80" t="s">
        <v>498</v>
      </c>
      <c r="G435" s="81" t="str">
        <f>"3"</f>
        <v>3</v>
      </c>
      <c r="H435" s="80" t="str">
        <f>"3 fős körmérkőzés"</f>
        <v>3 fős körmérkőzés</v>
      </c>
      <c r="I435" s="81" t="str">
        <f>"2"</f>
        <v>2</v>
      </c>
      <c r="J435" s="80" t="str">
        <f>"Szakály Dominik"</f>
        <v>Szakály Dominik</v>
      </c>
      <c r="K435" s="80" t="s">
        <v>14</v>
      </c>
      <c r="L435" s="80" t="str">
        <f t="shared" si="59"/>
        <v>HUN</v>
      </c>
      <c r="M435" s="80">
        <v>0</v>
      </c>
      <c r="N435" s="80" t="s">
        <v>247</v>
      </c>
      <c r="O435" s="80" t="s">
        <v>248</v>
      </c>
      <c r="P435" s="82">
        <v>45367</v>
      </c>
      <c r="Q435" s="80" t="str">
        <f t="shared" si="56"/>
        <v>Szakály Dominik - Shogun</v>
      </c>
      <c r="R435" s="80" t="s">
        <v>636</v>
      </c>
      <c r="S435" s="80" t="s">
        <v>636</v>
      </c>
      <c r="T435" t="s">
        <v>645</v>
      </c>
    </row>
    <row r="436" spans="1:20" s="80" customFormat="1" x14ac:dyDescent="0.3">
      <c r="A436" s="80" t="s">
        <v>245</v>
      </c>
      <c r="B436" s="81">
        <v>2</v>
      </c>
      <c r="C436" s="80">
        <v>138</v>
      </c>
      <c r="D436" s="80" t="str">
        <f>"Kumite"</f>
        <v>Kumite</v>
      </c>
      <c r="E436" s="80" t="s">
        <v>287</v>
      </c>
      <c r="F436" s="80" t="s">
        <v>498</v>
      </c>
      <c r="G436" s="81" t="str">
        <f>"3"</f>
        <v>3</v>
      </c>
      <c r="H436" s="80" t="str">
        <f>"3 fős körmérkőzés"</f>
        <v>3 fős körmérkőzés</v>
      </c>
      <c r="I436" s="81" t="str">
        <f>"3"</f>
        <v>3</v>
      </c>
      <c r="J436" s="80" t="str">
        <f>"Rozgics Dominik"</f>
        <v>Rozgics Dominik</v>
      </c>
      <c r="K436" s="80" t="s">
        <v>23</v>
      </c>
      <c r="L436" s="80" t="str">
        <f t="shared" si="59"/>
        <v>HUN</v>
      </c>
      <c r="M436" s="80">
        <v>0</v>
      </c>
      <c r="N436" s="80" t="s">
        <v>247</v>
      </c>
      <c r="O436" s="80" t="s">
        <v>248</v>
      </c>
      <c r="P436" s="82">
        <v>45367</v>
      </c>
      <c r="Q436" s="80" t="str">
        <f t="shared" si="56"/>
        <v>Rozgics Dominik - Kemecse SE</v>
      </c>
      <c r="R436" s="80" t="s">
        <v>636</v>
      </c>
      <c r="S436" s="80" t="s">
        <v>636</v>
      </c>
      <c r="T436" t="s">
        <v>645</v>
      </c>
    </row>
    <row r="437" spans="1:20" s="80" customFormat="1" x14ac:dyDescent="0.3">
      <c r="A437" s="80" t="s">
        <v>245</v>
      </c>
      <c r="B437" s="81">
        <v>2</v>
      </c>
      <c r="C437" s="80">
        <v>139</v>
      </c>
      <c r="D437" s="80" t="str">
        <f>"Kata"</f>
        <v>Kata</v>
      </c>
      <c r="E437" s="80" t="s">
        <v>290</v>
      </c>
      <c r="F437" s="80" t="s">
        <v>502</v>
      </c>
      <c r="G437" s="81" t="str">
        <f>"4"</f>
        <v>4</v>
      </c>
      <c r="H437" s="80" t="str">
        <f>"4 fős egyenes kiesés + 3. hely"</f>
        <v>4 fős egyenes kiesés + 3. hely</v>
      </c>
      <c r="I437" s="81" t="str">
        <f>"2"</f>
        <v>2</v>
      </c>
      <c r="J437" s="80" t="str">
        <f>"Kis Benedek Ernő"</f>
        <v>Kis Benedek Ernő</v>
      </c>
      <c r="K437" s="80" t="s">
        <v>149</v>
      </c>
      <c r="L437" s="80" t="str">
        <f t="shared" si="59"/>
        <v>HUN</v>
      </c>
      <c r="M437" s="80">
        <v>0</v>
      </c>
      <c r="N437" s="80" t="s">
        <v>247</v>
      </c>
      <c r="O437" s="80" t="s">
        <v>248</v>
      </c>
      <c r="P437" s="82">
        <v>45367</v>
      </c>
      <c r="Q437" s="80" t="str">
        <f t="shared" si="56"/>
        <v>Kis Benedek Ernő - Kagami</v>
      </c>
      <c r="R437" s="80" t="s">
        <v>636</v>
      </c>
      <c r="S437" s="80" t="s">
        <v>636</v>
      </c>
      <c r="T437" t="s">
        <v>645</v>
      </c>
    </row>
    <row r="438" spans="1:20" s="80" customFormat="1" x14ac:dyDescent="0.3">
      <c r="A438" s="80" t="s">
        <v>245</v>
      </c>
      <c r="B438" s="81">
        <v>2</v>
      </c>
      <c r="C438" s="80">
        <v>140</v>
      </c>
      <c r="D438" s="80" t="str">
        <f>"Kata"</f>
        <v>Kata</v>
      </c>
      <c r="E438" s="80" t="s">
        <v>290</v>
      </c>
      <c r="F438" s="80" t="s">
        <v>502</v>
      </c>
      <c r="G438" s="81" t="str">
        <f>"4"</f>
        <v>4</v>
      </c>
      <c r="H438" s="80" t="str">
        <f>"4 fős egyenes kiesés + 3. hely"</f>
        <v>4 fős egyenes kiesés + 3. hely</v>
      </c>
      <c r="I438" s="81" t="str">
        <f>"3"</f>
        <v>3</v>
      </c>
      <c r="J438" s="80" t="str">
        <f>"Haverla Levente Bálint"</f>
        <v>Haverla Levente Bálint</v>
      </c>
      <c r="K438" s="80" t="s">
        <v>39</v>
      </c>
      <c r="L438" s="80" t="str">
        <f t="shared" si="59"/>
        <v>HUN</v>
      </c>
      <c r="M438" s="80">
        <v>0</v>
      </c>
      <c r="N438" s="80" t="s">
        <v>247</v>
      </c>
      <c r="O438" s="80" t="s">
        <v>248</v>
      </c>
      <c r="P438" s="82">
        <v>45367</v>
      </c>
      <c r="Q438" s="80" t="str">
        <f t="shared" si="56"/>
        <v>Haverla Levente Bálint - Bendiák Dojo</v>
      </c>
      <c r="R438" s="80" t="s">
        <v>636</v>
      </c>
      <c r="S438" s="80" t="s">
        <v>636</v>
      </c>
      <c r="T438" t="s">
        <v>645</v>
      </c>
    </row>
    <row r="439" spans="1:20" s="80" customFormat="1" x14ac:dyDescent="0.3">
      <c r="A439" s="80" t="s">
        <v>245</v>
      </c>
      <c r="B439" s="81">
        <v>2</v>
      </c>
      <c r="C439" s="80">
        <v>141</v>
      </c>
      <c r="D439" s="80" t="str">
        <f>"Kata"</f>
        <v>Kata</v>
      </c>
      <c r="E439" s="80" t="s">
        <v>290</v>
      </c>
      <c r="F439" s="80" t="s">
        <v>502</v>
      </c>
      <c r="G439" s="81" t="str">
        <f>"4"</f>
        <v>4</v>
      </c>
      <c r="H439" s="80" t="str">
        <f>"4 fős egyenes kiesés + 3. hely"</f>
        <v>4 fős egyenes kiesés + 3. hely</v>
      </c>
      <c r="I439" s="81" t="str">
        <f>"4"</f>
        <v>4</v>
      </c>
      <c r="J439" s="80" t="str">
        <f>"Takács-Sárkány Zalán"</f>
        <v>Takács-Sárkány Zalán</v>
      </c>
      <c r="K439" s="80" t="s">
        <v>35</v>
      </c>
      <c r="L439" s="80" t="str">
        <f t="shared" si="59"/>
        <v>HUN</v>
      </c>
      <c r="M439" s="80">
        <v>0</v>
      </c>
      <c r="N439" s="80" t="s">
        <v>247</v>
      </c>
      <c r="O439" s="80" t="s">
        <v>248</v>
      </c>
      <c r="P439" s="82">
        <v>45367</v>
      </c>
      <c r="Q439" s="80" t="str">
        <f t="shared" si="56"/>
        <v>Takács-Sárkány Zalán - KHSE</v>
      </c>
      <c r="R439" s="80" t="s">
        <v>636</v>
      </c>
      <c r="S439" s="80" t="s">
        <v>636</v>
      </c>
      <c r="T439" t="s">
        <v>645</v>
      </c>
    </row>
    <row r="440" spans="1:20" s="80" customFormat="1" x14ac:dyDescent="0.3">
      <c r="A440" s="80" t="s">
        <v>245</v>
      </c>
      <c r="B440" s="81">
        <v>2</v>
      </c>
      <c r="C440" s="80">
        <v>142</v>
      </c>
      <c r="D440" s="80" t="str">
        <f>"Kumite"</f>
        <v>Kumite</v>
      </c>
      <c r="E440" s="80" t="s">
        <v>299</v>
      </c>
      <c r="F440" s="80" t="s">
        <v>505</v>
      </c>
      <c r="G440" s="81" t="str">
        <f>"3"</f>
        <v>3</v>
      </c>
      <c r="H440" s="80" t="str">
        <f>"3 fős körmérkőzés"</f>
        <v>3 fős körmérkőzés</v>
      </c>
      <c r="I440" s="81" t="str">
        <f>"1"</f>
        <v>1</v>
      </c>
      <c r="J440" s="80" t="str">
        <f>"Szigeti Zsófia"</f>
        <v>Szigeti Zsófia</v>
      </c>
      <c r="K440" s="80" t="s">
        <v>23</v>
      </c>
      <c r="L440" s="80" t="str">
        <f t="shared" si="59"/>
        <v>HUN</v>
      </c>
      <c r="M440" s="80">
        <v>0</v>
      </c>
      <c r="N440" s="80" t="s">
        <v>247</v>
      </c>
      <c r="O440" s="80" t="s">
        <v>248</v>
      </c>
      <c r="P440" s="82">
        <v>45367</v>
      </c>
      <c r="Q440" s="80" t="str">
        <f t="shared" si="56"/>
        <v>Szigeti Zsófia - Kemecse SE</v>
      </c>
      <c r="R440" s="80" t="s">
        <v>636</v>
      </c>
      <c r="S440" s="80" t="s">
        <v>636</v>
      </c>
      <c r="T440" t="s">
        <v>645</v>
      </c>
    </row>
    <row r="441" spans="1:20" s="80" customFormat="1" x14ac:dyDescent="0.3">
      <c r="A441" s="80" t="s">
        <v>245</v>
      </c>
      <c r="B441" s="81">
        <v>2</v>
      </c>
      <c r="C441" s="80">
        <v>143</v>
      </c>
      <c r="D441" s="80" t="str">
        <f>"Kumite"</f>
        <v>Kumite</v>
      </c>
      <c r="E441" s="80" t="s">
        <v>299</v>
      </c>
      <c r="F441" s="80" t="s">
        <v>505</v>
      </c>
      <c r="G441" s="81" t="str">
        <f>"3"</f>
        <v>3</v>
      </c>
      <c r="H441" s="80" t="str">
        <f>"3 fős körmérkőzés"</f>
        <v>3 fős körmérkőzés</v>
      </c>
      <c r="I441" s="81" t="str">
        <f>"2"</f>
        <v>2</v>
      </c>
      <c r="J441" s="80" t="str">
        <f>"Kabai Kiara"</f>
        <v>Kabai Kiara</v>
      </c>
      <c r="K441" s="80" t="s">
        <v>330</v>
      </c>
      <c r="L441" s="80" t="str">
        <f t="shared" si="59"/>
        <v>HUN</v>
      </c>
      <c r="M441" s="80">
        <v>0</v>
      </c>
      <c r="N441" s="80" t="s">
        <v>247</v>
      </c>
      <c r="O441" s="80" t="s">
        <v>248</v>
      </c>
      <c r="P441" s="82">
        <v>45367</v>
      </c>
      <c r="Q441" s="80" t="str">
        <f t="shared" si="56"/>
        <v>Kabai Kiara - MSKKE Tokaj</v>
      </c>
      <c r="R441" t="s">
        <v>637</v>
      </c>
      <c r="S441" s="80" t="s">
        <v>596</v>
      </c>
      <c r="T441" t="s">
        <v>645</v>
      </c>
    </row>
    <row r="442" spans="1:20" s="80" customFormat="1" x14ac:dyDescent="0.3">
      <c r="A442" s="80" t="s">
        <v>245</v>
      </c>
      <c r="B442" s="81">
        <v>2</v>
      </c>
      <c r="C442" s="80">
        <v>144</v>
      </c>
      <c r="D442" s="80" t="str">
        <f>"Kumite"</f>
        <v>Kumite</v>
      </c>
      <c r="E442" s="80" t="s">
        <v>299</v>
      </c>
      <c r="F442" s="80" t="s">
        <v>505</v>
      </c>
      <c r="G442" s="81" t="str">
        <f>"3"</f>
        <v>3</v>
      </c>
      <c r="H442" s="80" t="str">
        <f>"3 fős körmérkőzés"</f>
        <v>3 fős körmérkőzés</v>
      </c>
      <c r="I442" s="81" t="str">
        <f>"3"</f>
        <v>3</v>
      </c>
      <c r="J442" s="80" t="str">
        <f>"Szabó Hajnal Csillag"</f>
        <v>Szabó Hajnal Csillag</v>
      </c>
      <c r="K442" s="80" t="s">
        <v>336</v>
      </c>
      <c r="L442" s="80" t="str">
        <f t="shared" si="59"/>
        <v>HUN</v>
      </c>
      <c r="M442" s="80">
        <v>0</v>
      </c>
      <c r="N442" s="80" t="s">
        <v>247</v>
      </c>
      <c r="O442" s="80" t="s">
        <v>248</v>
      </c>
      <c r="P442" s="82">
        <v>45367</v>
      </c>
      <c r="Q442" s="80" t="str">
        <f t="shared" si="56"/>
        <v>Szabó Hajnal Csillag - SONGOKU SE</v>
      </c>
      <c r="R442" s="80" t="s">
        <v>636</v>
      </c>
      <c r="S442" s="80" t="s">
        <v>636</v>
      </c>
      <c r="T442" t="s">
        <v>645</v>
      </c>
    </row>
    <row r="443" spans="1:20" s="80" customFormat="1" x14ac:dyDescent="0.3">
      <c r="A443" s="80" t="s">
        <v>245</v>
      </c>
      <c r="B443" s="81">
        <v>2</v>
      </c>
      <c r="C443" s="80">
        <v>145</v>
      </c>
      <c r="D443" s="80" t="str">
        <f>"Kumite"</f>
        <v>Kumite</v>
      </c>
      <c r="E443" s="80" t="s">
        <v>300</v>
      </c>
      <c r="F443" s="80" t="s">
        <v>508</v>
      </c>
      <c r="G443" s="81" t="str">
        <f>"4"</f>
        <v>4</v>
      </c>
      <c r="H443" s="80" t="str">
        <f>"4 fős körmérkőzés"</f>
        <v>4 fős körmérkőzés</v>
      </c>
      <c r="I443" s="81" t="str">
        <f>"1"</f>
        <v>1</v>
      </c>
      <c r="J443" s="80" t="str">
        <f>"Rácz Viktória"</f>
        <v>Rácz Viktória</v>
      </c>
      <c r="K443" s="80" t="s">
        <v>14</v>
      </c>
      <c r="L443" s="80" t="str">
        <f t="shared" si="59"/>
        <v>HUN</v>
      </c>
      <c r="M443" s="80">
        <v>0</v>
      </c>
      <c r="N443" s="80" t="s">
        <v>247</v>
      </c>
      <c r="O443" s="80" t="s">
        <v>248</v>
      </c>
      <c r="P443" s="82">
        <v>45367</v>
      </c>
      <c r="Q443" s="80" t="str">
        <f t="shared" si="56"/>
        <v>Rácz Viktória - Shogun</v>
      </c>
      <c r="R443" s="80" t="s">
        <v>636</v>
      </c>
      <c r="S443" s="80" t="s">
        <v>636</v>
      </c>
      <c r="T443" t="s">
        <v>645</v>
      </c>
    </row>
    <row r="444" spans="1:20" s="80" customFormat="1" x14ac:dyDescent="0.3">
      <c r="A444" s="80" t="s">
        <v>245</v>
      </c>
      <c r="B444" s="81">
        <v>2</v>
      </c>
      <c r="C444" s="80">
        <v>146</v>
      </c>
      <c r="D444" s="80" t="str">
        <f>"Kumite"</f>
        <v>Kumite</v>
      </c>
      <c r="E444" s="80" t="s">
        <v>300</v>
      </c>
      <c r="F444" s="80" t="s">
        <v>508</v>
      </c>
      <c r="G444" s="81" t="str">
        <f>"4"</f>
        <v>4</v>
      </c>
      <c r="H444" s="80" t="str">
        <f>"4 fős körmérkőzés"</f>
        <v>4 fős körmérkőzés</v>
      </c>
      <c r="I444" s="81" t="str">
        <f>"3"</f>
        <v>3</v>
      </c>
      <c r="J444" s="80" t="str">
        <f>"Molnár Ilona"</f>
        <v>Molnár Ilona</v>
      </c>
      <c r="K444" s="80" t="s">
        <v>329</v>
      </c>
      <c r="L444" s="80" t="str">
        <f t="shared" si="59"/>
        <v>HUN</v>
      </c>
      <c r="M444" s="80">
        <v>0</v>
      </c>
      <c r="N444" s="80" t="s">
        <v>247</v>
      </c>
      <c r="O444" s="80" t="s">
        <v>248</v>
      </c>
      <c r="P444" s="82">
        <v>45367</v>
      </c>
      <c r="Q444" s="80" t="str">
        <f t="shared" si="56"/>
        <v>Molnár Ilona - Mátészalkai MTK</v>
      </c>
      <c r="R444" s="80" t="s">
        <v>637</v>
      </c>
      <c r="S444" s="80" t="s">
        <v>596</v>
      </c>
      <c r="T444" t="s">
        <v>645</v>
      </c>
    </row>
    <row r="445" spans="1:20" s="80" customFormat="1" x14ac:dyDescent="0.3">
      <c r="A445" s="80" t="s">
        <v>245</v>
      </c>
      <c r="B445" s="81">
        <v>2</v>
      </c>
      <c r="C445" s="80">
        <v>147</v>
      </c>
      <c r="D445" s="80" t="str">
        <f>"Kata"</f>
        <v>Kata</v>
      </c>
      <c r="E445" s="80" t="s">
        <v>301</v>
      </c>
      <c r="F445" s="80" t="s">
        <v>503</v>
      </c>
      <c r="G445" s="81" t="str">
        <f>"11"</f>
        <v>11</v>
      </c>
      <c r="H445" s="80" t="str">
        <f>"16 fős egyenes kiesés + 3. hely"</f>
        <v>16 fős egyenes kiesés + 3. hely</v>
      </c>
      <c r="I445" s="81" t="str">
        <f>"1"</f>
        <v>1</v>
      </c>
      <c r="J445" s="80" t="str">
        <f>"Berényi Lujza Beatrix"</f>
        <v>Berényi Lujza Beatrix</v>
      </c>
      <c r="K445" s="80" t="s">
        <v>149</v>
      </c>
      <c r="L445" s="80" t="str">
        <f t="shared" si="59"/>
        <v>HUN</v>
      </c>
      <c r="M445" s="80">
        <v>0</v>
      </c>
      <c r="N445" s="80" t="s">
        <v>247</v>
      </c>
      <c r="O445" s="80" t="s">
        <v>248</v>
      </c>
      <c r="P445" s="82">
        <v>45367</v>
      </c>
      <c r="Q445" s="80" t="str">
        <f t="shared" si="56"/>
        <v>Berényi Lujza Beatrix - Kagami</v>
      </c>
      <c r="R445" s="80" t="s">
        <v>636</v>
      </c>
      <c r="S445" s="80" t="s">
        <v>636</v>
      </c>
      <c r="T445" t="s">
        <v>645</v>
      </c>
    </row>
    <row r="446" spans="1:20" s="80" customFormat="1" x14ac:dyDescent="0.3">
      <c r="A446" s="80" t="s">
        <v>245</v>
      </c>
      <c r="B446" s="81">
        <v>2</v>
      </c>
      <c r="C446" s="80">
        <v>148</v>
      </c>
      <c r="D446" s="80" t="str">
        <f>"Kata"</f>
        <v>Kata</v>
      </c>
      <c r="E446" s="80" t="s">
        <v>301</v>
      </c>
      <c r="F446" s="80" t="s">
        <v>503</v>
      </c>
      <c r="G446" s="81" t="str">
        <f>"11"</f>
        <v>11</v>
      </c>
      <c r="H446" s="80" t="str">
        <f>"16 fős egyenes kiesés + 3. hely"</f>
        <v>16 fős egyenes kiesés + 3. hely</v>
      </c>
      <c r="I446" s="81" t="str">
        <f>"2"</f>
        <v>2</v>
      </c>
      <c r="J446" s="80" t="str">
        <f>"Rácz Viktória"</f>
        <v>Rácz Viktória</v>
      </c>
      <c r="K446" s="80" t="s">
        <v>14</v>
      </c>
      <c r="L446" s="80" t="str">
        <f t="shared" si="59"/>
        <v>HUN</v>
      </c>
      <c r="M446" s="80">
        <v>0</v>
      </c>
      <c r="N446" s="80" t="s">
        <v>247</v>
      </c>
      <c r="O446" s="80" t="s">
        <v>248</v>
      </c>
      <c r="P446" s="82">
        <v>45367</v>
      </c>
      <c r="Q446" s="80" t="str">
        <f t="shared" si="56"/>
        <v>Rácz Viktória - Shogun</v>
      </c>
      <c r="R446" s="80" t="s">
        <v>636</v>
      </c>
      <c r="S446" s="80" t="s">
        <v>636</v>
      </c>
      <c r="T446" t="s">
        <v>645</v>
      </c>
    </row>
    <row r="447" spans="1:20" s="80" customFormat="1" x14ac:dyDescent="0.3">
      <c r="A447" s="80" t="s">
        <v>245</v>
      </c>
      <c r="B447" s="81">
        <v>2</v>
      </c>
      <c r="C447" s="80">
        <v>149</v>
      </c>
      <c r="D447" s="80" t="str">
        <f>"Kata"</f>
        <v>Kata</v>
      </c>
      <c r="E447" s="80" t="s">
        <v>301</v>
      </c>
      <c r="F447" s="80" t="s">
        <v>503</v>
      </c>
      <c r="G447" s="81" t="str">
        <f>"11"</f>
        <v>11</v>
      </c>
      <c r="H447" s="80" t="str">
        <f>"16 fős egyenes kiesés + 3. hely"</f>
        <v>16 fős egyenes kiesés + 3. hely</v>
      </c>
      <c r="I447" s="81" t="str">
        <f>"3"</f>
        <v>3</v>
      </c>
      <c r="J447" s="80" t="str">
        <f>"Sólyom Gréta"</f>
        <v>Sólyom Gréta</v>
      </c>
      <c r="K447" s="80" t="s">
        <v>14</v>
      </c>
      <c r="L447" s="80" t="str">
        <f t="shared" si="59"/>
        <v>HUN</v>
      </c>
      <c r="M447" s="80">
        <v>0</v>
      </c>
      <c r="N447" s="80" t="s">
        <v>247</v>
      </c>
      <c r="O447" s="80" t="s">
        <v>248</v>
      </c>
      <c r="P447" s="82">
        <v>45367</v>
      </c>
      <c r="Q447" s="80" t="str">
        <f t="shared" si="56"/>
        <v>Sólyom Gréta - Shogun</v>
      </c>
      <c r="R447" s="80" t="s">
        <v>636</v>
      </c>
      <c r="S447" s="80" t="s">
        <v>636</v>
      </c>
      <c r="T447" t="s">
        <v>645</v>
      </c>
    </row>
    <row r="448" spans="1:20" s="80" customFormat="1" x14ac:dyDescent="0.3">
      <c r="A448" s="80" t="s">
        <v>245</v>
      </c>
      <c r="B448" s="81">
        <v>2</v>
      </c>
      <c r="C448" s="80">
        <v>150</v>
      </c>
      <c r="D448" s="80" t="str">
        <f>"Kata"</f>
        <v>Kata</v>
      </c>
      <c r="E448" s="80" t="s">
        <v>301</v>
      </c>
      <c r="F448" s="80" t="s">
        <v>503</v>
      </c>
      <c r="G448" s="81" t="str">
        <f>"11"</f>
        <v>11</v>
      </c>
      <c r="H448" s="80" t="str">
        <f>"16 fős egyenes kiesés + 3. hely"</f>
        <v>16 fős egyenes kiesés + 3. hely</v>
      </c>
      <c r="I448" s="81" t="str">
        <f>"4"</f>
        <v>4</v>
      </c>
      <c r="J448" s="80" t="str">
        <f>"Kollár Nóra "</f>
        <v xml:space="preserve">Kollár Nóra </v>
      </c>
      <c r="K448" s="80" t="s">
        <v>149</v>
      </c>
      <c r="L448" s="80" t="str">
        <f t="shared" si="59"/>
        <v>HUN</v>
      </c>
      <c r="M448" s="80">
        <v>0</v>
      </c>
      <c r="N448" s="80" t="s">
        <v>247</v>
      </c>
      <c r="O448" s="80" t="s">
        <v>248</v>
      </c>
      <c r="P448" s="82">
        <v>45367</v>
      </c>
      <c r="Q448" s="80" t="str">
        <f t="shared" si="56"/>
        <v>Kollár Nóra  - Kagami</v>
      </c>
      <c r="R448" s="80" t="s">
        <v>636</v>
      </c>
      <c r="S448" s="80" t="s">
        <v>636</v>
      </c>
      <c r="T448" t="s">
        <v>645</v>
      </c>
    </row>
    <row r="449" spans="1:20" s="80" customFormat="1" x14ac:dyDescent="0.3">
      <c r="A449" s="80" t="s">
        <v>245</v>
      </c>
      <c r="B449" s="81">
        <v>2</v>
      </c>
      <c r="C449" s="80">
        <v>151</v>
      </c>
      <c r="D449" s="80" t="str">
        <f>"Kumite"</f>
        <v>Kumite</v>
      </c>
      <c r="E449" s="80" t="s">
        <v>286</v>
      </c>
      <c r="F449" s="80" t="s">
        <v>496</v>
      </c>
      <c r="G449" s="81" t="str">
        <f>"3"</f>
        <v>3</v>
      </c>
      <c r="H449" s="80" t="str">
        <f>"3 fős körmérkőzés"</f>
        <v>3 fős körmérkőzés</v>
      </c>
      <c r="I449" s="81" t="str">
        <f>"1"</f>
        <v>1</v>
      </c>
      <c r="J449" s="80" t="str">
        <f>"Soltész Szabolcs"</f>
        <v>Soltész Szabolcs</v>
      </c>
      <c r="K449" s="80" t="s">
        <v>51</v>
      </c>
      <c r="L449" s="80" t="str">
        <f t="shared" si="59"/>
        <v>HUN</v>
      </c>
      <c r="M449" s="80">
        <v>0</v>
      </c>
      <c r="N449" s="80" t="s">
        <v>247</v>
      </c>
      <c r="O449" s="80" t="s">
        <v>248</v>
      </c>
      <c r="P449" s="82">
        <v>45367</v>
      </c>
      <c r="Q449" s="80" t="str">
        <f t="shared" si="56"/>
        <v>Soltész Szabolcs - Kisvárda KKDOSC</v>
      </c>
      <c r="R449" s="80" t="s">
        <v>636</v>
      </c>
      <c r="S449" s="80" t="s">
        <v>636</v>
      </c>
      <c r="T449" t="s">
        <v>645</v>
      </c>
    </row>
    <row r="450" spans="1:20" s="80" customFormat="1" x14ac:dyDescent="0.3">
      <c r="A450" s="80" t="s">
        <v>245</v>
      </c>
      <c r="B450" s="81">
        <v>2</v>
      </c>
      <c r="C450" s="80">
        <v>152</v>
      </c>
      <c r="D450" s="80" t="str">
        <f>"Kata"</f>
        <v>Kata</v>
      </c>
      <c r="E450" s="80" t="s">
        <v>290</v>
      </c>
      <c r="F450" s="80" t="s">
        <v>502</v>
      </c>
      <c r="G450" s="81" t="str">
        <f>"4"</f>
        <v>4</v>
      </c>
      <c r="H450" s="80" t="str">
        <f>"4 fős egyenes kiesés + 3. hely"</f>
        <v>4 fős egyenes kiesés + 3. hely</v>
      </c>
      <c r="I450" s="81" t="str">
        <f>"1"</f>
        <v>1</v>
      </c>
      <c r="J450" s="80" t="str">
        <f>"Soltész Szabolcs"</f>
        <v>Soltész Szabolcs</v>
      </c>
      <c r="K450" s="80" t="s">
        <v>51</v>
      </c>
      <c r="L450" s="80" t="str">
        <f t="shared" si="59"/>
        <v>HUN</v>
      </c>
      <c r="M450" s="80">
        <v>0</v>
      </c>
      <c r="N450" s="80" t="s">
        <v>247</v>
      </c>
      <c r="O450" s="80" t="s">
        <v>248</v>
      </c>
      <c r="P450" s="82">
        <v>45367</v>
      </c>
      <c r="Q450" s="80" t="str">
        <f t="shared" si="56"/>
        <v>Soltész Szabolcs - Kisvárda KKDOSC</v>
      </c>
      <c r="R450" s="80" t="s">
        <v>636</v>
      </c>
      <c r="S450" s="80" t="s">
        <v>636</v>
      </c>
      <c r="T450" t="s">
        <v>645</v>
      </c>
    </row>
    <row r="451" spans="1:20" s="80" customFormat="1" x14ac:dyDescent="0.3">
      <c r="A451" s="80" t="s">
        <v>245</v>
      </c>
      <c r="B451" s="81">
        <v>2</v>
      </c>
      <c r="C451" s="80">
        <v>153</v>
      </c>
      <c r="D451" s="80" t="str">
        <f t="shared" ref="D451:D475" si="61">"Kumite"</f>
        <v>Kumite</v>
      </c>
      <c r="E451" s="80" t="s">
        <v>300</v>
      </c>
      <c r="F451" s="80" t="s">
        <v>508</v>
      </c>
      <c r="G451" s="81" t="str">
        <f>"4"</f>
        <v>4</v>
      </c>
      <c r="H451" s="80" t="str">
        <f>"4 fős körmérkőzés"</f>
        <v>4 fős körmérkőzés</v>
      </c>
      <c r="I451" s="81" t="str">
        <f>"2"</f>
        <v>2</v>
      </c>
      <c r="J451" s="80" t="str">
        <f>"Molnár Henrietta"</f>
        <v>Molnár Henrietta</v>
      </c>
      <c r="K451" s="80" t="s">
        <v>329</v>
      </c>
      <c r="L451" s="80" t="str">
        <f t="shared" si="59"/>
        <v>HUN</v>
      </c>
      <c r="M451" s="80">
        <v>0</v>
      </c>
      <c r="N451" s="80" t="s">
        <v>247</v>
      </c>
      <c r="O451" s="80" t="s">
        <v>248</v>
      </c>
      <c r="P451" s="82">
        <v>45367</v>
      </c>
      <c r="Q451" s="80" t="str">
        <f t="shared" ref="Q451:Q514" si="62">J451&amp;" - "&amp;K451</f>
        <v>Molnár Henrietta - Mátészalkai MTK</v>
      </c>
      <c r="R451" s="80" t="s">
        <v>637</v>
      </c>
      <c r="S451" s="80" t="s">
        <v>596</v>
      </c>
      <c r="T451" t="s">
        <v>645</v>
      </c>
    </row>
    <row r="452" spans="1:20" x14ac:dyDescent="0.3">
      <c r="A452" s="2" t="s">
        <v>409</v>
      </c>
      <c r="B452" s="50" t="s">
        <v>154</v>
      </c>
      <c r="C452">
        <v>1</v>
      </c>
      <c r="D452" t="str">
        <f t="shared" si="61"/>
        <v>Kumite</v>
      </c>
      <c r="E452" t="str">
        <f>"Kumite, -, 0-27 kg, Gyerek 1. (9-10"</f>
        <v>Kumite, -, 0-27 kg, Gyerek 1. (9-10</v>
      </c>
      <c r="F452" s="83" t="s">
        <v>554</v>
      </c>
      <c r="G452" s="50" t="str">
        <f>"11"</f>
        <v>11</v>
      </c>
      <c r="H452" t="str">
        <f t="shared" ref="H452:H475" si="63">"16 fős egyenes kiesés"</f>
        <v>16 fős egyenes kiesés</v>
      </c>
      <c r="I452" s="50" t="str">
        <f>"1"</f>
        <v>1</v>
      </c>
      <c r="J452" t="str">
        <f>"Sádt Zénó"</f>
        <v>Sádt Zénó</v>
      </c>
      <c r="K452" t="str">
        <f>"Buke Reikon HRSE"</f>
        <v>Buke Reikon HRSE</v>
      </c>
      <c r="L452" t="str">
        <f t="shared" si="59"/>
        <v>HUN</v>
      </c>
      <c r="M452">
        <v>10</v>
      </c>
      <c r="O452" s="83" t="s">
        <v>410</v>
      </c>
      <c r="P452" s="78">
        <v>45395</v>
      </c>
      <c r="Q452" t="str">
        <f t="shared" si="62"/>
        <v>Sádt Zénó - Buke Reikon HRSE</v>
      </c>
      <c r="R452" t="s">
        <v>636</v>
      </c>
      <c r="S452" t="s">
        <v>636</v>
      </c>
      <c r="T452" t="s">
        <v>645</v>
      </c>
    </row>
    <row r="453" spans="1:20" x14ac:dyDescent="0.3">
      <c r="A453" s="2" t="s">
        <v>409</v>
      </c>
      <c r="B453" s="50" t="s">
        <v>154</v>
      </c>
      <c r="C453">
        <v>2</v>
      </c>
      <c r="D453" t="str">
        <f t="shared" si="61"/>
        <v>Kumite</v>
      </c>
      <c r="E453" t="str">
        <f>"Kumite, -, 0-27 kg, Gyerek 1. (9-10"</f>
        <v>Kumite, -, 0-27 kg, Gyerek 1. (9-10</v>
      </c>
      <c r="F453" s="83" t="s">
        <v>554</v>
      </c>
      <c r="G453" s="50" t="str">
        <f>"11"</f>
        <v>11</v>
      </c>
      <c r="H453" t="str">
        <f t="shared" si="63"/>
        <v>16 fős egyenes kiesés</v>
      </c>
      <c r="I453" s="50" t="str">
        <f>"2"</f>
        <v>2</v>
      </c>
      <c r="J453" t="str">
        <f>"Szűcs Norbert"</f>
        <v>Szűcs Norbert</v>
      </c>
      <c r="K453" t="str">
        <f>"Shogun"</f>
        <v>Shogun</v>
      </c>
      <c r="L453" t="str">
        <f t="shared" si="59"/>
        <v>HUN</v>
      </c>
      <c r="M453">
        <v>8</v>
      </c>
      <c r="O453" s="83" t="s">
        <v>410</v>
      </c>
      <c r="P453" s="78">
        <v>45395</v>
      </c>
      <c r="Q453" t="str">
        <f t="shared" si="62"/>
        <v>Szűcs Norbert - Shogun</v>
      </c>
      <c r="R453" t="s">
        <v>636</v>
      </c>
      <c r="S453" t="s">
        <v>636</v>
      </c>
      <c r="T453" t="s">
        <v>645</v>
      </c>
    </row>
    <row r="454" spans="1:20" x14ac:dyDescent="0.3">
      <c r="A454" s="2" t="s">
        <v>409</v>
      </c>
      <c r="B454" s="50" t="s">
        <v>154</v>
      </c>
      <c r="C454">
        <v>3</v>
      </c>
      <c r="D454" t="str">
        <f t="shared" si="61"/>
        <v>Kumite</v>
      </c>
      <c r="E454" t="str">
        <f>"Kumite, -, 0-27 kg, Gyerek 1. (9-10"</f>
        <v>Kumite, -, 0-27 kg, Gyerek 1. (9-10</v>
      </c>
      <c r="F454" s="83" t="s">
        <v>554</v>
      </c>
      <c r="G454" s="50" t="str">
        <f>"11"</f>
        <v>11</v>
      </c>
      <c r="H454" t="str">
        <f t="shared" si="63"/>
        <v>16 fős egyenes kiesés</v>
      </c>
      <c r="I454" s="50" t="str">
        <f>"3"</f>
        <v>3</v>
      </c>
      <c r="J454" t="str">
        <f>"Kantó Máté"</f>
        <v>Kantó Máté</v>
      </c>
      <c r="K454" t="str">
        <f>"Spirit SE."</f>
        <v>Spirit SE.</v>
      </c>
      <c r="L454" t="str">
        <f t="shared" si="59"/>
        <v>HUN</v>
      </c>
      <c r="M454">
        <v>6</v>
      </c>
      <c r="O454" s="83" t="s">
        <v>410</v>
      </c>
      <c r="P454" s="78">
        <v>45395</v>
      </c>
      <c r="Q454" t="str">
        <f t="shared" si="62"/>
        <v>Kantó Máté - Spirit SE.</v>
      </c>
      <c r="R454" t="s">
        <v>636</v>
      </c>
      <c r="S454" t="s">
        <v>636</v>
      </c>
      <c r="T454" t="s">
        <v>645</v>
      </c>
    </row>
    <row r="455" spans="1:20" x14ac:dyDescent="0.3">
      <c r="A455" s="2" t="s">
        <v>409</v>
      </c>
      <c r="B455" s="50" t="s">
        <v>154</v>
      </c>
      <c r="C455">
        <v>4</v>
      </c>
      <c r="D455" t="str">
        <f t="shared" si="61"/>
        <v>Kumite</v>
      </c>
      <c r="E455" t="str">
        <f>"Kumite, -, 0-27 kg, Gyerek 1. (9-10"</f>
        <v>Kumite, -, 0-27 kg, Gyerek 1. (9-10</v>
      </c>
      <c r="F455" s="83" t="s">
        <v>554</v>
      </c>
      <c r="G455" s="50" t="str">
        <f>"11"</f>
        <v>11</v>
      </c>
      <c r="H455" t="str">
        <f t="shared" si="63"/>
        <v>16 fős egyenes kiesés</v>
      </c>
      <c r="I455" s="50" t="str">
        <f>"3"</f>
        <v>3</v>
      </c>
      <c r="J455" t="str">
        <f>"Hegedűs Bence"</f>
        <v>Hegedűs Bence</v>
      </c>
      <c r="K455" t="str">
        <f>"Shogun"</f>
        <v>Shogun</v>
      </c>
      <c r="L455" t="str">
        <f t="shared" si="59"/>
        <v>HUN</v>
      </c>
      <c r="M455">
        <v>6</v>
      </c>
      <c r="O455" s="83" t="s">
        <v>410</v>
      </c>
      <c r="P455" s="78">
        <v>45395</v>
      </c>
      <c r="Q455" t="str">
        <f t="shared" si="62"/>
        <v>Hegedűs Bence - Shogun</v>
      </c>
      <c r="R455" t="s">
        <v>636</v>
      </c>
      <c r="S455" t="s">
        <v>636</v>
      </c>
      <c r="T455" t="s">
        <v>645</v>
      </c>
    </row>
    <row r="456" spans="1:20" x14ac:dyDescent="0.3">
      <c r="A456" s="2" t="s">
        <v>409</v>
      </c>
      <c r="B456" s="50" t="s">
        <v>154</v>
      </c>
      <c r="C456">
        <v>4</v>
      </c>
      <c r="D456" t="str">
        <f t="shared" si="61"/>
        <v>Kumite</v>
      </c>
      <c r="E456" t="str">
        <f>"Kumite, -, 0-27 kg, Gyerek 1. (9-10"</f>
        <v>Kumite, -, 0-27 kg, Gyerek 1. (9-10</v>
      </c>
      <c r="F456" s="83" t="s">
        <v>554</v>
      </c>
      <c r="G456" s="50" t="str">
        <f>"11"</f>
        <v>11</v>
      </c>
      <c r="H456" t="str">
        <f t="shared" si="63"/>
        <v>16 fős egyenes kiesés</v>
      </c>
      <c r="I456" s="67" t="s">
        <v>302</v>
      </c>
      <c r="J456" t="s">
        <v>305</v>
      </c>
      <c r="K456" t="s">
        <v>37</v>
      </c>
      <c r="L456" t="str">
        <f t="shared" si="59"/>
        <v>HUN</v>
      </c>
      <c r="M456">
        <v>3</v>
      </c>
      <c r="O456" s="83" t="s">
        <v>410</v>
      </c>
      <c r="P456" s="78">
        <v>45395</v>
      </c>
      <c r="Q456" t="str">
        <f t="shared" si="62"/>
        <v>Zajácz Miklós - Kamikaze S</v>
      </c>
      <c r="R456" t="s">
        <v>636</v>
      </c>
      <c r="S456" t="s">
        <v>636</v>
      </c>
      <c r="T456" t="s">
        <v>645</v>
      </c>
    </row>
    <row r="457" spans="1:20" x14ac:dyDescent="0.3">
      <c r="A457" s="2" t="s">
        <v>409</v>
      </c>
      <c r="B457" s="50" t="s">
        <v>154</v>
      </c>
      <c r="C457">
        <v>5</v>
      </c>
      <c r="D457" t="str">
        <f t="shared" si="61"/>
        <v>Kumite</v>
      </c>
      <c r="E457" t="str">
        <f>"Kumite, -, 27-30 kg, Gyerek 1. (9-10"</f>
        <v>Kumite, -, 27-30 kg, Gyerek 1. (9-10</v>
      </c>
      <c r="F457" s="83" t="s">
        <v>509</v>
      </c>
      <c r="G457" s="50" t="str">
        <f>"9"</f>
        <v>9</v>
      </c>
      <c r="H457" t="str">
        <f t="shared" si="63"/>
        <v>16 fős egyenes kiesés</v>
      </c>
      <c r="I457" s="50" t="str">
        <f>"1"</f>
        <v>1</v>
      </c>
      <c r="J457" t="str">
        <f>"Tarr Bence"</f>
        <v>Tarr Bence</v>
      </c>
      <c r="K457" t="str">
        <f>"Shogun"</f>
        <v>Shogun</v>
      </c>
      <c r="L457" t="str">
        <f t="shared" si="59"/>
        <v>HUN</v>
      </c>
      <c r="M457">
        <v>10</v>
      </c>
      <c r="O457" s="83" t="s">
        <v>410</v>
      </c>
      <c r="P457" s="78">
        <v>45395</v>
      </c>
      <c r="Q457" t="str">
        <f t="shared" si="62"/>
        <v>Tarr Bence - Shogun</v>
      </c>
      <c r="R457" t="s">
        <v>636</v>
      </c>
      <c r="S457" t="s">
        <v>636</v>
      </c>
      <c r="T457" t="s">
        <v>645</v>
      </c>
    </row>
    <row r="458" spans="1:20" x14ac:dyDescent="0.3">
      <c r="A458" s="2" t="s">
        <v>409</v>
      </c>
      <c r="B458" s="50" t="s">
        <v>154</v>
      </c>
      <c r="C458">
        <v>6</v>
      </c>
      <c r="D458" t="str">
        <f t="shared" si="61"/>
        <v>Kumite</v>
      </c>
      <c r="E458" t="str">
        <f>"Kumite, -, 27-30 kg, Gyerek 1. (9-10"</f>
        <v>Kumite, -, 27-30 kg, Gyerek 1. (9-10</v>
      </c>
      <c r="F458" s="83" t="s">
        <v>509</v>
      </c>
      <c r="G458" s="50" t="str">
        <f>"9"</f>
        <v>9</v>
      </c>
      <c r="H458" t="str">
        <f t="shared" si="63"/>
        <v>16 fős egyenes kiesés</v>
      </c>
      <c r="I458" s="50" t="str">
        <f>"2"</f>
        <v>2</v>
      </c>
      <c r="J458" t="str">
        <f>"Hegedűs Vencel"</f>
        <v>Hegedűs Vencel</v>
      </c>
      <c r="K458" t="str">
        <f>"Nagykátai Bushido SE"</f>
        <v>Nagykátai Bushido SE</v>
      </c>
      <c r="L458" t="str">
        <f t="shared" si="59"/>
        <v>HUN</v>
      </c>
      <c r="M458">
        <v>8</v>
      </c>
      <c r="O458" s="83" t="s">
        <v>410</v>
      </c>
      <c r="P458" s="78">
        <v>45395</v>
      </c>
      <c r="Q458" t="str">
        <f t="shared" si="62"/>
        <v>Hegedűs Vencel - Nagykátai Bushido SE</v>
      </c>
      <c r="R458" t="s">
        <v>636</v>
      </c>
      <c r="S458" t="s">
        <v>636</v>
      </c>
      <c r="T458" t="s">
        <v>645</v>
      </c>
    </row>
    <row r="459" spans="1:20" x14ac:dyDescent="0.3">
      <c r="A459" s="2" t="s">
        <v>409</v>
      </c>
      <c r="B459" s="50" t="s">
        <v>154</v>
      </c>
      <c r="C459">
        <v>7</v>
      </c>
      <c r="D459" t="str">
        <f t="shared" si="61"/>
        <v>Kumite</v>
      </c>
      <c r="E459" t="str">
        <f>"Kumite, -, 27-30 kg, Gyerek 1. (9-10"</f>
        <v>Kumite, -, 27-30 kg, Gyerek 1. (9-10</v>
      </c>
      <c r="F459" s="83" t="s">
        <v>509</v>
      </c>
      <c r="G459" s="50" t="str">
        <f>"9"</f>
        <v>9</v>
      </c>
      <c r="H459" t="str">
        <f t="shared" si="63"/>
        <v>16 fős egyenes kiesés</v>
      </c>
      <c r="I459" s="50" t="str">
        <f>"3"</f>
        <v>3</v>
      </c>
      <c r="J459" t="str">
        <f>"Szenner Valentin"</f>
        <v>Szenner Valentin</v>
      </c>
      <c r="K459" t="str">
        <f>"Katana SE"</f>
        <v>Katana SE</v>
      </c>
      <c r="L459" t="str">
        <f t="shared" si="59"/>
        <v>HUN</v>
      </c>
      <c r="M459">
        <v>6</v>
      </c>
      <c r="O459" s="83" t="s">
        <v>410</v>
      </c>
      <c r="P459" s="78">
        <v>45395</v>
      </c>
      <c r="Q459" t="str">
        <f t="shared" si="62"/>
        <v>Szenner Valentin - Katana SE</v>
      </c>
      <c r="R459" t="s">
        <v>636</v>
      </c>
      <c r="S459" t="s">
        <v>636</v>
      </c>
      <c r="T459" t="s">
        <v>645</v>
      </c>
    </row>
    <row r="460" spans="1:20" x14ac:dyDescent="0.3">
      <c r="A460" s="2" t="s">
        <v>409</v>
      </c>
      <c r="B460" s="50" t="s">
        <v>154</v>
      </c>
      <c r="C460">
        <v>8</v>
      </c>
      <c r="D460" t="str">
        <f t="shared" si="61"/>
        <v>Kumite</v>
      </c>
      <c r="E460" t="str">
        <f>"Kumite, -, 27-30 kg, Gyerek 1. (9-10"</f>
        <v>Kumite, -, 27-30 kg, Gyerek 1. (9-10</v>
      </c>
      <c r="F460" s="83" t="s">
        <v>509</v>
      </c>
      <c r="G460" s="50" t="str">
        <f>"9"</f>
        <v>9</v>
      </c>
      <c r="H460" t="str">
        <f t="shared" si="63"/>
        <v>16 fős egyenes kiesés</v>
      </c>
      <c r="I460" s="50" t="str">
        <f>"3"</f>
        <v>3</v>
      </c>
      <c r="J460" t="str">
        <f>"Boka Norman Eliot"</f>
        <v>Boka Norman Eliot</v>
      </c>
      <c r="K460" t="str">
        <f>"Katana SE"</f>
        <v>Katana SE</v>
      </c>
      <c r="L460" t="str">
        <f t="shared" si="59"/>
        <v>HUN</v>
      </c>
      <c r="M460">
        <v>6</v>
      </c>
      <c r="O460" s="83" t="s">
        <v>410</v>
      </c>
      <c r="P460" s="78">
        <v>45395</v>
      </c>
      <c r="Q460" t="str">
        <f t="shared" si="62"/>
        <v>Boka Norman Eliot - Katana SE</v>
      </c>
      <c r="R460" t="s">
        <v>636</v>
      </c>
      <c r="S460" t="s">
        <v>636</v>
      </c>
      <c r="T460" t="s">
        <v>645</v>
      </c>
    </row>
    <row r="461" spans="1:20" x14ac:dyDescent="0.3">
      <c r="A461" s="2" t="s">
        <v>409</v>
      </c>
      <c r="B461" s="50" t="s">
        <v>154</v>
      </c>
      <c r="C461">
        <v>9</v>
      </c>
      <c r="D461" t="str">
        <f t="shared" si="61"/>
        <v>Kumite</v>
      </c>
      <c r="E461" t="str">
        <f t="shared" ref="E461:E467" si="64">"Kumite, -, 35-150 kg, Gyerek 1. (9-10"</f>
        <v>Kumite, -, 35-150 kg, Gyerek 1. (9-10</v>
      </c>
      <c r="F461" s="83" t="s">
        <v>513</v>
      </c>
      <c r="G461" s="50" t="str">
        <f t="shared" ref="G461:G467" si="65">"16"</f>
        <v>16</v>
      </c>
      <c r="H461" t="str">
        <f t="shared" si="63"/>
        <v>16 fős egyenes kiesés</v>
      </c>
      <c r="I461" s="50" t="str">
        <f>"1"</f>
        <v>1</v>
      </c>
      <c r="J461" t="str">
        <f>"Gombos-Weidinger Zsombor"</f>
        <v>Gombos-Weidinger Zsombor</v>
      </c>
      <c r="K461" t="str">
        <f>"BHMSE"</f>
        <v>BHMSE</v>
      </c>
      <c r="L461" t="str">
        <f t="shared" si="59"/>
        <v>HUN</v>
      </c>
      <c r="M461">
        <v>10</v>
      </c>
      <c r="O461" s="83" t="s">
        <v>410</v>
      </c>
      <c r="P461" s="78">
        <v>45395</v>
      </c>
      <c r="Q461" t="str">
        <f t="shared" si="62"/>
        <v>Gombos-Weidinger Zsombor - BHMSE</v>
      </c>
      <c r="R461" t="s">
        <v>636</v>
      </c>
      <c r="S461" t="s">
        <v>636</v>
      </c>
      <c r="T461" t="s">
        <v>645</v>
      </c>
    </row>
    <row r="462" spans="1:20" x14ac:dyDescent="0.3">
      <c r="A462" s="2" t="s">
        <v>409</v>
      </c>
      <c r="B462" s="50" t="s">
        <v>154</v>
      </c>
      <c r="C462">
        <v>10</v>
      </c>
      <c r="D462" t="str">
        <f t="shared" si="61"/>
        <v>Kumite</v>
      </c>
      <c r="E462" t="str">
        <f t="shared" si="64"/>
        <v>Kumite, -, 35-150 kg, Gyerek 1. (9-10</v>
      </c>
      <c r="F462" s="83" t="s">
        <v>513</v>
      </c>
      <c r="G462" s="50" t="str">
        <f t="shared" si="65"/>
        <v>16</v>
      </c>
      <c r="H462" t="str">
        <f t="shared" si="63"/>
        <v>16 fős egyenes kiesés</v>
      </c>
      <c r="I462" s="50" t="str">
        <f>"2"</f>
        <v>2</v>
      </c>
      <c r="J462" t="str">
        <f>"Jónás Alex"</f>
        <v>Jónás Alex</v>
      </c>
      <c r="K462" t="str">
        <f>"Rakurai"</f>
        <v>Rakurai</v>
      </c>
      <c r="L462" t="str">
        <f t="shared" si="59"/>
        <v>HUN</v>
      </c>
      <c r="M462">
        <v>8</v>
      </c>
      <c r="O462" s="83" t="s">
        <v>410</v>
      </c>
      <c r="P462" s="78">
        <v>45395</v>
      </c>
      <c r="Q462" t="str">
        <f t="shared" si="62"/>
        <v>Jónás Alex - Rakurai</v>
      </c>
      <c r="R462" t="s">
        <v>636</v>
      </c>
      <c r="S462" t="s">
        <v>636</v>
      </c>
      <c r="T462" t="s">
        <v>645</v>
      </c>
    </row>
    <row r="463" spans="1:20" x14ac:dyDescent="0.3">
      <c r="A463" s="2" t="s">
        <v>409</v>
      </c>
      <c r="B463" s="50" t="s">
        <v>154</v>
      </c>
      <c r="C463">
        <v>11</v>
      </c>
      <c r="D463" t="str">
        <f t="shared" si="61"/>
        <v>Kumite</v>
      </c>
      <c r="E463" t="str">
        <f t="shared" si="64"/>
        <v>Kumite, -, 35-150 kg, Gyerek 1. (9-10</v>
      </c>
      <c r="F463" s="83" t="s">
        <v>513</v>
      </c>
      <c r="G463" s="50" t="str">
        <f t="shared" si="65"/>
        <v>16</v>
      </c>
      <c r="H463" t="str">
        <f t="shared" si="63"/>
        <v>16 fős egyenes kiesés</v>
      </c>
      <c r="I463" s="50" t="str">
        <f>"3"</f>
        <v>3</v>
      </c>
      <c r="J463" t="str">
        <f>"Szabó Zsombor"</f>
        <v>Szabó Zsombor</v>
      </c>
      <c r="K463" t="str">
        <f>"Buke Reikon HRSE"</f>
        <v>Buke Reikon HRSE</v>
      </c>
      <c r="L463" t="str">
        <f t="shared" si="59"/>
        <v>HUN</v>
      </c>
      <c r="M463">
        <v>6</v>
      </c>
      <c r="O463" s="83" t="s">
        <v>410</v>
      </c>
      <c r="P463" s="78">
        <v>45395</v>
      </c>
      <c r="Q463" t="str">
        <f t="shared" si="62"/>
        <v>Szabó Zsombor - Buke Reikon HRSE</v>
      </c>
      <c r="R463" t="s">
        <v>636</v>
      </c>
      <c r="S463" t="s">
        <v>636</v>
      </c>
      <c r="T463" t="s">
        <v>645</v>
      </c>
    </row>
    <row r="464" spans="1:20" x14ac:dyDescent="0.3">
      <c r="A464" s="2" t="s">
        <v>409</v>
      </c>
      <c r="B464" s="50" t="s">
        <v>154</v>
      </c>
      <c r="C464">
        <v>12</v>
      </c>
      <c r="D464" t="str">
        <f t="shared" si="61"/>
        <v>Kumite</v>
      </c>
      <c r="E464" t="str">
        <f t="shared" si="64"/>
        <v>Kumite, -, 35-150 kg, Gyerek 1. (9-10</v>
      </c>
      <c r="F464" s="83" t="s">
        <v>513</v>
      </c>
      <c r="G464" s="50" t="str">
        <f t="shared" si="65"/>
        <v>16</v>
      </c>
      <c r="H464" t="str">
        <f t="shared" si="63"/>
        <v>16 fős egyenes kiesés</v>
      </c>
      <c r="I464" s="67" t="s">
        <v>302</v>
      </c>
      <c r="J464" t="s">
        <v>417</v>
      </c>
      <c r="K464" t="s">
        <v>318</v>
      </c>
      <c r="L464" t="str">
        <f t="shared" si="59"/>
        <v>HUN</v>
      </c>
      <c r="M464">
        <v>3</v>
      </c>
      <c r="O464" s="83" t="s">
        <v>410</v>
      </c>
      <c r="P464" s="78">
        <v>45395</v>
      </c>
      <c r="Q464" t="str">
        <f t="shared" si="62"/>
        <v>Kiss Levente - Derecske BUDO</v>
      </c>
      <c r="R464" t="s">
        <v>636</v>
      </c>
      <c r="S464" t="s">
        <v>636</v>
      </c>
      <c r="T464" t="s">
        <v>645</v>
      </c>
    </row>
    <row r="465" spans="1:20" x14ac:dyDescent="0.3">
      <c r="A465" s="2" t="s">
        <v>409</v>
      </c>
      <c r="B465" s="50" t="s">
        <v>154</v>
      </c>
      <c r="C465">
        <v>12</v>
      </c>
      <c r="D465" t="str">
        <f t="shared" si="61"/>
        <v>Kumite</v>
      </c>
      <c r="E465" t="str">
        <f t="shared" si="64"/>
        <v>Kumite, -, 35-150 kg, Gyerek 1. (9-10</v>
      </c>
      <c r="F465" s="83" t="s">
        <v>513</v>
      </c>
      <c r="G465" s="50" t="str">
        <f t="shared" si="65"/>
        <v>16</v>
      </c>
      <c r="H465" t="str">
        <f t="shared" si="63"/>
        <v>16 fős egyenes kiesés</v>
      </c>
      <c r="I465" s="67" t="s">
        <v>302</v>
      </c>
      <c r="J465" t="s">
        <v>418</v>
      </c>
      <c r="K465" t="s">
        <v>14</v>
      </c>
      <c r="L465" t="str">
        <f t="shared" si="59"/>
        <v>HUN</v>
      </c>
      <c r="M465">
        <v>3</v>
      </c>
      <c r="O465" s="83" t="s">
        <v>410</v>
      </c>
      <c r="P465" s="78">
        <v>45395</v>
      </c>
      <c r="Q465" t="str">
        <f t="shared" si="62"/>
        <v>Némethy Balázs - Shogun</v>
      </c>
      <c r="R465" t="s">
        <v>636</v>
      </c>
      <c r="S465" t="s">
        <v>636</v>
      </c>
      <c r="T465" t="s">
        <v>645</v>
      </c>
    </row>
    <row r="466" spans="1:20" x14ac:dyDescent="0.3">
      <c r="A466" s="2" t="s">
        <v>409</v>
      </c>
      <c r="B466" s="50" t="s">
        <v>154</v>
      </c>
      <c r="C466">
        <v>12</v>
      </c>
      <c r="D466" t="str">
        <f t="shared" si="61"/>
        <v>Kumite</v>
      </c>
      <c r="E466" t="str">
        <f t="shared" si="64"/>
        <v>Kumite, -, 35-150 kg, Gyerek 1. (9-10</v>
      </c>
      <c r="F466" s="83" t="s">
        <v>513</v>
      </c>
      <c r="G466" s="50" t="str">
        <f t="shared" si="65"/>
        <v>16</v>
      </c>
      <c r="H466" t="str">
        <f t="shared" si="63"/>
        <v>16 fős egyenes kiesés</v>
      </c>
      <c r="I466" s="67" t="s">
        <v>302</v>
      </c>
      <c r="J466" t="s">
        <v>419</v>
      </c>
      <c r="K466" t="s">
        <v>79</v>
      </c>
      <c r="L466" t="str">
        <f t="shared" si="59"/>
        <v>HUN</v>
      </c>
      <c r="M466">
        <v>3</v>
      </c>
      <c r="O466" s="83" t="s">
        <v>410</v>
      </c>
      <c r="P466" s="78">
        <v>45395</v>
      </c>
      <c r="Q466" t="str">
        <f t="shared" si="62"/>
        <v>Tálas Csongor - Ippon KKSE</v>
      </c>
      <c r="R466" t="s">
        <v>636</v>
      </c>
      <c r="S466" t="s">
        <v>636</v>
      </c>
      <c r="T466" t="s">
        <v>645</v>
      </c>
    </row>
    <row r="467" spans="1:20" x14ac:dyDescent="0.3">
      <c r="A467" s="2" t="s">
        <v>409</v>
      </c>
      <c r="B467" s="50" t="s">
        <v>154</v>
      </c>
      <c r="C467">
        <v>12</v>
      </c>
      <c r="D467" t="str">
        <f t="shared" si="61"/>
        <v>Kumite</v>
      </c>
      <c r="E467" t="str">
        <f t="shared" si="64"/>
        <v>Kumite, -, 35-150 kg, Gyerek 1. (9-10</v>
      </c>
      <c r="F467" s="83" t="s">
        <v>513</v>
      </c>
      <c r="G467" s="50" t="str">
        <f t="shared" si="65"/>
        <v>16</v>
      </c>
      <c r="H467" t="str">
        <f t="shared" si="63"/>
        <v>16 fős egyenes kiesés</v>
      </c>
      <c r="I467" s="67" t="s">
        <v>302</v>
      </c>
      <c r="J467" t="s">
        <v>420</v>
      </c>
      <c r="K467" t="s">
        <v>82</v>
      </c>
      <c r="L467" t="str">
        <f t="shared" si="59"/>
        <v>HUN</v>
      </c>
      <c r="M467">
        <v>3</v>
      </c>
      <c r="O467" s="83" t="s">
        <v>410</v>
      </c>
      <c r="P467" s="78">
        <v>45395</v>
      </c>
      <c r="Q467" t="str">
        <f t="shared" si="62"/>
        <v>Gaál Kolos Botond - Bátor KSE</v>
      </c>
      <c r="R467" t="s">
        <v>636</v>
      </c>
      <c r="S467" t="s">
        <v>636</v>
      </c>
      <c r="T467" t="s">
        <v>645</v>
      </c>
    </row>
    <row r="468" spans="1:20" x14ac:dyDescent="0.3">
      <c r="A468" s="2" t="s">
        <v>409</v>
      </c>
      <c r="B468" s="50" t="s">
        <v>154</v>
      </c>
      <c r="C468">
        <v>13</v>
      </c>
      <c r="D468" t="str">
        <f t="shared" si="61"/>
        <v>Kumite</v>
      </c>
      <c r="E468" t="str">
        <f t="shared" ref="E468:E475" si="66">"Kumite, -, 30-35 kg, Gyerek 1. (9-10"</f>
        <v>Kumite, -, 30-35 kg, Gyerek 1. (9-10</v>
      </c>
      <c r="F468" s="83" t="s">
        <v>511</v>
      </c>
      <c r="G468" s="50" t="str">
        <f t="shared" ref="G468:G475" si="67">"13"</f>
        <v>13</v>
      </c>
      <c r="H468" t="str">
        <f t="shared" si="63"/>
        <v>16 fős egyenes kiesés</v>
      </c>
      <c r="I468" s="50" t="str">
        <f>"1"</f>
        <v>1</v>
      </c>
      <c r="J468" t="str">
        <f>"Eszenyi Barnabás"</f>
        <v>Eszenyi Barnabás</v>
      </c>
      <c r="K468" t="str">
        <f>"Shogun"</f>
        <v>Shogun</v>
      </c>
      <c r="L468" t="str">
        <f t="shared" si="59"/>
        <v>HUN</v>
      </c>
      <c r="M468">
        <v>10</v>
      </c>
      <c r="O468" s="83" t="s">
        <v>410</v>
      </c>
      <c r="P468" s="78">
        <v>45395</v>
      </c>
      <c r="Q468" t="str">
        <f t="shared" si="62"/>
        <v>Eszenyi Barnabás - Shogun</v>
      </c>
      <c r="R468" t="s">
        <v>636</v>
      </c>
      <c r="S468" t="s">
        <v>636</v>
      </c>
      <c r="T468" t="s">
        <v>645</v>
      </c>
    </row>
    <row r="469" spans="1:20" x14ac:dyDescent="0.3">
      <c r="A469" s="2" t="s">
        <v>409</v>
      </c>
      <c r="B469" s="50" t="s">
        <v>154</v>
      </c>
      <c r="C469">
        <v>14</v>
      </c>
      <c r="D469" t="str">
        <f t="shared" si="61"/>
        <v>Kumite</v>
      </c>
      <c r="E469" t="str">
        <f t="shared" si="66"/>
        <v>Kumite, -, 30-35 kg, Gyerek 1. (9-10</v>
      </c>
      <c r="F469" s="83" t="s">
        <v>511</v>
      </c>
      <c r="G469" s="50" t="str">
        <f t="shared" si="67"/>
        <v>13</v>
      </c>
      <c r="H469" t="str">
        <f t="shared" si="63"/>
        <v>16 fős egyenes kiesés</v>
      </c>
      <c r="I469" s="50" t="str">
        <f>"2"</f>
        <v>2</v>
      </c>
      <c r="J469" t="str">
        <f>"Árendás Botond"</f>
        <v>Árendás Botond</v>
      </c>
      <c r="K469" t="str">
        <f>"KSE Tarján"</f>
        <v>KSE Tarján</v>
      </c>
      <c r="L469" t="str">
        <f t="shared" si="59"/>
        <v>HUN</v>
      </c>
      <c r="M469">
        <v>8</v>
      </c>
      <c r="O469" s="83" t="s">
        <v>410</v>
      </c>
      <c r="P469" s="78">
        <v>45395</v>
      </c>
      <c r="Q469" t="str">
        <f t="shared" si="62"/>
        <v>Árendás Botond - KSE Tarján</v>
      </c>
      <c r="R469" t="s">
        <v>636</v>
      </c>
      <c r="S469" t="s">
        <v>636</v>
      </c>
      <c r="T469" t="s">
        <v>645</v>
      </c>
    </row>
    <row r="470" spans="1:20" x14ac:dyDescent="0.3">
      <c r="A470" s="2" t="s">
        <v>409</v>
      </c>
      <c r="B470" s="50" t="s">
        <v>154</v>
      </c>
      <c r="C470">
        <v>15</v>
      </c>
      <c r="D470" t="str">
        <f t="shared" si="61"/>
        <v>Kumite</v>
      </c>
      <c r="E470" t="str">
        <f t="shared" si="66"/>
        <v>Kumite, -, 30-35 kg, Gyerek 1. (9-10</v>
      </c>
      <c r="F470" s="83" t="s">
        <v>511</v>
      </c>
      <c r="G470" s="50" t="str">
        <f t="shared" si="67"/>
        <v>13</v>
      </c>
      <c r="H470" t="str">
        <f t="shared" si="63"/>
        <v>16 fős egyenes kiesés</v>
      </c>
      <c r="I470" s="50" t="str">
        <f>"3"</f>
        <v>3</v>
      </c>
      <c r="J470" t="str">
        <f>"Kiss Adrián"</f>
        <v>Kiss Adrián</v>
      </c>
      <c r="K470" t="str">
        <f>"Keizoku SE"</f>
        <v>Keizoku SE</v>
      </c>
      <c r="L470" t="str">
        <f t="shared" si="59"/>
        <v>HUN</v>
      </c>
      <c r="M470">
        <v>6</v>
      </c>
      <c r="O470" s="83" t="s">
        <v>410</v>
      </c>
      <c r="P470" s="78">
        <v>45395</v>
      </c>
      <c r="Q470" t="str">
        <f t="shared" si="62"/>
        <v>Kiss Adrián - Keizoku SE</v>
      </c>
      <c r="R470" t="s">
        <v>636</v>
      </c>
      <c r="S470" t="s">
        <v>636</v>
      </c>
      <c r="T470" t="s">
        <v>645</v>
      </c>
    </row>
    <row r="471" spans="1:20" x14ac:dyDescent="0.3">
      <c r="A471" s="2" t="s">
        <v>409</v>
      </c>
      <c r="B471" s="50" t="s">
        <v>154</v>
      </c>
      <c r="C471">
        <v>16</v>
      </c>
      <c r="D471" t="str">
        <f t="shared" si="61"/>
        <v>Kumite</v>
      </c>
      <c r="E471" t="str">
        <f t="shared" si="66"/>
        <v>Kumite, -, 30-35 kg, Gyerek 1. (9-10</v>
      </c>
      <c r="F471" s="83" t="s">
        <v>511</v>
      </c>
      <c r="G471" s="50" t="str">
        <f t="shared" si="67"/>
        <v>13</v>
      </c>
      <c r="H471" t="str">
        <f t="shared" si="63"/>
        <v>16 fős egyenes kiesés</v>
      </c>
      <c r="I471" s="50" t="str">
        <f>"3"</f>
        <v>3</v>
      </c>
      <c r="J471" t="str">
        <f>"Sipos-Cserjési Horka"</f>
        <v>Sipos-Cserjési Horka</v>
      </c>
      <c r="K471" t="str">
        <f>"BHMSE"</f>
        <v>BHMSE</v>
      </c>
      <c r="L471" t="str">
        <f t="shared" si="59"/>
        <v>HUN</v>
      </c>
      <c r="M471">
        <v>6</v>
      </c>
      <c r="O471" s="83" t="s">
        <v>410</v>
      </c>
      <c r="P471" s="78">
        <v>45395</v>
      </c>
      <c r="Q471" t="str">
        <f t="shared" si="62"/>
        <v>Sipos-Cserjési Horka - BHMSE</v>
      </c>
      <c r="R471" t="s">
        <v>636</v>
      </c>
      <c r="S471" t="s">
        <v>636</v>
      </c>
      <c r="T471" t="s">
        <v>645</v>
      </c>
    </row>
    <row r="472" spans="1:20" x14ac:dyDescent="0.3">
      <c r="A472" s="2" t="s">
        <v>409</v>
      </c>
      <c r="B472" s="50" t="s">
        <v>154</v>
      </c>
      <c r="C472">
        <v>16</v>
      </c>
      <c r="D472" t="str">
        <f t="shared" si="61"/>
        <v>Kumite</v>
      </c>
      <c r="E472" t="str">
        <f t="shared" si="66"/>
        <v>Kumite, -, 30-35 kg, Gyerek 1. (9-10</v>
      </c>
      <c r="F472" s="83" t="s">
        <v>511</v>
      </c>
      <c r="G472" s="50" t="str">
        <f t="shared" si="67"/>
        <v>13</v>
      </c>
      <c r="H472" t="str">
        <f t="shared" si="63"/>
        <v>16 fős egyenes kiesés</v>
      </c>
      <c r="I472" s="67" t="s">
        <v>302</v>
      </c>
      <c r="J472" t="s">
        <v>421</v>
      </c>
      <c r="K472" t="s">
        <v>14</v>
      </c>
      <c r="L472" t="str">
        <f t="shared" si="59"/>
        <v>HUN</v>
      </c>
      <c r="M472">
        <v>3</v>
      </c>
      <c r="O472" s="83" t="s">
        <v>410</v>
      </c>
      <c r="P472" s="78">
        <v>45395</v>
      </c>
      <c r="Q472" t="str">
        <f t="shared" si="62"/>
        <v>Remenyik Péter - Shogun</v>
      </c>
      <c r="R472" t="s">
        <v>636</v>
      </c>
      <c r="S472" t="s">
        <v>636</v>
      </c>
      <c r="T472" t="s">
        <v>645</v>
      </c>
    </row>
    <row r="473" spans="1:20" x14ac:dyDescent="0.3">
      <c r="A473" s="2" t="s">
        <v>409</v>
      </c>
      <c r="B473" s="50" t="s">
        <v>154</v>
      </c>
      <c r="C473">
        <v>16</v>
      </c>
      <c r="D473" t="str">
        <f t="shared" si="61"/>
        <v>Kumite</v>
      </c>
      <c r="E473" t="str">
        <f t="shared" si="66"/>
        <v>Kumite, -, 30-35 kg, Gyerek 1. (9-10</v>
      </c>
      <c r="F473" s="83" t="s">
        <v>511</v>
      </c>
      <c r="G473" s="50" t="str">
        <f t="shared" si="67"/>
        <v>13</v>
      </c>
      <c r="H473" t="str">
        <f t="shared" si="63"/>
        <v>16 fős egyenes kiesés</v>
      </c>
      <c r="I473" s="67" t="s">
        <v>302</v>
      </c>
      <c r="J473" t="s">
        <v>423</v>
      </c>
      <c r="K473" t="s">
        <v>82</v>
      </c>
      <c r="L473" t="str">
        <f t="shared" si="59"/>
        <v>HUN</v>
      </c>
      <c r="M473">
        <v>3</v>
      </c>
      <c r="O473" s="83" t="s">
        <v>410</v>
      </c>
      <c r="P473" s="78">
        <v>45395</v>
      </c>
      <c r="Q473" t="str">
        <f t="shared" si="62"/>
        <v>Héder Patrik - Bátor KSE</v>
      </c>
      <c r="R473" t="s">
        <v>636</v>
      </c>
      <c r="S473" t="s">
        <v>636</v>
      </c>
      <c r="T473" t="s">
        <v>645</v>
      </c>
    </row>
    <row r="474" spans="1:20" x14ac:dyDescent="0.3">
      <c r="A474" s="2" t="s">
        <v>409</v>
      </c>
      <c r="B474" s="50" t="s">
        <v>154</v>
      </c>
      <c r="C474">
        <v>16</v>
      </c>
      <c r="D474" t="str">
        <f t="shared" si="61"/>
        <v>Kumite</v>
      </c>
      <c r="E474" t="str">
        <f t="shared" si="66"/>
        <v>Kumite, -, 30-35 kg, Gyerek 1. (9-10</v>
      </c>
      <c r="F474" s="83" t="s">
        <v>511</v>
      </c>
      <c r="G474" s="50" t="str">
        <f t="shared" si="67"/>
        <v>13</v>
      </c>
      <c r="H474" t="str">
        <f t="shared" si="63"/>
        <v>16 fős egyenes kiesés</v>
      </c>
      <c r="I474" s="67" t="s">
        <v>302</v>
      </c>
      <c r="J474" t="s">
        <v>424</v>
      </c>
      <c r="K474" t="s">
        <v>325</v>
      </c>
      <c r="L474" t="str">
        <f t="shared" si="59"/>
        <v>HUN</v>
      </c>
      <c r="M474">
        <v>3</v>
      </c>
      <c r="O474" s="83" t="s">
        <v>410</v>
      </c>
      <c r="P474" s="78">
        <v>45395</v>
      </c>
      <c r="Q474" t="str">
        <f t="shared" si="62"/>
        <v>Mohai Szilárd - Katana SE</v>
      </c>
      <c r="R474" t="s">
        <v>636</v>
      </c>
      <c r="S474" t="s">
        <v>636</v>
      </c>
      <c r="T474" t="s">
        <v>645</v>
      </c>
    </row>
    <row r="475" spans="1:20" x14ac:dyDescent="0.3">
      <c r="A475" s="2" t="s">
        <v>409</v>
      </c>
      <c r="B475" s="50" t="s">
        <v>154</v>
      </c>
      <c r="C475">
        <v>16</v>
      </c>
      <c r="D475" t="str">
        <f t="shared" si="61"/>
        <v>Kumite</v>
      </c>
      <c r="E475" t="str">
        <f t="shared" si="66"/>
        <v>Kumite, -, 30-35 kg, Gyerek 1. (9-10</v>
      </c>
      <c r="F475" s="83" t="s">
        <v>511</v>
      </c>
      <c r="G475" s="50" t="str">
        <f t="shared" si="67"/>
        <v>13</v>
      </c>
      <c r="H475" t="str">
        <f t="shared" si="63"/>
        <v>16 fős egyenes kiesés</v>
      </c>
      <c r="I475" s="67" t="s">
        <v>302</v>
      </c>
      <c r="J475" t="s">
        <v>422</v>
      </c>
      <c r="K475" t="s">
        <v>67</v>
      </c>
      <c r="L475" t="str">
        <f t="shared" si="59"/>
        <v>HUN</v>
      </c>
      <c r="M475">
        <v>3</v>
      </c>
      <c r="O475" s="83" t="s">
        <v>410</v>
      </c>
      <c r="P475" s="78">
        <v>45395</v>
      </c>
      <c r="Q475" t="str">
        <f t="shared" si="62"/>
        <v>Hidegh Krisztián - Rakurai</v>
      </c>
      <c r="R475" t="s">
        <v>636</v>
      </c>
      <c r="S475" t="s">
        <v>636</v>
      </c>
      <c r="T475" t="s">
        <v>645</v>
      </c>
    </row>
    <row r="476" spans="1:20" x14ac:dyDescent="0.3">
      <c r="A476" s="2" t="s">
        <v>409</v>
      </c>
      <c r="B476" s="50" t="s">
        <v>154</v>
      </c>
      <c r="C476">
        <v>17</v>
      </c>
      <c r="D476" t="str">
        <f t="shared" ref="D476:D483" si="68">"Kata"</f>
        <v>Kata</v>
      </c>
      <c r="E476" t="str">
        <f t="shared" ref="E476:E483" si="69">"Kata, -, 0-100 kg, Gyerek 1. (9-10"</f>
        <v>Kata, -, 0-100 kg, Gyerek 1. (9-10</v>
      </c>
      <c r="F476" s="83" t="s">
        <v>514</v>
      </c>
      <c r="G476" s="50" t="str">
        <f t="shared" ref="G476:G483" si="70">"19"</f>
        <v>19</v>
      </c>
      <c r="H476" t="str">
        <f t="shared" ref="H476:H483" si="71">"32 fős egyenes kiesés"</f>
        <v>32 fős egyenes kiesés</v>
      </c>
      <c r="I476" s="50" t="str">
        <f>"1"</f>
        <v>1</v>
      </c>
      <c r="J476" t="str">
        <f>"Eszenyi Barnabás"</f>
        <v>Eszenyi Barnabás</v>
      </c>
      <c r="K476" t="str">
        <f>"Shogun"</f>
        <v>Shogun</v>
      </c>
      <c r="L476" t="str">
        <f t="shared" si="59"/>
        <v>HUN</v>
      </c>
      <c r="M476">
        <v>10</v>
      </c>
      <c r="O476" s="83" t="s">
        <v>410</v>
      </c>
      <c r="P476" s="78">
        <v>45395</v>
      </c>
      <c r="Q476" t="str">
        <f t="shared" si="62"/>
        <v>Eszenyi Barnabás - Shogun</v>
      </c>
      <c r="R476" t="s">
        <v>636</v>
      </c>
      <c r="S476" t="s">
        <v>636</v>
      </c>
      <c r="T476" t="s">
        <v>645</v>
      </c>
    </row>
    <row r="477" spans="1:20" x14ac:dyDescent="0.3">
      <c r="A477" s="2" t="s">
        <v>409</v>
      </c>
      <c r="B477" s="50" t="s">
        <v>154</v>
      </c>
      <c r="C477">
        <v>18</v>
      </c>
      <c r="D477" t="str">
        <f t="shared" si="68"/>
        <v>Kata</v>
      </c>
      <c r="E477" t="str">
        <f t="shared" si="69"/>
        <v>Kata, -, 0-100 kg, Gyerek 1. (9-10</v>
      </c>
      <c r="F477" s="83" t="s">
        <v>514</v>
      </c>
      <c r="G477" s="50" t="str">
        <f t="shared" si="70"/>
        <v>19</v>
      </c>
      <c r="H477" t="str">
        <f t="shared" si="71"/>
        <v>32 fős egyenes kiesés</v>
      </c>
      <c r="I477" s="50" t="str">
        <f>"2"</f>
        <v>2</v>
      </c>
      <c r="J477" t="str">
        <f>"Tarr Bence"</f>
        <v>Tarr Bence</v>
      </c>
      <c r="K477" t="str">
        <f>"Shogun"</f>
        <v>Shogun</v>
      </c>
      <c r="L477" t="str">
        <f t="shared" si="59"/>
        <v>HUN</v>
      </c>
      <c r="M477">
        <v>7</v>
      </c>
      <c r="O477" s="83" t="s">
        <v>410</v>
      </c>
      <c r="P477" s="78">
        <v>45395</v>
      </c>
      <c r="Q477" t="str">
        <f t="shared" si="62"/>
        <v>Tarr Bence - Shogun</v>
      </c>
      <c r="R477" t="s">
        <v>636</v>
      </c>
      <c r="S477" t="s">
        <v>636</v>
      </c>
      <c r="T477" t="s">
        <v>645</v>
      </c>
    </row>
    <row r="478" spans="1:20" x14ac:dyDescent="0.3">
      <c r="A478" s="2" t="s">
        <v>409</v>
      </c>
      <c r="B478" s="50" t="s">
        <v>154</v>
      </c>
      <c r="C478">
        <v>19</v>
      </c>
      <c r="D478" t="str">
        <f t="shared" si="68"/>
        <v>Kata</v>
      </c>
      <c r="E478" t="str">
        <f t="shared" si="69"/>
        <v>Kata, -, 0-100 kg, Gyerek 1. (9-10</v>
      </c>
      <c r="F478" s="83" t="s">
        <v>514</v>
      </c>
      <c r="G478" s="50" t="str">
        <f t="shared" si="70"/>
        <v>19</v>
      </c>
      <c r="H478" t="str">
        <f t="shared" si="71"/>
        <v>32 fős egyenes kiesés</v>
      </c>
      <c r="I478" s="50" t="str">
        <f>"3"</f>
        <v>3</v>
      </c>
      <c r="J478" t="str">
        <f>"Pajkos Dominik"</f>
        <v>Pajkos Dominik</v>
      </c>
      <c r="K478" t="str">
        <f>"Shogun"</f>
        <v>Shogun</v>
      </c>
      <c r="L478" t="str">
        <f t="shared" si="59"/>
        <v>HUN</v>
      </c>
      <c r="M478">
        <v>5</v>
      </c>
      <c r="O478" s="83" t="s">
        <v>410</v>
      </c>
      <c r="P478" s="78">
        <v>45395</v>
      </c>
      <c r="Q478" t="str">
        <f t="shared" si="62"/>
        <v>Pajkos Dominik - Shogun</v>
      </c>
      <c r="R478" t="s">
        <v>636</v>
      </c>
      <c r="S478" t="s">
        <v>636</v>
      </c>
      <c r="T478" t="s">
        <v>645</v>
      </c>
    </row>
    <row r="479" spans="1:20" x14ac:dyDescent="0.3">
      <c r="A479" s="2" t="s">
        <v>409</v>
      </c>
      <c r="B479" s="50" t="s">
        <v>154</v>
      </c>
      <c r="C479">
        <v>20</v>
      </c>
      <c r="D479" t="str">
        <f t="shared" si="68"/>
        <v>Kata</v>
      </c>
      <c r="E479" t="str">
        <f t="shared" si="69"/>
        <v>Kata, -, 0-100 kg, Gyerek 1. (9-10</v>
      </c>
      <c r="F479" s="83" t="s">
        <v>514</v>
      </c>
      <c r="G479" s="50" t="str">
        <f t="shared" si="70"/>
        <v>19</v>
      </c>
      <c r="H479" t="str">
        <f t="shared" si="71"/>
        <v>32 fős egyenes kiesés</v>
      </c>
      <c r="I479" s="50" t="str">
        <f>"3"</f>
        <v>3</v>
      </c>
      <c r="J479" t="str">
        <f>"Kiss Adrián"</f>
        <v>Kiss Adrián</v>
      </c>
      <c r="K479" t="str">
        <f>"Keizoku SE"</f>
        <v>Keizoku SE</v>
      </c>
      <c r="L479" t="str">
        <f t="shared" si="59"/>
        <v>HUN</v>
      </c>
      <c r="M479">
        <v>5</v>
      </c>
      <c r="O479" s="83" t="s">
        <v>410</v>
      </c>
      <c r="P479" s="78">
        <v>45395</v>
      </c>
      <c r="Q479" t="str">
        <f t="shared" si="62"/>
        <v>Kiss Adrián - Keizoku SE</v>
      </c>
      <c r="R479" t="s">
        <v>636</v>
      </c>
      <c r="S479" t="s">
        <v>636</v>
      </c>
      <c r="T479" t="s">
        <v>645</v>
      </c>
    </row>
    <row r="480" spans="1:20" x14ac:dyDescent="0.3">
      <c r="A480" s="2" t="s">
        <v>409</v>
      </c>
      <c r="B480" s="50" t="s">
        <v>154</v>
      </c>
      <c r="C480">
        <v>20</v>
      </c>
      <c r="D480" t="str">
        <f t="shared" si="68"/>
        <v>Kata</v>
      </c>
      <c r="E480" t="str">
        <f t="shared" si="69"/>
        <v>Kata, -, 0-100 kg, Gyerek 1. (9-10</v>
      </c>
      <c r="F480" s="83" t="s">
        <v>514</v>
      </c>
      <c r="G480" s="50" t="str">
        <f t="shared" si="70"/>
        <v>19</v>
      </c>
      <c r="H480" t="str">
        <f t="shared" si="71"/>
        <v>32 fős egyenes kiesés</v>
      </c>
      <c r="I480" s="67" t="s">
        <v>302</v>
      </c>
      <c r="J480" t="s">
        <v>445</v>
      </c>
      <c r="K480" t="s">
        <v>326</v>
      </c>
      <c r="L480" t="str">
        <f t="shared" si="59"/>
        <v>HUN</v>
      </c>
      <c r="M480">
        <v>3</v>
      </c>
      <c r="O480" s="83" t="s">
        <v>410</v>
      </c>
      <c r="P480" s="78">
        <v>45395</v>
      </c>
      <c r="Q480" t="str">
        <f t="shared" si="62"/>
        <v>Hegedűs Botond - Keizoku SE</v>
      </c>
      <c r="R480" t="s">
        <v>636</v>
      </c>
      <c r="S480" t="s">
        <v>636</v>
      </c>
      <c r="T480" t="s">
        <v>645</v>
      </c>
    </row>
    <row r="481" spans="1:20" x14ac:dyDescent="0.3">
      <c r="A481" s="2" t="s">
        <v>409</v>
      </c>
      <c r="B481" s="50" t="s">
        <v>154</v>
      </c>
      <c r="C481">
        <v>20</v>
      </c>
      <c r="D481" t="str">
        <f t="shared" si="68"/>
        <v>Kata</v>
      </c>
      <c r="E481" t="str">
        <f t="shared" si="69"/>
        <v>Kata, -, 0-100 kg, Gyerek 1. (9-10</v>
      </c>
      <c r="F481" s="83" t="s">
        <v>514</v>
      </c>
      <c r="G481" s="50" t="str">
        <f t="shared" si="70"/>
        <v>19</v>
      </c>
      <c r="H481" t="str">
        <f t="shared" si="71"/>
        <v>32 fős egyenes kiesés</v>
      </c>
      <c r="I481" s="67" t="s">
        <v>302</v>
      </c>
      <c r="J481" t="s">
        <v>446</v>
      </c>
      <c r="K481" t="s">
        <v>14</v>
      </c>
      <c r="L481" t="str">
        <f t="shared" ref="L481:L544" si="72">"HUN"</f>
        <v>HUN</v>
      </c>
      <c r="M481">
        <v>3</v>
      </c>
      <c r="O481" s="83" t="s">
        <v>410</v>
      </c>
      <c r="P481" s="78">
        <v>45395</v>
      </c>
      <c r="Q481" t="str">
        <f t="shared" si="62"/>
        <v>Hegedűs Bence - Shogun</v>
      </c>
      <c r="R481" t="s">
        <v>636</v>
      </c>
      <c r="S481" t="s">
        <v>636</v>
      </c>
      <c r="T481" t="s">
        <v>645</v>
      </c>
    </row>
    <row r="482" spans="1:20" x14ac:dyDescent="0.3">
      <c r="A482" s="2" t="s">
        <v>409</v>
      </c>
      <c r="B482" s="50" t="s">
        <v>154</v>
      </c>
      <c r="C482">
        <v>20</v>
      </c>
      <c r="D482" t="str">
        <f t="shared" si="68"/>
        <v>Kata</v>
      </c>
      <c r="E482" t="str">
        <f t="shared" si="69"/>
        <v>Kata, -, 0-100 kg, Gyerek 1. (9-10</v>
      </c>
      <c r="F482" s="83" t="s">
        <v>514</v>
      </c>
      <c r="G482" s="50" t="str">
        <f t="shared" si="70"/>
        <v>19</v>
      </c>
      <c r="H482" t="str">
        <f t="shared" si="71"/>
        <v>32 fős egyenes kiesés</v>
      </c>
      <c r="I482" s="67" t="s">
        <v>302</v>
      </c>
      <c r="J482" t="s">
        <v>421</v>
      </c>
      <c r="K482" t="s">
        <v>14</v>
      </c>
      <c r="L482" t="str">
        <f t="shared" si="72"/>
        <v>HUN</v>
      </c>
      <c r="M482">
        <v>3</v>
      </c>
      <c r="O482" s="83" t="s">
        <v>410</v>
      </c>
      <c r="P482" s="78">
        <v>45395</v>
      </c>
      <c r="Q482" t="str">
        <f t="shared" si="62"/>
        <v>Remenyik Péter - Shogun</v>
      </c>
      <c r="R482" t="s">
        <v>636</v>
      </c>
      <c r="S482" t="s">
        <v>636</v>
      </c>
      <c r="T482" t="s">
        <v>645</v>
      </c>
    </row>
    <row r="483" spans="1:20" x14ac:dyDescent="0.3">
      <c r="A483" s="2" t="s">
        <v>409</v>
      </c>
      <c r="B483" s="50" t="s">
        <v>154</v>
      </c>
      <c r="C483">
        <v>20</v>
      </c>
      <c r="D483" t="str">
        <f t="shared" si="68"/>
        <v>Kata</v>
      </c>
      <c r="E483" t="str">
        <f t="shared" si="69"/>
        <v>Kata, -, 0-100 kg, Gyerek 1. (9-10</v>
      </c>
      <c r="F483" s="83" t="s">
        <v>514</v>
      </c>
      <c r="G483" s="50" t="str">
        <f t="shared" si="70"/>
        <v>19</v>
      </c>
      <c r="H483" t="str">
        <f t="shared" si="71"/>
        <v>32 fős egyenes kiesés</v>
      </c>
      <c r="I483" s="67" t="s">
        <v>302</v>
      </c>
      <c r="J483" t="s">
        <v>447</v>
      </c>
      <c r="K483" t="s">
        <v>47</v>
      </c>
      <c r="L483" t="str">
        <f t="shared" si="72"/>
        <v>HUN</v>
      </c>
      <c r="M483">
        <v>3</v>
      </c>
      <c r="O483" s="83" t="s">
        <v>410</v>
      </c>
      <c r="P483" s="78">
        <v>45395</v>
      </c>
      <c r="Q483" t="str">
        <f t="shared" si="62"/>
        <v>Eperjesi Dávid - BHMSE</v>
      </c>
      <c r="R483" t="s">
        <v>636</v>
      </c>
      <c r="S483" t="s">
        <v>636</v>
      </c>
      <c r="T483" t="s">
        <v>645</v>
      </c>
    </row>
    <row r="484" spans="1:20" x14ac:dyDescent="0.3">
      <c r="A484" s="2" t="s">
        <v>409</v>
      </c>
      <c r="B484" s="50" t="s">
        <v>154</v>
      </c>
      <c r="C484">
        <v>21</v>
      </c>
      <c r="D484" t="str">
        <f t="shared" ref="D484:D497" si="73">"Kumite"</f>
        <v>Kumite</v>
      </c>
      <c r="E484" t="str">
        <f t="shared" ref="E484:E489" si="74">"Kumite, -, 0-30 kg, Gyerek 1. (9-10"</f>
        <v>Kumite, -, 0-30 kg, Gyerek 1. (9-10</v>
      </c>
      <c r="F484" s="83" t="s">
        <v>515</v>
      </c>
      <c r="G484" s="50" t="str">
        <f t="shared" ref="G484:G489" si="75">"12"</f>
        <v>12</v>
      </c>
      <c r="H484" t="str">
        <f t="shared" ref="H484:H489" si="76">"16 fős egyenes kiesés"</f>
        <v>16 fős egyenes kiesés</v>
      </c>
      <c r="I484" s="50" t="str">
        <f>"1"</f>
        <v>1</v>
      </c>
      <c r="J484" t="str">
        <f>"Fagbola Esther"</f>
        <v>Fagbola Esther</v>
      </c>
      <c r="K484" t="str">
        <f>"Victory"</f>
        <v>Victory</v>
      </c>
      <c r="L484" t="str">
        <f t="shared" si="72"/>
        <v>HUN</v>
      </c>
      <c r="M484">
        <v>10</v>
      </c>
      <c r="O484" s="83" t="s">
        <v>410</v>
      </c>
      <c r="P484" s="78">
        <v>45395</v>
      </c>
      <c r="Q484" t="str">
        <f t="shared" si="62"/>
        <v>Fagbola Esther - Victory</v>
      </c>
      <c r="R484" t="s">
        <v>636</v>
      </c>
      <c r="S484" t="s">
        <v>636</v>
      </c>
      <c r="T484" t="s">
        <v>645</v>
      </c>
    </row>
    <row r="485" spans="1:20" x14ac:dyDescent="0.3">
      <c r="A485" s="2" t="s">
        <v>409</v>
      </c>
      <c r="B485" s="50" t="s">
        <v>154</v>
      </c>
      <c r="C485">
        <v>22</v>
      </c>
      <c r="D485" t="str">
        <f t="shared" si="73"/>
        <v>Kumite</v>
      </c>
      <c r="E485" t="str">
        <f t="shared" si="74"/>
        <v>Kumite, -, 0-30 kg, Gyerek 1. (9-10</v>
      </c>
      <c r="F485" s="83" t="s">
        <v>515</v>
      </c>
      <c r="G485" s="50" t="str">
        <f t="shared" si="75"/>
        <v>12</v>
      </c>
      <c r="H485" t="str">
        <f t="shared" si="76"/>
        <v>16 fős egyenes kiesés</v>
      </c>
      <c r="I485" s="50" t="str">
        <f>"2"</f>
        <v>2</v>
      </c>
      <c r="J485" t="str">
        <f>"Jakubovics Nikolett"</f>
        <v>Jakubovics Nikolett</v>
      </c>
      <c r="K485" t="str">
        <f>"BHMSE"</f>
        <v>BHMSE</v>
      </c>
      <c r="L485" t="str">
        <f t="shared" si="72"/>
        <v>HUN</v>
      </c>
      <c r="M485">
        <v>8</v>
      </c>
      <c r="O485" s="83" t="s">
        <v>410</v>
      </c>
      <c r="P485" s="78">
        <v>45395</v>
      </c>
      <c r="Q485" t="str">
        <f t="shared" si="62"/>
        <v>Jakubovics Nikolett - BHMSE</v>
      </c>
      <c r="R485" t="s">
        <v>636</v>
      </c>
      <c r="S485" t="s">
        <v>636</v>
      </c>
      <c r="T485" t="s">
        <v>645</v>
      </c>
    </row>
    <row r="486" spans="1:20" x14ac:dyDescent="0.3">
      <c r="A486" s="2" t="s">
        <v>409</v>
      </c>
      <c r="B486" s="50" t="s">
        <v>154</v>
      </c>
      <c r="C486">
        <v>23</v>
      </c>
      <c r="D486" t="str">
        <f t="shared" si="73"/>
        <v>Kumite</v>
      </c>
      <c r="E486" t="str">
        <f t="shared" si="74"/>
        <v>Kumite, -, 0-30 kg, Gyerek 1. (9-10</v>
      </c>
      <c r="F486" s="83" t="s">
        <v>515</v>
      </c>
      <c r="G486" s="50" t="str">
        <f t="shared" si="75"/>
        <v>12</v>
      </c>
      <c r="H486" t="str">
        <f t="shared" si="76"/>
        <v>16 fős egyenes kiesés</v>
      </c>
      <c r="I486" s="50" t="str">
        <f>"3"</f>
        <v>3</v>
      </c>
      <c r="J486" t="str">
        <f>"Kigó Boróka"</f>
        <v>Kigó Boróka</v>
      </c>
      <c r="K486" t="str">
        <f>"Victory"</f>
        <v>Victory</v>
      </c>
      <c r="L486" t="str">
        <f t="shared" si="72"/>
        <v>HUN</v>
      </c>
      <c r="M486">
        <v>6</v>
      </c>
      <c r="O486" s="83" t="s">
        <v>410</v>
      </c>
      <c r="P486" s="78">
        <v>45395</v>
      </c>
      <c r="Q486" t="str">
        <f t="shared" si="62"/>
        <v>Kigó Boróka - Victory</v>
      </c>
      <c r="R486" t="s">
        <v>636</v>
      </c>
      <c r="S486" t="s">
        <v>636</v>
      </c>
      <c r="T486" t="s">
        <v>645</v>
      </c>
    </row>
    <row r="487" spans="1:20" x14ac:dyDescent="0.3">
      <c r="A487" s="2" t="s">
        <v>409</v>
      </c>
      <c r="B487" s="50" t="s">
        <v>154</v>
      </c>
      <c r="C487">
        <v>24</v>
      </c>
      <c r="D487" t="str">
        <f t="shared" si="73"/>
        <v>Kumite</v>
      </c>
      <c r="E487" t="str">
        <f t="shared" si="74"/>
        <v>Kumite, -, 0-30 kg, Gyerek 1. (9-10</v>
      </c>
      <c r="F487" s="83" t="s">
        <v>515</v>
      </c>
      <c r="G487" s="50" t="str">
        <f t="shared" si="75"/>
        <v>12</v>
      </c>
      <c r="H487" t="str">
        <f t="shared" si="76"/>
        <v>16 fős egyenes kiesés</v>
      </c>
      <c r="I487" s="50" t="str">
        <f>"3"</f>
        <v>3</v>
      </c>
      <c r="J487" t="str">
        <f>"Görgics Jázmin"</f>
        <v>Görgics Jázmin</v>
      </c>
      <c r="K487" t="str">
        <f>"Castrum"</f>
        <v>Castrum</v>
      </c>
      <c r="L487" t="str">
        <f t="shared" si="72"/>
        <v>HUN</v>
      </c>
      <c r="M487">
        <v>6</v>
      </c>
      <c r="O487" s="83" t="s">
        <v>410</v>
      </c>
      <c r="P487" s="78">
        <v>45395</v>
      </c>
      <c r="Q487" t="str">
        <f t="shared" si="62"/>
        <v>Görgics Jázmin - Castrum</v>
      </c>
      <c r="R487" t="s">
        <v>636</v>
      </c>
      <c r="S487" t="s">
        <v>636</v>
      </c>
      <c r="T487" t="s">
        <v>645</v>
      </c>
    </row>
    <row r="488" spans="1:20" x14ac:dyDescent="0.3">
      <c r="A488" s="2" t="s">
        <v>409</v>
      </c>
      <c r="B488" s="50" t="s">
        <v>154</v>
      </c>
      <c r="C488">
        <v>24</v>
      </c>
      <c r="D488" t="str">
        <f t="shared" si="73"/>
        <v>Kumite</v>
      </c>
      <c r="E488" t="str">
        <f t="shared" si="74"/>
        <v>Kumite, -, 0-30 kg, Gyerek 1. (9-10</v>
      </c>
      <c r="F488" s="83" t="s">
        <v>515</v>
      </c>
      <c r="G488" s="50" t="str">
        <f t="shared" si="75"/>
        <v>12</v>
      </c>
      <c r="H488" t="str">
        <f t="shared" si="76"/>
        <v>16 fős egyenes kiesés</v>
      </c>
      <c r="I488" s="67" t="s">
        <v>302</v>
      </c>
      <c r="J488" t="s">
        <v>343</v>
      </c>
      <c r="K488" t="s">
        <v>47</v>
      </c>
      <c r="L488" t="str">
        <f t="shared" si="72"/>
        <v>HUN</v>
      </c>
      <c r="M488">
        <v>3</v>
      </c>
      <c r="O488" s="83" t="s">
        <v>410</v>
      </c>
      <c r="P488" s="78">
        <v>45395</v>
      </c>
      <c r="Q488" t="str">
        <f t="shared" si="62"/>
        <v>Thornton Ruby - BHMSE</v>
      </c>
      <c r="R488" t="s">
        <v>636</v>
      </c>
      <c r="S488" t="s">
        <v>636</v>
      </c>
      <c r="T488" t="s">
        <v>645</v>
      </c>
    </row>
    <row r="489" spans="1:20" x14ac:dyDescent="0.3">
      <c r="A489" s="2" t="s">
        <v>409</v>
      </c>
      <c r="B489" s="50" t="s">
        <v>154</v>
      </c>
      <c r="C489">
        <v>24</v>
      </c>
      <c r="D489" t="str">
        <f t="shared" si="73"/>
        <v>Kumite</v>
      </c>
      <c r="E489" t="str">
        <f t="shared" si="74"/>
        <v>Kumite, -, 0-30 kg, Gyerek 1. (9-10</v>
      </c>
      <c r="F489" s="83" t="s">
        <v>515</v>
      </c>
      <c r="G489" s="50" t="str">
        <f t="shared" si="75"/>
        <v>12</v>
      </c>
      <c r="H489" t="str">
        <f t="shared" si="76"/>
        <v>16 fős egyenes kiesés</v>
      </c>
      <c r="I489" s="67" t="s">
        <v>302</v>
      </c>
      <c r="J489" t="s">
        <v>438</v>
      </c>
      <c r="K489" t="s">
        <v>67</v>
      </c>
      <c r="L489" t="str">
        <f t="shared" si="72"/>
        <v>HUN</v>
      </c>
      <c r="M489">
        <v>3</v>
      </c>
      <c r="O489" s="83" t="s">
        <v>410</v>
      </c>
      <c r="P489" s="78">
        <v>45395</v>
      </c>
      <c r="Q489" t="str">
        <f t="shared" si="62"/>
        <v>Horváth Boróka - Rakurai</v>
      </c>
      <c r="R489" t="s">
        <v>636</v>
      </c>
      <c r="S489" t="s">
        <v>636</v>
      </c>
      <c r="T489" t="s">
        <v>645</v>
      </c>
    </row>
    <row r="490" spans="1:20" x14ac:dyDescent="0.3">
      <c r="A490" s="2" t="s">
        <v>409</v>
      </c>
      <c r="B490" s="50" t="s">
        <v>154</v>
      </c>
      <c r="C490">
        <v>25</v>
      </c>
      <c r="D490" t="str">
        <f t="shared" si="73"/>
        <v>Kumite</v>
      </c>
      <c r="E490" t="str">
        <f>"Kumite, -, 30-35 kg, Gyerek 1. (9-10"</f>
        <v>Kumite, -, 30-35 kg, Gyerek 1. (9-10</v>
      </c>
      <c r="F490" s="83" t="s">
        <v>516</v>
      </c>
      <c r="G490" s="50" t="str">
        <f t="shared" ref="G490:G497" si="77">"5"</f>
        <v>5</v>
      </c>
      <c r="H490" t="str">
        <f t="shared" ref="H490:H497" si="78">"5 fős körmérkőzés"</f>
        <v>5 fős körmérkőzés</v>
      </c>
      <c r="I490" s="50" t="str">
        <f>"1"</f>
        <v>1</v>
      </c>
      <c r="J490" t="str">
        <f>"Téglási Kamilla"</f>
        <v>Téglási Kamilla</v>
      </c>
      <c r="K490" t="str">
        <f>"Kisvárda KKDOSC"</f>
        <v>Kisvárda KKDOSC</v>
      </c>
      <c r="L490" t="str">
        <f t="shared" si="72"/>
        <v>HUN</v>
      </c>
      <c r="M490">
        <v>10</v>
      </c>
      <c r="O490" s="83" t="s">
        <v>410</v>
      </c>
      <c r="P490" s="78">
        <v>45395</v>
      </c>
      <c r="Q490" t="str">
        <f t="shared" si="62"/>
        <v>Téglási Kamilla - Kisvárda KKDOSC</v>
      </c>
      <c r="R490" t="s">
        <v>636</v>
      </c>
      <c r="S490" t="s">
        <v>636</v>
      </c>
      <c r="T490" t="s">
        <v>645</v>
      </c>
    </row>
    <row r="491" spans="1:20" x14ac:dyDescent="0.3">
      <c r="A491" s="2" t="s">
        <v>409</v>
      </c>
      <c r="B491" s="50" t="s">
        <v>154</v>
      </c>
      <c r="C491">
        <v>26</v>
      </c>
      <c r="D491" t="str">
        <f t="shared" si="73"/>
        <v>Kumite</v>
      </c>
      <c r="E491" t="str">
        <f>"Kumite, -, 30-35 kg, Gyerek 1. (9-10"</f>
        <v>Kumite, -, 30-35 kg, Gyerek 1. (9-10</v>
      </c>
      <c r="F491" s="83" t="s">
        <v>516</v>
      </c>
      <c r="G491" s="50" t="str">
        <f t="shared" si="77"/>
        <v>5</v>
      </c>
      <c r="H491" t="str">
        <f t="shared" si="78"/>
        <v>5 fős körmérkőzés</v>
      </c>
      <c r="I491" s="50" t="str">
        <f>"2"</f>
        <v>2</v>
      </c>
      <c r="J491" t="str">
        <f>"MOLNÁR MINKA"</f>
        <v>MOLNÁR MINKA</v>
      </c>
      <c r="K491" t="str">
        <f>"Victory"</f>
        <v>Victory</v>
      </c>
      <c r="L491" t="str">
        <f t="shared" si="72"/>
        <v>HUN</v>
      </c>
      <c r="M491">
        <v>8</v>
      </c>
      <c r="O491" s="83" t="s">
        <v>410</v>
      </c>
      <c r="P491" s="78">
        <v>45395</v>
      </c>
      <c r="Q491" t="str">
        <f t="shared" si="62"/>
        <v>MOLNÁR MINKA - Victory</v>
      </c>
      <c r="R491" t="s">
        <v>636</v>
      </c>
      <c r="S491" t="s">
        <v>636</v>
      </c>
      <c r="T491" t="s">
        <v>645</v>
      </c>
    </row>
    <row r="492" spans="1:20" x14ac:dyDescent="0.3">
      <c r="A492" s="2" t="s">
        <v>409</v>
      </c>
      <c r="B492" s="50" t="s">
        <v>154</v>
      </c>
      <c r="C492">
        <v>27</v>
      </c>
      <c r="D492" t="str">
        <f t="shared" si="73"/>
        <v>Kumite</v>
      </c>
      <c r="E492" t="str">
        <f>"Kumite, -, 30-35 kg, Gyerek 1. (9-10"</f>
        <v>Kumite, -, 30-35 kg, Gyerek 1. (9-10</v>
      </c>
      <c r="F492" s="83" t="s">
        <v>516</v>
      </c>
      <c r="G492" s="50" t="str">
        <f t="shared" si="77"/>
        <v>5</v>
      </c>
      <c r="H492" t="str">
        <f t="shared" si="78"/>
        <v>5 fős körmérkőzés</v>
      </c>
      <c r="I492" s="50" t="str">
        <f>"3"</f>
        <v>3</v>
      </c>
      <c r="J492" t="str">
        <f>"Tóth Arina Bejke"</f>
        <v>Tóth Arina Bejke</v>
      </c>
      <c r="K492" t="str">
        <f>"Nagykátai Bushido SE"</f>
        <v>Nagykátai Bushido SE</v>
      </c>
      <c r="L492" t="str">
        <f t="shared" si="72"/>
        <v>HUN</v>
      </c>
      <c r="M492">
        <v>6</v>
      </c>
      <c r="O492" s="83" t="s">
        <v>410</v>
      </c>
      <c r="P492" s="78">
        <v>45395</v>
      </c>
      <c r="Q492" t="str">
        <f t="shared" si="62"/>
        <v>Tóth Arina Bejke - Nagykátai Bushido SE</v>
      </c>
      <c r="R492" t="s">
        <v>636</v>
      </c>
      <c r="S492" t="s">
        <v>636</v>
      </c>
      <c r="T492" t="s">
        <v>645</v>
      </c>
    </row>
    <row r="493" spans="1:20" x14ac:dyDescent="0.3">
      <c r="A493" s="2" t="s">
        <v>409</v>
      </c>
      <c r="B493" s="50" t="s">
        <v>154</v>
      </c>
      <c r="C493">
        <v>27</v>
      </c>
      <c r="D493" t="str">
        <f t="shared" si="73"/>
        <v>Kumite</v>
      </c>
      <c r="E493" t="str">
        <f>"Kumite, -, 30-35 kg, Gyerek 1. (9-10"</f>
        <v>Kumite, -, 30-35 kg, Gyerek 1. (9-10</v>
      </c>
      <c r="F493" s="83" t="s">
        <v>516</v>
      </c>
      <c r="G493" s="50" t="str">
        <f t="shared" si="77"/>
        <v>5</v>
      </c>
      <c r="H493" t="str">
        <f t="shared" si="78"/>
        <v>5 fős körmérkőzés</v>
      </c>
      <c r="I493" s="50">
        <v>4</v>
      </c>
      <c r="J493" t="s">
        <v>411</v>
      </c>
      <c r="K493" t="s">
        <v>47</v>
      </c>
      <c r="L493" t="str">
        <f t="shared" si="72"/>
        <v>HUN</v>
      </c>
      <c r="M493">
        <v>4</v>
      </c>
      <c r="O493" s="83" t="s">
        <v>410</v>
      </c>
      <c r="P493" s="78">
        <v>45395</v>
      </c>
      <c r="Q493" t="str">
        <f t="shared" si="62"/>
        <v>Spanjevic Frida - BHMSE</v>
      </c>
      <c r="R493" t="s">
        <v>636</v>
      </c>
      <c r="S493" t="s">
        <v>636</v>
      </c>
      <c r="T493" t="s">
        <v>645</v>
      </c>
    </row>
    <row r="494" spans="1:20" x14ac:dyDescent="0.3">
      <c r="A494" s="2" t="s">
        <v>409</v>
      </c>
      <c r="B494" s="50" t="s">
        <v>154</v>
      </c>
      <c r="C494">
        <v>28</v>
      </c>
      <c r="D494" t="str">
        <f t="shared" si="73"/>
        <v>Kumite</v>
      </c>
      <c r="E494" t="str">
        <f>"Kumite, -, 35-150 kg, Gyerek 1. (9-10"</f>
        <v>Kumite, -, 35-150 kg, Gyerek 1. (9-10</v>
      </c>
      <c r="F494" s="83" t="s">
        <v>519</v>
      </c>
      <c r="G494" s="50" t="str">
        <f t="shared" si="77"/>
        <v>5</v>
      </c>
      <c r="H494" t="str">
        <f t="shared" si="78"/>
        <v>5 fős körmérkőzés</v>
      </c>
      <c r="I494" s="50" t="str">
        <f>"1"</f>
        <v>1</v>
      </c>
      <c r="J494" t="str">
        <f>"Garamszegi Szófia"</f>
        <v>Garamszegi Szófia</v>
      </c>
      <c r="K494" t="str">
        <f>"HARCOSOK KLUBJA"</f>
        <v>HARCOSOK KLUBJA</v>
      </c>
      <c r="L494" t="str">
        <f t="shared" si="72"/>
        <v>HUN</v>
      </c>
      <c r="M494">
        <v>10</v>
      </c>
      <c r="O494" s="83" t="s">
        <v>410</v>
      </c>
      <c r="P494" s="78">
        <v>45395</v>
      </c>
      <c r="Q494" t="str">
        <f t="shared" si="62"/>
        <v>Garamszegi Szófia - HARCOSOK KLUBJA</v>
      </c>
      <c r="R494" t="s">
        <v>636</v>
      </c>
      <c r="S494" t="s">
        <v>636</v>
      </c>
      <c r="T494" t="s">
        <v>645</v>
      </c>
    </row>
    <row r="495" spans="1:20" x14ac:dyDescent="0.3">
      <c r="A495" s="2" t="s">
        <v>409</v>
      </c>
      <c r="B495" s="50" t="s">
        <v>154</v>
      </c>
      <c r="C495">
        <v>29</v>
      </c>
      <c r="D495" t="str">
        <f t="shared" si="73"/>
        <v>Kumite</v>
      </c>
      <c r="E495" t="str">
        <f>"Kumite, -, 35-150 kg, Gyerek 1. (9-10"</f>
        <v>Kumite, -, 35-150 kg, Gyerek 1. (9-10</v>
      </c>
      <c r="F495" s="83" t="s">
        <v>519</v>
      </c>
      <c r="G495" s="50" t="str">
        <f t="shared" si="77"/>
        <v>5</v>
      </c>
      <c r="H495" t="str">
        <f t="shared" si="78"/>
        <v>5 fős körmérkőzés</v>
      </c>
      <c r="I495" s="50" t="str">
        <f>"2"</f>
        <v>2</v>
      </c>
      <c r="J495" t="str">
        <f>"Szabó Lilla"</f>
        <v>Szabó Lilla</v>
      </c>
      <c r="K495" t="str">
        <f>"ShinzóDojo"</f>
        <v>ShinzóDojo</v>
      </c>
      <c r="L495" t="str">
        <f t="shared" si="72"/>
        <v>HUN</v>
      </c>
      <c r="M495">
        <v>8</v>
      </c>
      <c r="O495" s="83" t="s">
        <v>410</v>
      </c>
      <c r="P495" s="78">
        <v>45395</v>
      </c>
      <c r="Q495" t="str">
        <f t="shared" si="62"/>
        <v>Szabó Lilla - ShinzóDojo</v>
      </c>
      <c r="R495" t="s">
        <v>636</v>
      </c>
      <c r="S495" t="s">
        <v>636</v>
      </c>
      <c r="T495" t="s">
        <v>645</v>
      </c>
    </row>
    <row r="496" spans="1:20" x14ac:dyDescent="0.3">
      <c r="A496" s="2" t="s">
        <v>409</v>
      </c>
      <c r="B496" s="50" t="s">
        <v>154</v>
      </c>
      <c r="C496">
        <v>30</v>
      </c>
      <c r="D496" t="str">
        <f t="shared" si="73"/>
        <v>Kumite</v>
      </c>
      <c r="E496" t="str">
        <f>"Kumite, -, 35-150 kg, Gyerek 1. (9-10"</f>
        <v>Kumite, -, 35-150 kg, Gyerek 1. (9-10</v>
      </c>
      <c r="F496" s="83" t="s">
        <v>519</v>
      </c>
      <c r="G496" s="50" t="str">
        <f t="shared" si="77"/>
        <v>5</v>
      </c>
      <c r="H496" t="str">
        <f t="shared" si="78"/>
        <v>5 fős körmérkőzés</v>
      </c>
      <c r="I496" s="50" t="str">
        <f>"3"</f>
        <v>3</v>
      </c>
      <c r="J496" t="str">
        <f>"Pósán Nóra"</f>
        <v>Pósán Nóra</v>
      </c>
      <c r="K496" t="str">
        <f>"Nyíradonyi KKE"</f>
        <v>Nyíradonyi KKE</v>
      </c>
      <c r="L496" t="str">
        <f t="shared" si="72"/>
        <v>HUN</v>
      </c>
      <c r="M496">
        <v>6</v>
      </c>
      <c r="O496" s="83" t="s">
        <v>410</v>
      </c>
      <c r="P496" s="78">
        <v>45395</v>
      </c>
      <c r="Q496" t="str">
        <f t="shared" si="62"/>
        <v>Pósán Nóra - Nyíradonyi KKE</v>
      </c>
      <c r="R496" t="s">
        <v>636</v>
      </c>
      <c r="S496" t="s">
        <v>636</v>
      </c>
      <c r="T496" t="s">
        <v>645</v>
      </c>
    </row>
    <row r="497" spans="1:20" x14ac:dyDescent="0.3">
      <c r="A497" s="2" t="s">
        <v>409</v>
      </c>
      <c r="B497" s="50" t="s">
        <v>154</v>
      </c>
      <c r="C497">
        <v>30</v>
      </c>
      <c r="D497" t="str">
        <f t="shared" si="73"/>
        <v>Kumite</v>
      </c>
      <c r="E497" t="str">
        <f>"Kumite, -, 35-150 kg, Gyerek 1. (9-10"</f>
        <v>Kumite, -, 35-150 kg, Gyerek 1. (9-10</v>
      </c>
      <c r="F497" s="83" t="s">
        <v>519</v>
      </c>
      <c r="G497" s="50" t="str">
        <f t="shared" si="77"/>
        <v>5</v>
      </c>
      <c r="H497" t="str">
        <f t="shared" si="78"/>
        <v>5 fős körmérkőzés</v>
      </c>
      <c r="I497" s="50">
        <v>4</v>
      </c>
      <c r="J497" t="s">
        <v>412</v>
      </c>
      <c r="K497" t="s">
        <v>11</v>
      </c>
      <c r="L497" t="str">
        <f t="shared" si="72"/>
        <v>HUN</v>
      </c>
      <c r="M497">
        <v>4</v>
      </c>
      <c r="O497" s="83" t="s">
        <v>410</v>
      </c>
      <c r="P497" s="78">
        <v>45395</v>
      </c>
      <c r="Q497" t="str">
        <f t="shared" si="62"/>
        <v>Fajka Flóra - Spirit SE.</v>
      </c>
      <c r="R497" t="s">
        <v>636</v>
      </c>
      <c r="S497" t="s">
        <v>636</v>
      </c>
      <c r="T497" t="s">
        <v>645</v>
      </c>
    </row>
    <row r="498" spans="1:20" x14ac:dyDescent="0.3">
      <c r="A498" s="2" t="s">
        <v>409</v>
      </c>
      <c r="B498" s="50" t="s">
        <v>154</v>
      </c>
      <c r="C498">
        <v>31</v>
      </c>
      <c r="D498" t="str">
        <f>"Kata"</f>
        <v>Kata</v>
      </c>
      <c r="E498" t="str">
        <f>"Kata, -, 0-100 kg, Gyerek 1. (9-10"</f>
        <v>Kata, -, 0-100 kg, Gyerek 1. (9-10</v>
      </c>
      <c r="F498" s="83" t="s">
        <v>520</v>
      </c>
      <c r="G498" s="50" t="str">
        <f>"11"</f>
        <v>11</v>
      </c>
      <c r="H498" t="str">
        <f t="shared" ref="H498:H507" si="79">"16 fős egyenes kiesés"</f>
        <v>16 fős egyenes kiesés</v>
      </c>
      <c r="I498" s="50" t="str">
        <f>"1"</f>
        <v>1</v>
      </c>
      <c r="J498" t="str">
        <f>"Fagbola Esther"</f>
        <v>Fagbola Esther</v>
      </c>
      <c r="K498" t="str">
        <f>"Victory"</f>
        <v>Victory</v>
      </c>
      <c r="L498" t="str">
        <f t="shared" si="72"/>
        <v>HUN</v>
      </c>
      <c r="M498">
        <v>8</v>
      </c>
      <c r="O498" s="83" t="s">
        <v>410</v>
      </c>
      <c r="P498" s="78">
        <v>45395</v>
      </c>
      <c r="Q498" t="str">
        <f t="shared" si="62"/>
        <v>Fagbola Esther - Victory</v>
      </c>
      <c r="R498" t="s">
        <v>636</v>
      </c>
      <c r="S498" t="s">
        <v>636</v>
      </c>
      <c r="T498" t="s">
        <v>645</v>
      </c>
    </row>
    <row r="499" spans="1:20" x14ac:dyDescent="0.3">
      <c r="A499" s="2" t="s">
        <v>409</v>
      </c>
      <c r="B499" s="50" t="s">
        <v>154</v>
      </c>
      <c r="C499">
        <v>32</v>
      </c>
      <c r="D499" t="str">
        <f>"Kata"</f>
        <v>Kata</v>
      </c>
      <c r="E499" t="str">
        <f>"Kata, -, 0-100 kg, Gyerek 1. (9-10"</f>
        <v>Kata, -, 0-100 kg, Gyerek 1. (9-10</v>
      </c>
      <c r="F499" s="83" t="s">
        <v>520</v>
      </c>
      <c r="G499" s="50" t="str">
        <f>"11"</f>
        <v>11</v>
      </c>
      <c r="H499" t="str">
        <f t="shared" si="79"/>
        <v>16 fős egyenes kiesés</v>
      </c>
      <c r="I499" s="50" t="str">
        <f>"2"</f>
        <v>2</v>
      </c>
      <c r="J499" t="str">
        <f>"Domján-Herbat Réka"</f>
        <v>Domján-Herbat Réka</v>
      </c>
      <c r="K499" t="str">
        <f>"BHMSE"</f>
        <v>BHMSE</v>
      </c>
      <c r="L499" t="str">
        <f t="shared" si="72"/>
        <v>HUN</v>
      </c>
      <c r="M499">
        <v>6</v>
      </c>
      <c r="O499" s="83" t="s">
        <v>410</v>
      </c>
      <c r="P499" s="78">
        <v>45395</v>
      </c>
      <c r="Q499" t="str">
        <f t="shared" si="62"/>
        <v>Domján-Herbat Réka - BHMSE</v>
      </c>
      <c r="R499" t="s">
        <v>636</v>
      </c>
      <c r="S499" t="s">
        <v>636</v>
      </c>
      <c r="T499" t="s">
        <v>645</v>
      </c>
    </row>
    <row r="500" spans="1:20" x14ac:dyDescent="0.3">
      <c r="A500" s="2" t="s">
        <v>409</v>
      </c>
      <c r="B500" s="50" t="s">
        <v>154</v>
      </c>
      <c r="C500">
        <v>33</v>
      </c>
      <c r="D500" t="str">
        <f>"Kata"</f>
        <v>Kata</v>
      </c>
      <c r="E500" t="str">
        <f>"Kata, -, 0-100 kg, Gyerek 1. (9-10"</f>
        <v>Kata, -, 0-100 kg, Gyerek 1. (9-10</v>
      </c>
      <c r="F500" s="83" t="s">
        <v>520</v>
      </c>
      <c r="G500" s="50" t="str">
        <f>"11"</f>
        <v>11</v>
      </c>
      <c r="H500" t="str">
        <f t="shared" si="79"/>
        <v>16 fős egyenes kiesés</v>
      </c>
      <c r="I500" s="50" t="str">
        <f>"3"</f>
        <v>3</v>
      </c>
      <c r="J500" t="str">
        <f>"Fürjesi Eszter"</f>
        <v>Fürjesi Eszter</v>
      </c>
      <c r="K500" t="str">
        <f>"Shogun"</f>
        <v>Shogun</v>
      </c>
      <c r="L500" t="str">
        <f t="shared" si="72"/>
        <v>HUN</v>
      </c>
      <c r="M500">
        <v>4</v>
      </c>
      <c r="O500" s="83" t="s">
        <v>410</v>
      </c>
      <c r="P500" s="78">
        <v>45395</v>
      </c>
      <c r="Q500" t="str">
        <f t="shared" si="62"/>
        <v>Fürjesi Eszter - Shogun</v>
      </c>
      <c r="R500" t="s">
        <v>636</v>
      </c>
      <c r="S500" t="s">
        <v>636</v>
      </c>
      <c r="T500" t="s">
        <v>645</v>
      </c>
    </row>
    <row r="501" spans="1:20" x14ac:dyDescent="0.3">
      <c r="A501" s="2" t="s">
        <v>409</v>
      </c>
      <c r="B501" s="50" t="s">
        <v>154</v>
      </c>
      <c r="C501">
        <v>34</v>
      </c>
      <c r="D501" t="str">
        <f>"Kata"</f>
        <v>Kata</v>
      </c>
      <c r="E501" t="str">
        <f>"Kata, -, 0-100 kg, Gyerek 1. (9-10"</f>
        <v>Kata, -, 0-100 kg, Gyerek 1. (9-10</v>
      </c>
      <c r="F501" s="83" t="s">
        <v>520</v>
      </c>
      <c r="G501" s="50" t="str">
        <f>"11"</f>
        <v>11</v>
      </c>
      <c r="H501" t="str">
        <f t="shared" si="79"/>
        <v>16 fős egyenes kiesés</v>
      </c>
      <c r="I501" s="50" t="str">
        <f>"3"</f>
        <v>3</v>
      </c>
      <c r="J501" t="str">
        <f>"MOLNÁR MINKA"</f>
        <v>MOLNÁR MINKA</v>
      </c>
      <c r="K501" t="str">
        <f>"Victory"</f>
        <v>Victory</v>
      </c>
      <c r="L501" t="str">
        <f t="shared" si="72"/>
        <v>HUN</v>
      </c>
      <c r="M501">
        <v>4</v>
      </c>
      <c r="O501" s="83" t="s">
        <v>410</v>
      </c>
      <c r="P501" s="78">
        <v>45395</v>
      </c>
      <c r="Q501" t="str">
        <f t="shared" si="62"/>
        <v>MOLNÁR MINKA - Victory</v>
      </c>
      <c r="R501" t="s">
        <v>636</v>
      </c>
      <c r="S501" t="s">
        <v>636</v>
      </c>
      <c r="T501" t="s">
        <v>645</v>
      </c>
    </row>
    <row r="502" spans="1:20" x14ac:dyDescent="0.3">
      <c r="A502" s="2" t="s">
        <v>409</v>
      </c>
      <c r="B502" s="50" t="s">
        <v>154</v>
      </c>
      <c r="C502">
        <v>34</v>
      </c>
      <c r="D502" t="str">
        <f>"Kata"</f>
        <v>Kata</v>
      </c>
      <c r="E502" t="str">
        <f>"Kata, -, 0-100 kg, Gyerek 1. (9-10"</f>
        <v>Kata, -, 0-100 kg, Gyerek 1. (9-10</v>
      </c>
      <c r="F502" s="83" t="s">
        <v>520</v>
      </c>
      <c r="G502" s="50" t="str">
        <f>"11"</f>
        <v>11</v>
      </c>
      <c r="H502" t="str">
        <f t="shared" si="79"/>
        <v>16 fős egyenes kiesés</v>
      </c>
      <c r="I502" s="67" t="s">
        <v>302</v>
      </c>
      <c r="J502" t="s">
        <v>448</v>
      </c>
      <c r="K502" t="s">
        <v>47</v>
      </c>
      <c r="L502" t="str">
        <f t="shared" si="72"/>
        <v>HUN</v>
      </c>
      <c r="M502">
        <v>2</v>
      </c>
      <c r="O502" s="83" t="s">
        <v>410</v>
      </c>
      <c r="P502" s="78">
        <v>45395</v>
      </c>
      <c r="Q502" t="str">
        <f t="shared" si="62"/>
        <v>Jakubovics Nikolett - BHMSE</v>
      </c>
      <c r="R502" t="s">
        <v>636</v>
      </c>
      <c r="S502" t="s">
        <v>636</v>
      </c>
      <c r="T502" t="s">
        <v>645</v>
      </c>
    </row>
    <row r="503" spans="1:20" x14ac:dyDescent="0.3">
      <c r="A503" s="2" t="s">
        <v>409</v>
      </c>
      <c r="B503" s="50" t="s">
        <v>154</v>
      </c>
      <c r="C503">
        <v>35</v>
      </c>
      <c r="D503" t="str">
        <f t="shared" ref="D503:D536" si="80">"Kumite"</f>
        <v>Kumite</v>
      </c>
      <c r="E503" t="str">
        <f>"Kumite, -, 0-30 kg, Gyerek 2. (11-12"</f>
        <v>Kumite, -, 0-30 kg, Gyerek 2. (11-12</v>
      </c>
      <c r="F503" s="83" t="s">
        <v>510</v>
      </c>
      <c r="G503" s="50" t="str">
        <f>"9"</f>
        <v>9</v>
      </c>
      <c r="H503" t="str">
        <f t="shared" si="79"/>
        <v>16 fős egyenes kiesés</v>
      </c>
      <c r="I503" s="50" t="str">
        <f>"1"</f>
        <v>1</v>
      </c>
      <c r="J503" t="str">
        <f>"Sövér Levente"</f>
        <v>Sövér Levente</v>
      </c>
      <c r="K503" t="str">
        <f>"BHMSE"</f>
        <v>BHMSE</v>
      </c>
      <c r="L503" t="str">
        <f t="shared" si="72"/>
        <v>HUN</v>
      </c>
      <c r="M503">
        <v>10</v>
      </c>
      <c r="O503" s="83" t="s">
        <v>410</v>
      </c>
      <c r="P503" s="78">
        <v>45395</v>
      </c>
      <c r="Q503" t="str">
        <f t="shared" si="62"/>
        <v>Sövér Levente - BHMSE</v>
      </c>
      <c r="R503" t="s">
        <v>636</v>
      </c>
      <c r="S503" t="s">
        <v>636</v>
      </c>
      <c r="T503" t="s">
        <v>645</v>
      </c>
    </row>
    <row r="504" spans="1:20" x14ac:dyDescent="0.3">
      <c r="A504" s="2" t="s">
        <v>409</v>
      </c>
      <c r="B504" s="50" t="s">
        <v>154</v>
      </c>
      <c r="C504">
        <v>36</v>
      </c>
      <c r="D504" t="str">
        <f t="shared" si="80"/>
        <v>Kumite</v>
      </c>
      <c r="E504" t="str">
        <f>"Kumite, -, 0-30 kg, Gyerek 2. (11-12"</f>
        <v>Kumite, -, 0-30 kg, Gyerek 2. (11-12</v>
      </c>
      <c r="F504" s="83" t="s">
        <v>510</v>
      </c>
      <c r="G504" s="50" t="str">
        <f>"9"</f>
        <v>9</v>
      </c>
      <c r="H504" t="str">
        <f t="shared" si="79"/>
        <v>16 fős egyenes kiesés</v>
      </c>
      <c r="I504" s="50" t="str">
        <f>"2"</f>
        <v>2</v>
      </c>
      <c r="J504" t="str">
        <f>"Melczner Márk"</f>
        <v>Melczner Márk</v>
      </c>
      <c r="K504" t="str">
        <f>"Victory"</f>
        <v>Victory</v>
      </c>
      <c r="L504" t="str">
        <f t="shared" si="72"/>
        <v>HUN</v>
      </c>
      <c r="M504">
        <v>8</v>
      </c>
      <c r="O504" s="83" t="s">
        <v>410</v>
      </c>
      <c r="P504" s="78">
        <v>45395</v>
      </c>
      <c r="Q504" t="str">
        <f t="shared" si="62"/>
        <v>Melczner Márk - Victory</v>
      </c>
      <c r="R504" t="s">
        <v>636</v>
      </c>
      <c r="S504" t="s">
        <v>636</v>
      </c>
      <c r="T504" t="s">
        <v>645</v>
      </c>
    </row>
    <row r="505" spans="1:20" x14ac:dyDescent="0.3">
      <c r="A505" s="2" t="s">
        <v>409</v>
      </c>
      <c r="B505" s="50" t="s">
        <v>154</v>
      </c>
      <c r="C505">
        <v>37</v>
      </c>
      <c r="D505" t="str">
        <f t="shared" si="80"/>
        <v>Kumite</v>
      </c>
      <c r="E505" t="str">
        <f>"Kumite, -, 0-30 kg, Gyerek 2. (11-12"</f>
        <v>Kumite, -, 0-30 kg, Gyerek 2. (11-12</v>
      </c>
      <c r="F505" s="83" t="s">
        <v>510</v>
      </c>
      <c r="G505" s="50" t="str">
        <f>"9"</f>
        <v>9</v>
      </c>
      <c r="H505" t="str">
        <f t="shared" si="79"/>
        <v>16 fős egyenes kiesés</v>
      </c>
      <c r="I505" s="50" t="str">
        <f>"3"</f>
        <v>3</v>
      </c>
      <c r="J505" t="str">
        <f>"Ungai Ferenc"</f>
        <v>Ungai Ferenc</v>
      </c>
      <c r="K505" t="str">
        <f>"Hajdúszoboszló"</f>
        <v>Hajdúszoboszló</v>
      </c>
      <c r="L505" t="str">
        <f t="shared" si="72"/>
        <v>HUN</v>
      </c>
      <c r="M505">
        <v>6</v>
      </c>
      <c r="O505" s="83" t="s">
        <v>410</v>
      </c>
      <c r="P505" s="78">
        <v>45395</v>
      </c>
      <c r="Q505" t="str">
        <f t="shared" si="62"/>
        <v>Ungai Ferenc - Hajdúszoboszló</v>
      </c>
      <c r="R505" t="s">
        <v>636</v>
      </c>
      <c r="S505" t="s">
        <v>636</v>
      </c>
      <c r="T505" t="s">
        <v>645</v>
      </c>
    </row>
    <row r="506" spans="1:20" x14ac:dyDescent="0.3">
      <c r="A506" s="2" t="s">
        <v>409</v>
      </c>
      <c r="B506" s="50" t="s">
        <v>154</v>
      </c>
      <c r="C506">
        <v>38</v>
      </c>
      <c r="D506" t="str">
        <f t="shared" si="80"/>
        <v>Kumite</v>
      </c>
      <c r="E506" t="str">
        <f>"Kumite, -, 0-30 kg, Gyerek 2. (11-12"</f>
        <v>Kumite, -, 0-30 kg, Gyerek 2. (11-12</v>
      </c>
      <c r="F506" s="83" t="s">
        <v>510</v>
      </c>
      <c r="G506" s="50" t="str">
        <f>"9"</f>
        <v>9</v>
      </c>
      <c r="H506" t="str">
        <f t="shared" si="79"/>
        <v>16 fős egyenes kiesés</v>
      </c>
      <c r="I506" s="50" t="str">
        <f>"3"</f>
        <v>3</v>
      </c>
      <c r="J506" t="str">
        <f>"Veress Dávid"</f>
        <v>Veress Dávid</v>
      </c>
      <c r="K506" t="str">
        <f>"KHSE"</f>
        <v>KHSE</v>
      </c>
      <c r="L506" t="str">
        <f t="shared" si="72"/>
        <v>HUN</v>
      </c>
      <c r="M506">
        <v>6</v>
      </c>
      <c r="O506" s="83" t="s">
        <v>410</v>
      </c>
      <c r="P506" s="78">
        <v>45395</v>
      </c>
      <c r="Q506" t="str">
        <f t="shared" si="62"/>
        <v>Veress Dávid - KHSE</v>
      </c>
      <c r="R506" t="s">
        <v>636</v>
      </c>
      <c r="S506" t="s">
        <v>636</v>
      </c>
      <c r="T506" t="s">
        <v>645</v>
      </c>
    </row>
    <row r="507" spans="1:20" x14ac:dyDescent="0.3">
      <c r="A507" s="2" t="s">
        <v>409</v>
      </c>
      <c r="B507" s="50" t="s">
        <v>154</v>
      </c>
      <c r="C507">
        <v>38</v>
      </c>
      <c r="D507" t="str">
        <f t="shared" si="80"/>
        <v>Kumite</v>
      </c>
      <c r="E507" t="str">
        <f>"Kumite, -, 0-30 kg, Gyerek 2. (11-12"</f>
        <v>Kumite, -, 0-30 kg, Gyerek 2. (11-12</v>
      </c>
      <c r="F507" s="83" t="s">
        <v>510</v>
      </c>
      <c r="G507" s="50" t="str">
        <f>"9"</f>
        <v>9</v>
      </c>
      <c r="H507" t="str">
        <f t="shared" si="79"/>
        <v>16 fős egyenes kiesés</v>
      </c>
      <c r="I507" s="67" t="s">
        <v>302</v>
      </c>
      <c r="J507" t="s">
        <v>425</v>
      </c>
      <c r="K507" t="s">
        <v>82</v>
      </c>
      <c r="L507" t="str">
        <f t="shared" si="72"/>
        <v>HUN</v>
      </c>
      <c r="M507">
        <v>3</v>
      </c>
      <c r="O507" s="83" t="s">
        <v>410</v>
      </c>
      <c r="P507" s="78">
        <v>45395</v>
      </c>
      <c r="Q507" t="str">
        <f t="shared" si="62"/>
        <v>Belicza András - Bátor KSE</v>
      </c>
      <c r="R507" t="s">
        <v>636</v>
      </c>
      <c r="S507" t="s">
        <v>636</v>
      </c>
      <c r="T507" t="s">
        <v>645</v>
      </c>
    </row>
    <row r="508" spans="1:20" x14ac:dyDescent="0.3">
      <c r="A508" s="2" t="s">
        <v>409</v>
      </c>
      <c r="B508" s="50" t="s">
        <v>154</v>
      </c>
      <c r="C508">
        <v>39</v>
      </c>
      <c r="D508" t="str">
        <f t="shared" si="80"/>
        <v>Kumite</v>
      </c>
      <c r="E508" t="str">
        <f>"Kumite, -, 30-35 kg, Gyerek 2. (11-12"</f>
        <v>Kumite, -, 30-35 kg, Gyerek 2. (11-12</v>
      </c>
      <c r="F508" s="83" t="s">
        <v>512</v>
      </c>
      <c r="G508" s="50" t="str">
        <f>"8"</f>
        <v>8</v>
      </c>
      <c r="H508" t="str">
        <f>"8 fős egyenes kiesés"</f>
        <v>8 fős egyenes kiesés</v>
      </c>
      <c r="I508" s="50" t="str">
        <f>"1"</f>
        <v>1</v>
      </c>
      <c r="J508" t="str">
        <f>"Böszörményi Bendegúz "</f>
        <v xml:space="preserve">Böszörményi Bendegúz </v>
      </c>
      <c r="K508" t="str">
        <f>"Nagykátai Bushido SE"</f>
        <v>Nagykátai Bushido SE</v>
      </c>
      <c r="L508" t="str">
        <f t="shared" si="72"/>
        <v>HUN</v>
      </c>
      <c r="M508">
        <v>8</v>
      </c>
      <c r="O508" s="83" t="s">
        <v>410</v>
      </c>
      <c r="P508" s="78">
        <v>45395</v>
      </c>
      <c r="Q508" t="str">
        <f t="shared" si="62"/>
        <v>Böszörményi Bendegúz  - Nagykátai Bushido SE</v>
      </c>
      <c r="R508" t="s">
        <v>636</v>
      </c>
      <c r="S508" t="s">
        <v>636</v>
      </c>
      <c r="T508" t="s">
        <v>645</v>
      </c>
    </row>
    <row r="509" spans="1:20" x14ac:dyDescent="0.3">
      <c r="A509" s="2" t="s">
        <v>409</v>
      </c>
      <c r="B509" s="50" t="s">
        <v>154</v>
      </c>
      <c r="C509">
        <v>40</v>
      </c>
      <c r="D509" t="str">
        <f t="shared" si="80"/>
        <v>Kumite</v>
      </c>
      <c r="E509" t="str">
        <f>"Kumite, -, 30-35 kg, Gyerek 2. (11-12"</f>
        <v>Kumite, -, 30-35 kg, Gyerek 2. (11-12</v>
      </c>
      <c r="F509" s="83" t="s">
        <v>512</v>
      </c>
      <c r="G509" s="50" t="str">
        <f>"8"</f>
        <v>8</v>
      </c>
      <c r="H509" t="str">
        <f>"8 fős egyenes kiesés"</f>
        <v>8 fős egyenes kiesés</v>
      </c>
      <c r="I509" s="50" t="str">
        <f>"2"</f>
        <v>2</v>
      </c>
      <c r="J509" t="str">
        <f>"Székely Lázár"</f>
        <v>Székely Lázár</v>
      </c>
      <c r="K509" t="str">
        <f>"KYO Fighter SE"</f>
        <v>KYO Fighter SE</v>
      </c>
      <c r="L509" t="str">
        <f t="shared" si="72"/>
        <v>HUN</v>
      </c>
      <c r="M509">
        <v>6</v>
      </c>
      <c r="O509" s="83" t="s">
        <v>410</v>
      </c>
      <c r="P509" s="78">
        <v>45395</v>
      </c>
      <c r="Q509" t="str">
        <f t="shared" si="62"/>
        <v>Székely Lázár - KYO Fighter SE</v>
      </c>
      <c r="R509" t="s">
        <v>636</v>
      </c>
      <c r="S509" t="s">
        <v>636</v>
      </c>
      <c r="T509" t="s">
        <v>645</v>
      </c>
    </row>
    <row r="510" spans="1:20" x14ac:dyDescent="0.3">
      <c r="A510" s="2" t="s">
        <v>409</v>
      </c>
      <c r="B510" s="50" t="s">
        <v>154</v>
      </c>
      <c r="C510">
        <v>41</v>
      </c>
      <c r="D510" t="str">
        <f t="shared" si="80"/>
        <v>Kumite</v>
      </c>
      <c r="E510" t="str">
        <f>"Kumite, -, 30-35 kg, Gyerek 2. (11-12"</f>
        <v>Kumite, -, 30-35 kg, Gyerek 2. (11-12</v>
      </c>
      <c r="F510" s="83" t="s">
        <v>512</v>
      </c>
      <c r="G510" s="50" t="str">
        <f>"8"</f>
        <v>8</v>
      </c>
      <c r="H510" t="str">
        <f>"8 fős egyenes kiesés"</f>
        <v>8 fős egyenes kiesés</v>
      </c>
      <c r="I510" s="50" t="str">
        <f>"3"</f>
        <v>3</v>
      </c>
      <c r="J510" t="str">
        <f>"Békési Nándor István"</f>
        <v>Békési Nándor István</v>
      </c>
      <c r="K510" t="str">
        <f>"Shogun"</f>
        <v>Shogun</v>
      </c>
      <c r="L510" t="str">
        <f t="shared" si="72"/>
        <v>HUN</v>
      </c>
      <c r="M510">
        <v>4</v>
      </c>
      <c r="O510" s="83" t="s">
        <v>410</v>
      </c>
      <c r="P510" s="78">
        <v>45395</v>
      </c>
      <c r="Q510" t="str">
        <f t="shared" si="62"/>
        <v>Békési Nándor István - Shogun</v>
      </c>
      <c r="R510" t="s">
        <v>636</v>
      </c>
      <c r="S510" t="s">
        <v>636</v>
      </c>
      <c r="T510" t="s">
        <v>645</v>
      </c>
    </row>
    <row r="511" spans="1:20" x14ac:dyDescent="0.3">
      <c r="A511" s="2" t="s">
        <v>409</v>
      </c>
      <c r="B511" s="50" t="s">
        <v>154</v>
      </c>
      <c r="C511">
        <v>42</v>
      </c>
      <c r="D511" t="str">
        <f t="shared" si="80"/>
        <v>Kumite</v>
      </c>
      <c r="E511" t="str">
        <f>"Kumite, -, 30-35 kg, Gyerek 2. (11-12"</f>
        <v>Kumite, -, 30-35 kg, Gyerek 2. (11-12</v>
      </c>
      <c r="F511" s="83" t="s">
        <v>512</v>
      </c>
      <c r="G511" s="50" t="str">
        <f>"8"</f>
        <v>8</v>
      </c>
      <c r="H511" t="str">
        <f>"8 fős egyenes kiesés"</f>
        <v>8 fős egyenes kiesés</v>
      </c>
      <c r="I511" s="50" t="str">
        <f>"3"</f>
        <v>3</v>
      </c>
      <c r="J511" t="str">
        <f>"Zsenyuk Zalán"</f>
        <v>Zsenyuk Zalán</v>
      </c>
      <c r="K511" t="str">
        <f>"POWER SE."</f>
        <v>POWER SE.</v>
      </c>
      <c r="L511" t="str">
        <f t="shared" si="72"/>
        <v>HUN</v>
      </c>
      <c r="M511">
        <v>4</v>
      </c>
      <c r="O511" s="83" t="s">
        <v>410</v>
      </c>
      <c r="P511" s="78">
        <v>45395</v>
      </c>
      <c r="Q511" t="str">
        <f t="shared" si="62"/>
        <v>Zsenyuk Zalán - POWER SE.</v>
      </c>
      <c r="R511" t="s">
        <v>636</v>
      </c>
      <c r="S511" t="s">
        <v>636</v>
      </c>
      <c r="T511" t="s">
        <v>645</v>
      </c>
    </row>
    <row r="512" spans="1:20" x14ac:dyDescent="0.3">
      <c r="A512" s="2" t="s">
        <v>409</v>
      </c>
      <c r="B512" s="50" t="s">
        <v>154</v>
      </c>
      <c r="C512">
        <v>43</v>
      </c>
      <c r="D512" t="str">
        <f t="shared" si="80"/>
        <v>Kumite</v>
      </c>
      <c r="E512" t="str">
        <f t="shared" ref="E512:E519" si="81">"Kumite, -, 35-40 kg, Gyerek 2. (11-12"</f>
        <v>Kumite, -, 35-40 kg, Gyerek 2. (11-12</v>
      </c>
      <c r="F512" s="83" t="s">
        <v>518</v>
      </c>
      <c r="G512" s="50" t="str">
        <f t="shared" ref="G512:G519" si="82">"15"</f>
        <v>15</v>
      </c>
      <c r="H512" t="str">
        <f t="shared" ref="H512:H544" si="83">"16 fős egyenes kiesés"</f>
        <v>16 fős egyenes kiesés</v>
      </c>
      <c r="I512" s="50" t="str">
        <f>"1"</f>
        <v>1</v>
      </c>
      <c r="J512" t="str">
        <f>"Vass János"</f>
        <v>Vass János</v>
      </c>
      <c r="K512" t="str">
        <f>"Nyíradonyi KKE"</f>
        <v>Nyíradonyi KKE</v>
      </c>
      <c r="L512" t="str">
        <f t="shared" si="72"/>
        <v>HUN</v>
      </c>
      <c r="M512">
        <v>10</v>
      </c>
      <c r="O512" s="83" t="s">
        <v>410</v>
      </c>
      <c r="P512" s="78">
        <v>45395</v>
      </c>
      <c r="Q512" t="str">
        <f t="shared" si="62"/>
        <v>Vass János - Nyíradonyi KKE</v>
      </c>
      <c r="R512" t="s">
        <v>636</v>
      </c>
      <c r="S512" t="s">
        <v>636</v>
      </c>
      <c r="T512" t="s">
        <v>645</v>
      </c>
    </row>
    <row r="513" spans="1:20" x14ac:dyDescent="0.3">
      <c r="A513" s="2" t="s">
        <v>409</v>
      </c>
      <c r="B513" s="50" t="s">
        <v>154</v>
      </c>
      <c r="C513">
        <v>44</v>
      </c>
      <c r="D513" t="str">
        <f t="shared" si="80"/>
        <v>Kumite</v>
      </c>
      <c r="E513" t="str">
        <f t="shared" si="81"/>
        <v>Kumite, -, 35-40 kg, Gyerek 2. (11-12</v>
      </c>
      <c r="F513" s="83" t="s">
        <v>518</v>
      </c>
      <c r="G513" s="50" t="str">
        <f t="shared" si="82"/>
        <v>15</v>
      </c>
      <c r="H513" t="str">
        <f t="shared" si="83"/>
        <v>16 fős egyenes kiesés</v>
      </c>
      <c r="I513" s="50" t="str">
        <f>"2"</f>
        <v>2</v>
      </c>
      <c r="J513" t="str">
        <f>"Svraka Bence"</f>
        <v>Svraka Bence</v>
      </c>
      <c r="K513" t="str">
        <f>"Damashi"</f>
        <v>Damashi</v>
      </c>
      <c r="L513" t="str">
        <f t="shared" si="72"/>
        <v>HUN</v>
      </c>
      <c r="M513">
        <v>8</v>
      </c>
      <c r="O513" s="83" t="s">
        <v>410</v>
      </c>
      <c r="P513" s="78">
        <v>45395</v>
      </c>
      <c r="Q513" t="str">
        <f t="shared" si="62"/>
        <v>Svraka Bence - Damashi</v>
      </c>
      <c r="R513" t="s">
        <v>636</v>
      </c>
      <c r="S513" t="s">
        <v>636</v>
      </c>
      <c r="T513" t="s">
        <v>645</v>
      </c>
    </row>
    <row r="514" spans="1:20" x14ac:dyDescent="0.3">
      <c r="A514" s="2" t="s">
        <v>409</v>
      </c>
      <c r="B514" s="50" t="s">
        <v>154</v>
      </c>
      <c r="C514">
        <v>45</v>
      </c>
      <c r="D514" t="str">
        <f t="shared" si="80"/>
        <v>Kumite</v>
      </c>
      <c r="E514" t="str">
        <f t="shared" si="81"/>
        <v>Kumite, -, 35-40 kg, Gyerek 2. (11-12</v>
      </c>
      <c r="F514" s="83" t="s">
        <v>518</v>
      </c>
      <c r="G514" s="50" t="str">
        <f t="shared" si="82"/>
        <v>15</v>
      </c>
      <c r="H514" t="str">
        <f t="shared" si="83"/>
        <v>16 fős egyenes kiesés</v>
      </c>
      <c r="I514" s="50" t="str">
        <f>"3"</f>
        <v>3</v>
      </c>
      <c r="J514" t="str">
        <f>"Hidegh Flórián"</f>
        <v>Hidegh Flórián</v>
      </c>
      <c r="K514" t="str">
        <f>"Rakurai"</f>
        <v>Rakurai</v>
      </c>
      <c r="L514" t="str">
        <f t="shared" si="72"/>
        <v>HUN</v>
      </c>
      <c r="M514">
        <v>6</v>
      </c>
      <c r="O514" s="83" t="s">
        <v>410</v>
      </c>
      <c r="P514" s="78">
        <v>45395</v>
      </c>
      <c r="Q514" t="str">
        <f t="shared" si="62"/>
        <v>Hidegh Flórián - Rakurai</v>
      </c>
      <c r="R514" t="s">
        <v>636</v>
      </c>
      <c r="S514" t="s">
        <v>636</v>
      </c>
      <c r="T514" t="s">
        <v>645</v>
      </c>
    </row>
    <row r="515" spans="1:20" x14ac:dyDescent="0.3">
      <c r="A515" s="2" t="s">
        <v>409</v>
      </c>
      <c r="B515" s="50" t="s">
        <v>154</v>
      </c>
      <c r="C515">
        <v>46</v>
      </c>
      <c r="D515" t="str">
        <f t="shared" si="80"/>
        <v>Kumite</v>
      </c>
      <c r="E515" t="str">
        <f t="shared" si="81"/>
        <v>Kumite, -, 35-40 kg, Gyerek 2. (11-12</v>
      </c>
      <c r="F515" s="83" t="s">
        <v>518</v>
      </c>
      <c r="G515" s="50" t="str">
        <f t="shared" si="82"/>
        <v>15</v>
      </c>
      <c r="H515" t="str">
        <f t="shared" si="83"/>
        <v>16 fős egyenes kiesés</v>
      </c>
      <c r="I515" s="50" t="str">
        <f>"3"</f>
        <v>3</v>
      </c>
      <c r="J515" t="str">
        <f>"Nádasdi Dávid"</f>
        <v>Nádasdi Dávid</v>
      </c>
      <c r="K515" t="str">
        <f>"BHMSE"</f>
        <v>BHMSE</v>
      </c>
      <c r="L515" t="str">
        <f t="shared" si="72"/>
        <v>HUN</v>
      </c>
      <c r="M515">
        <v>6</v>
      </c>
      <c r="O515" s="83" t="s">
        <v>410</v>
      </c>
      <c r="P515" s="78">
        <v>45395</v>
      </c>
      <c r="Q515" t="str">
        <f t="shared" ref="Q515:Q578" si="84">J515&amp;" - "&amp;K515</f>
        <v>Nádasdi Dávid - BHMSE</v>
      </c>
      <c r="R515" t="s">
        <v>636</v>
      </c>
      <c r="S515" t="s">
        <v>636</v>
      </c>
      <c r="T515" t="s">
        <v>645</v>
      </c>
    </row>
    <row r="516" spans="1:20" x14ac:dyDescent="0.3">
      <c r="A516" s="2" t="s">
        <v>409</v>
      </c>
      <c r="B516" s="50" t="s">
        <v>154</v>
      </c>
      <c r="C516">
        <v>46</v>
      </c>
      <c r="D516" t="str">
        <f t="shared" si="80"/>
        <v>Kumite</v>
      </c>
      <c r="E516" t="str">
        <f t="shared" si="81"/>
        <v>Kumite, -, 35-40 kg, Gyerek 2. (11-12</v>
      </c>
      <c r="F516" s="83" t="s">
        <v>518</v>
      </c>
      <c r="G516" s="50" t="str">
        <f t="shared" si="82"/>
        <v>15</v>
      </c>
      <c r="H516" t="str">
        <f t="shared" si="83"/>
        <v>16 fős egyenes kiesés</v>
      </c>
      <c r="I516" s="67" t="s">
        <v>302</v>
      </c>
      <c r="J516" t="s">
        <v>426</v>
      </c>
      <c r="K516" t="s">
        <v>82</v>
      </c>
      <c r="L516" t="str">
        <f t="shared" si="72"/>
        <v>HUN</v>
      </c>
      <c r="M516">
        <v>3</v>
      </c>
      <c r="O516" s="83" t="s">
        <v>410</v>
      </c>
      <c r="P516" s="78">
        <v>45395</v>
      </c>
      <c r="Q516" t="str">
        <f t="shared" si="84"/>
        <v>Csorba Romiró - Bátor KSE</v>
      </c>
      <c r="R516" t="s">
        <v>636</v>
      </c>
      <c r="S516" t="s">
        <v>636</v>
      </c>
      <c r="T516" t="s">
        <v>645</v>
      </c>
    </row>
    <row r="517" spans="1:20" x14ac:dyDescent="0.3">
      <c r="A517" s="2" t="s">
        <v>409</v>
      </c>
      <c r="B517" s="50" t="s">
        <v>154</v>
      </c>
      <c r="C517">
        <v>46</v>
      </c>
      <c r="D517" t="str">
        <f t="shared" si="80"/>
        <v>Kumite</v>
      </c>
      <c r="E517" t="str">
        <f t="shared" si="81"/>
        <v>Kumite, -, 35-40 kg, Gyerek 2. (11-12</v>
      </c>
      <c r="F517" s="83" t="s">
        <v>518</v>
      </c>
      <c r="G517" s="50" t="str">
        <f t="shared" si="82"/>
        <v>15</v>
      </c>
      <c r="H517" t="str">
        <f t="shared" si="83"/>
        <v>16 fős egyenes kiesés</v>
      </c>
      <c r="I517" s="67" t="s">
        <v>302</v>
      </c>
      <c r="J517" t="s">
        <v>427</v>
      </c>
      <c r="K517" t="s">
        <v>41</v>
      </c>
      <c r="L517" t="str">
        <f t="shared" si="72"/>
        <v>HUN</v>
      </c>
      <c r="M517">
        <v>3</v>
      </c>
      <c r="O517" s="83" t="s">
        <v>410</v>
      </c>
      <c r="P517" s="78">
        <v>45395</v>
      </c>
      <c r="Q517" t="str">
        <f t="shared" si="84"/>
        <v>Horváth Richárd - KKE - Spartacus</v>
      </c>
      <c r="R517" t="s">
        <v>636</v>
      </c>
      <c r="S517" t="s">
        <v>636</v>
      </c>
      <c r="T517" t="s">
        <v>645</v>
      </c>
    </row>
    <row r="518" spans="1:20" x14ac:dyDescent="0.3">
      <c r="A518" s="2" t="s">
        <v>409</v>
      </c>
      <c r="B518" s="50" t="s">
        <v>154</v>
      </c>
      <c r="C518">
        <v>46</v>
      </c>
      <c r="D518" t="str">
        <f t="shared" si="80"/>
        <v>Kumite</v>
      </c>
      <c r="E518" t="str">
        <f t="shared" si="81"/>
        <v>Kumite, -, 35-40 kg, Gyerek 2. (11-12</v>
      </c>
      <c r="F518" s="83" t="s">
        <v>518</v>
      </c>
      <c r="G518" s="50" t="str">
        <f t="shared" si="82"/>
        <v>15</v>
      </c>
      <c r="H518" t="str">
        <f t="shared" si="83"/>
        <v>16 fős egyenes kiesés</v>
      </c>
      <c r="I518" s="67" t="s">
        <v>302</v>
      </c>
      <c r="J518" t="s">
        <v>346</v>
      </c>
      <c r="K518" t="s">
        <v>150</v>
      </c>
      <c r="L518" t="str">
        <f t="shared" si="72"/>
        <v>HUN</v>
      </c>
      <c r="M518">
        <v>3</v>
      </c>
      <c r="O518" s="83" t="s">
        <v>410</v>
      </c>
      <c r="P518" s="78">
        <v>45395</v>
      </c>
      <c r="Q518" t="str">
        <f t="shared" si="84"/>
        <v>Antal Dániel Kristóf - KSE Tarján</v>
      </c>
      <c r="R518" t="s">
        <v>636</v>
      </c>
      <c r="S518" t="s">
        <v>636</v>
      </c>
      <c r="T518" t="s">
        <v>645</v>
      </c>
    </row>
    <row r="519" spans="1:20" x14ac:dyDescent="0.3">
      <c r="A519" s="2" t="s">
        <v>409</v>
      </c>
      <c r="B519" s="50" t="s">
        <v>154</v>
      </c>
      <c r="C519">
        <v>46</v>
      </c>
      <c r="D519" t="str">
        <f t="shared" si="80"/>
        <v>Kumite</v>
      </c>
      <c r="E519" t="str">
        <f t="shared" si="81"/>
        <v>Kumite, -, 35-40 kg, Gyerek 2. (11-12</v>
      </c>
      <c r="F519" s="83" t="s">
        <v>518</v>
      </c>
      <c r="G519" s="50" t="str">
        <f t="shared" si="82"/>
        <v>15</v>
      </c>
      <c r="H519" t="str">
        <f t="shared" si="83"/>
        <v>16 fős egyenes kiesés</v>
      </c>
      <c r="I519" s="67" t="s">
        <v>302</v>
      </c>
      <c r="J519" t="s">
        <v>428</v>
      </c>
      <c r="K519" t="s">
        <v>14</v>
      </c>
      <c r="L519" t="str">
        <f t="shared" si="72"/>
        <v>HUN</v>
      </c>
      <c r="M519">
        <v>3</v>
      </c>
      <c r="O519" s="83" t="s">
        <v>410</v>
      </c>
      <c r="P519" s="78">
        <v>45395</v>
      </c>
      <c r="Q519" t="str">
        <f t="shared" si="84"/>
        <v>Kurucz Tamás Timuzsin - Shogun</v>
      </c>
      <c r="R519" t="s">
        <v>636</v>
      </c>
      <c r="S519" t="s">
        <v>636</v>
      </c>
      <c r="T519" t="s">
        <v>645</v>
      </c>
    </row>
    <row r="520" spans="1:20" x14ac:dyDescent="0.3">
      <c r="A520" s="2" t="s">
        <v>409</v>
      </c>
      <c r="B520" s="50" t="s">
        <v>154</v>
      </c>
      <c r="C520">
        <v>47</v>
      </c>
      <c r="D520" t="str">
        <f t="shared" si="80"/>
        <v>Kumite</v>
      </c>
      <c r="E520" t="str">
        <f t="shared" ref="E520:E526" si="85">"Kumite, -, 40-45 kg, Gyerek 2. (11-12"</f>
        <v>Kumite, -, 40-45 kg, Gyerek 2. (11-12</v>
      </c>
      <c r="F520" s="83" t="s">
        <v>521</v>
      </c>
      <c r="G520" s="50" t="str">
        <f t="shared" ref="G520:G526" si="86">"13"</f>
        <v>13</v>
      </c>
      <c r="H520" t="str">
        <f t="shared" si="83"/>
        <v>16 fős egyenes kiesés</v>
      </c>
      <c r="I520" s="50" t="str">
        <f>"1"</f>
        <v>1</v>
      </c>
      <c r="J520" t="str">
        <f>"Sádt Zétény"</f>
        <v>Sádt Zétény</v>
      </c>
      <c r="K520" t="str">
        <f>"Buke Reikon HRSE"</f>
        <v>Buke Reikon HRSE</v>
      </c>
      <c r="L520" t="str">
        <f t="shared" si="72"/>
        <v>HUN</v>
      </c>
      <c r="M520">
        <v>10</v>
      </c>
      <c r="O520" s="83" t="s">
        <v>410</v>
      </c>
      <c r="P520" s="78">
        <v>45395</v>
      </c>
      <c r="Q520" t="str">
        <f t="shared" si="84"/>
        <v>Sádt Zétény - Buke Reikon HRSE</v>
      </c>
      <c r="R520" t="s">
        <v>636</v>
      </c>
      <c r="S520" t="s">
        <v>636</v>
      </c>
      <c r="T520" t="s">
        <v>645</v>
      </c>
    </row>
    <row r="521" spans="1:20" x14ac:dyDescent="0.3">
      <c r="A521" s="2" t="s">
        <v>409</v>
      </c>
      <c r="B521" s="50" t="s">
        <v>154</v>
      </c>
      <c r="C521">
        <v>48</v>
      </c>
      <c r="D521" t="str">
        <f t="shared" si="80"/>
        <v>Kumite</v>
      </c>
      <c r="E521" t="str">
        <f t="shared" si="85"/>
        <v>Kumite, -, 40-45 kg, Gyerek 2. (11-12</v>
      </c>
      <c r="F521" s="83" t="s">
        <v>521</v>
      </c>
      <c r="G521" s="50" t="str">
        <f t="shared" si="86"/>
        <v>13</v>
      </c>
      <c r="H521" t="str">
        <f t="shared" si="83"/>
        <v>16 fős egyenes kiesés</v>
      </c>
      <c r="I521" s="50" t="str">
        <f>"2"</f>
        <v>2</v>
      </c>
      <c r="J521" t="str">
        <f>"Kiss Zoltán János"</f>
        <v>Kiss Zoltán János</v>
      </c>
      <c r="K521" t="str">
        <f>"Derecske BUDO"</f>
        <v>Derecske BUDO</v>
      </c>
      <c r="L521" t="str">
        <f t="shared" si="72"/>
        <v>HUN</v>
      </c>
      <c r="M521">
        <v>8</v>
      </c>
      <c r="O521" s="83" t="s">
        <v>410</v>
      </c>
      <c r="P521" s="78">
        <v>45395</v>
      </c>
      <c r="Q521" t="str">
        <f t="shared" si="84"/>
        <v>Kiss Zoltán János - Derecske BUDO</v>
      </c>
      <c r="R521" t="s">
        <v>636</v>
      </c>
      <c r="S521" t="s">
        <v>636</v>
      </c>
      <c r="T521" t="s">
        <v>645</v>
      </c>
    </row>
    <row r="522" spans="1:20" x14ac:dyDescent="0.3">
      <c r="A522" s="2" t="s">
        <v>409</v>
      </c>
      <c r="B522" s="50" t="s">
        <v>154</v>
      </c>
      <c r="C522">
        <v>49</v>
      </c>
      <c r="D522" t="str">
        <f t="shared" si="80"/>
        <v>Kumite</v>
      </c>
      <c r="E522" t="str">
        <f t="shared" si="85"/>
        <v>Kumite, -, 40-45 kg, Gyerek 2. (11-12</v>
      </c>
      <c r="F522" s="83" t="s">
        <v>521</v>
      </c>
      <c r="G522" s="50" t="str">
        <f t="shared" si="86"/>
        <v>13</v>
      </c>
      <c r="H522" t="str">
        <f t="shared" si="83"/>
        <v>16 fős egyenes kiesés</v>
      </c>
      <c r="I522" s="50" t="str">
        <f>"3"</f>
        <v>3</v>
      </c>
      <c r="J522" t="str">
        <f>"Remenyik Dániel"</f>
        <v>Remenyik Dániel</v>
      </c>
      <c r="K522" t="str">
        <f>"Shogun"</f>
        <v>Shogun</v>
      </c>
      <c r="L522" t="str">
        <f t="shared" si="72"/>
        <v>HUN</v>
      </c>
      <c r="M522">
        <v>6</v>
      </c>
      <c r="O522" s="83" t="s">
        <v>410</v>
      </c>
      <c r="P522" s="78">
        <v>45395</v>
      </c>
      <c r="Q522" t="str">
        <f t="shared" si="84"/>
        <v>Remenyik Dániel - Shogun</v>
      </c>
      <c r="R522" t="s">
        <v>636</v>
      </c>
      <c r="S522" t="s">
        <v>636</v>
      </c>
      <c r="T522" t="s">
        <v>645</v>
      </c>
    </row>
    <row r="523" spans="1:20" x14ac:dyDescent="0.3">
      <c r="A523" s="2" t="s">
        <v>409</v>
      </c>
      <c r="B523" s="50" t="s">
        <v>154</v>
      </c>
      <c r="C523">
        <v>50</v>
      </c>
      <c r="D523" t="str">
        <f t="shared" si="80"/>
        <v>Kumite</v>
      </c>
      <c r="E523" t="str">
        <f t="shared" si="85"/>
        <v>Kumite, -, 40-45 kg, Gyerek 2. (11-12</v>
      </c>
      <c r="F523" s="83" t="s">
        <v>521</v>
      </c>
      <c r="G523" s="50" t="str">
        <f t="shared" si="86"/>
        <v>13</v>
      </c>
      <c r="H523" t="str">
        <f t="shared" si="83"/>
        <v>16 fős egyenes kiesés</v>
      </c>
      <c r="I523" s="50" t="str">
        <f>"3"</f>
        <v>3</v>
      </c>
      <c r="J523" t="str">
        <f>"Csernák Ákos"</f>
        <v>Csernák Ákos</v>
      </c>
      <c r="K523" t="str">
        <f>"HARCOSOK KLUBJA"</f>
        <v>HARCOSOK KLUBJA</v>
      </c>
      <c r="L523" t="str">
        <f t="shared" si="72"/>
        <v>HUN</v>
      </c>
      <c r="M523">
        <v>6</v>
      </c>
      <c r="O523" s="83" t="s">
        <v>410</v>
      </c>
      <c r="P523" s="78">
        <v>45395</v>
      </c>
      <c r="Q523" t="str">
        <f t="shared" si="84"/>
        <v>Csernák Ákos - HARCOSOK KLUBJA</v>
      </c>
      <c r="R523" t="s">
        <v>636</v>
      </c>
      <c r="S523" t="s">
        <v>636</v>
      </c>
      <c r="T523" t="s">
        <v>645</v>
      </c>
    </row>
    <row r="524" spans="1:20" x14ac:dyDescent="0.3">
      <c r="A524" s="2" t="s">
        <v>409</v>
      </c>
      <c r="B524" s="50" t="s">
        <v>154</v>
      </c>
      <c r="C524">
        <v>50</v>
      </c>
      <c r="D524" t="str">
        <f t="shared" si="80"/>
        <v>Kumite</v>
      </c>
      <c r="E524" t="str">
        <f t="shared" si="85"/>
        <v>Kumite, -, 40-45 kg, Gyerek 2. (11-12</v>
      </c>
      <c r="F524" s="83" t="s">
        <v>521</v>
      </c>
      <c r="G524" s="50" t="str">
        <f t="shared" si="86"/>
        <v>13</v>
      </c>
      <c r="H524" t="str">
        <f t="shared" si="83"/>
        <v>16 fős egyenes kiesés</v>
      </c>
      <c r="I524" s="67" t="s">
        <v>302</v>
      </c>
      <c r="J524" t="s">
        <v>429</v>
      </c>
      <c r="K524" t="s">
        <v>14</v>
      </c>
      <c r="L524" t="str">
        <f t="shared" si="72"/>
        <v>HUN</v>
      </c>
      <c r="M524">
        <v>3</v>
      </c>
      <c r="O524" s="83" t="s">
        <v>410</v>
      </c>
      <c r="P524" s="78">
        <v>45395</v>
      </c>
      <c r="Q524" t="str">
        <f t="shared" si="84"/>
        <v>Szabó Péter Nimród - Shogun</v>
      </c>
      <c r="R524" t="s">
        <v>636</v>
      </c>
      <c r="S524" t="s">
        <v>636</v>
      </c>
      <c r="T524" t="s">
        <v>645</v>
      </c>
    </row>
    <row r="525" spans="1:20" x14ac:dyDescent="0.3">
      <c r="A525" s="2" t="s">
        <v>409</v>
      </c>
      <c r="B525" s="50" t="s">
        <v>154</v>
      </c>
      <c r="C525">
        <v>50</v>
      </c>
      <c r="D525" t="str">
        <f t="shared" si="80"/>
        <v>Kumite</v>
      </c>
      <c r="E525" t="str">
        <f t="shared" si="85"/>
        <v>Kumite, -, 40-45 kg, Gyerek 2. (11-12</v>
      </c>
      <c r="F525" s="83" t="s">
        <v>521</v>
      </c>
      <c r="G525" s="50" t="str">
        <f t="shared" si="86"/>
        <v>13</v>
      </c>
      <c r="H525" t="str">
        <f t="shared" si="83"/>
        <v>16 fős egyenes kiesés</v>
      </c>
      <c r="I525" s="67" t="s">
        <v>302</v>
      </c>
      <c r="J525" t="s">
        <v>430</v>
      </c>
      <c r="K525" t="s">
        <v>316</v>
      </c>
      <c r="L525" t="str">
        <f t="shared" si="72"/>
        <v>HUN</v>
      </c>
      <c r="M525">
        <v>3</v>
      </c>
      <c r="O525" s="83" t="s">
        <v>410</v>
      </c>
      <c r="P525" s="78">
        <v>45395</v>
      </c>
      <c r="Q525" t="str">
        <f t="shared" si="84"/>
        <v>Vincze Barnabás - Damashi</v>
      </c>
      <c r="R525" t="s">
        <v>636</v>
      </c>
      <c r="S525" t="s">
        <v>636</v>
      </c>
      <c r="T525" t="s">
        <v>645</v>
      </c>
    </row>
    <row r="526" spans="1:20" x14ac:dyDescent="0.3">
      <c r="A526" s="2" t="s">
        <v>409</v>
      </c>
      <c r="B526" s="50" t="s">
        <v>154</v>
      </c>
      <c r="C526">
        <v>50</v>
      </c>
      <c r="D526" t="str">
        <f t="shared" si="80"/>
        <v>Kumite</v>
      </c>
      <c r="E526" t="str">
        <f t="shared" si="85"/>
        <v>Kumite, -, 40-45 kg, Gyerek 2. (11-12</v>
      </c>
      <c r="F526" s="83" t="s">
        <v>521</v>
      </c>
      <c r="G526" s="50" t="str">
        <f t="shared" si="86"/>
        <v>13</v>
      </c>
      <c r="H526" t="str">
        <f t="shared" si="83"/>
        <v>16 fős egyenes kiesés</v>
      </c>
      <c r="I526" s="67" t="s">
        <v>302</v>
      </c>
      <c r="J526" t="s">
        <v>431</v>
      </c>
      <c r="K526" t="s">
        <v>337</v>
      </c>
      <c r="L526" t="str">
        <f t="shared" si="72"/>
        <v>HUN</v>
      </c>
      <c r="M526">
        <v>3</v>
      </c>
      <c r="O526" s="83" t="s">
        <v>410</v>
      </c>
      <c r="P526" s="78">
        <v>45395</v>
      </c>
      <c r="Q526" t="str">
        <f t="shared" si="84"/>
        <v>Gémes Dániel  - UDSE</v>
      </c>
      <c r="R526" t="s">
        <v>637</v>
      </c>
      <c r="S526" t="s">
        <v>170</v>
      </c>
      <c r="T526" t="s">
        <v>645</v>
      </c>
    </row>
    <row r="527" spans="1:20" x14ac:dyDescent="0.3">
      <c r="A527" s="2" t="s">
        <v>409</v>
      </c>
      <c r="B527" s="50" t="s">
        <v>154</v>
      </c>
      <c r="C527">
        <v>51</v>
      </c>
      <c r="D527" t="str">
        <f t="shared" si="80"/>
        <v>Kumite</v>
      </c>
      <c r="E527" t="str">
        <f t="shared" ref="E527:E532" si="87">"Kumite, -, 45-55 kg, Gyerek 2. (11-12"</f>
        <v>Kumite, -, 45-55 kg, Gyerek 2. (11-12</v>
      </c>
      <c r="F527" s="83" t="s">
        <v>522</v>
      </c>
      <c r="G527" s="50" t="str">
        <f t="shared" ref="G527:G532" si="88">"11"</f>
        <v>11</v>
      </c>
      <c r="H527" t="str">
        <f t="shared" si="83"/>
        <v>16 fős egyenes kiesés</v>
      </c>
      <c r="I527" s="50" t="str">
        <f>"1"</f>
        <v>1</v>
      </c>
      <c r="J527" t="str">
        <f>"Gyurcsán Levente"</f>
        <v>Gyurcsán Levente</v>
      </c>
      <c r="K527" t="str">
        <f>"Fight-team"</f>
        <v>Fight-team</v>
      </c>
      <c r="L527" t="str">
        <f t="shared" si="72"/>
        <v>HUN</v>
      </c>
      <c r="M527">
        <v>10</v>
      </c>
      <c r="O527" s="83" t="s">
        <v>410</v>
      </c>
      <c r="P527" s="78">
        <v>45395</v>
      </c>
      <c r="Q527" t="str">
        <f t="shared" si="84"/>
        <v>Gyurcsán Levente - Fight-team</v>
      </c>
      <c r="R527" t="s">
        <v>636</v>
      </c>
      <c r="S527" t="s">
        <v>636</v>
      </c>
      <c r="T527" t="s">
        <v>645</v>
      </c>
    </row>
    <row r="528" spans="1:20" x14ac:dyDescent="0.3">
      <c r="A528" s="2" t="s">
        <v>409</v>
      </c>
      <c r="B528" s="50" t="s">
        <v>154</v>
      </c>
      <c r="C528">
        <v>52</v>
      </c>
      <c r="D528" t="str">
        <f t="shared" si="80"/>
        <v>Kumite</v>
      </c>
      <c r="E528" t="str">
        <f t="shared" si="87"/>
        <v>Kumite, -, 45-55 kg, Gyerek 2. (11-12</v>
      </c>
      <c r="F528" s="83" t="s">
        <v>522</v>
      </c>
      <c r="G528" s="50" t="str">
        <f t="shared" si="88"/>
        <v>11</v>
      </c>
      <c r="H528" t="str">
        <f t="shared" si="83"/>
        <v>16 fős egyenes kiesés</v>
      </c>
      <c r="I528" s="50" t="str">
        <f>"2"</f>
        <v>2</v>
      </c>
      <c r="J528" t="str">
        <f>"Villasenor Babos Viktor Éliás"</f>
        <v>Villasenor Babos Viktor Éliás</v>
      </c>
      <c r="K528" t="str">
        <f>"Rakurai"</f>
        <v>Rakurai</v>
      </c>
      <c r="L528" t="str">
        <f t="shared" si="72"/>
        <v>HUN</v>
      </c>
      <c r="M528">
        <v>8</v>
      </c>
      <c r="O528" s="83" t="s">
        <v>410</v>
      </c>
      <c r="P528" s="78">
        <v>45395</v>
      </c>
      <c r="Q528" t="str">
        <f t="shared" si="84"/>
        <v>Villasenor Babos Viktor Éliás - Rakurai</v>
      </c>
      <c r="R528" t="s">
        <v>636</v>
      </c>
      <c r="S528" t="s">
        <v>636</v>
      </c>
      <c r="T528" t="s">
        <v>645</v>
      </c>
    </row>
    <row r="529" spans="1:20" x14ac:dyDescent="0.3">
      <c r="A529" s="2" t="s">
        <v>409</v>
      </c>
      <c r="B529" s="50" t="s">
        <v>154</v>
      </c>
      <c r="C529">
        <v>53</v>
      </c>
      <c r="D529" t="str">
        <f t="shared" si="80"/>
        <v>Kumite</v>
      </c>
      <c r="E529" t="str">
        <f t="shared" si="87"/>
        <v>Kumite, -, 45-55 kg, Gyerek 2. (11-12</v>
      </c>
      <c r="F529" s="83" t="s">
        <v>522</v>
      </c>
      <c r="G529" s="50" t="str">
        <f t="shared" si="88"/>
        <v>11</v>
      </c>
      <c r="H529" t="str">
        <f t="shared" si="83"/>
        <v>16 fős egyenes kiesés</v>
      </c>
      <c r="I529" s="50" t="str">
        <f>"3"</f>
        <v>3</v>
      </c>
      <c r="J529" t="str">
        <f>"Farkas Álmos"</f>
        <v>Farkas Álmos</v>
      </c>
      <c r="K529" t="str">
        <f>"KYO Fighter SE"</f>
        <v>KYO Fighter SE</v>
      </c>
      <c r="L529" t="str">
        <f t="shared" si="72"/>
        <v>HUN</v>
      </c>
      <c r="M529">
        <v>6</v>
      </c>
      <c r="O529" s="83" t="s">
        <v>410</v>
      </c>
      <c r="P529" s="78">
        <v>45395</v>
      </c>
      <c r="Q529" t="str">
        <f t="shared" si="84"/>
        <v>Farkas Álmos - KYO Fighter SE</v>
      </c>
      <c r="R529" t="s">
        <v>636</v>
      </c>
      <c r="S529" t="s">
        <v>636</v>
      </c>
      <c r="T529" t="s">
        <v>645</v>
      </c>
    </row>
    <row r="530" spans="1:20" x14ac:dyDescent="0.3">
      <c r="A530" s="2" t="s">
        <v>409</v>
      </c>
      <c r="B530" s="50" t="s">
        <v>154</v>
      </c>
      <c r="C530">
        <v>54</v>
      </c>
      <c r="D530" t="str">
        <f t="shared" si="80"/>
        <v>Kumite</v>
      </c>
      <c r="E530" t="str">
        <f t="shared" si="87"/>
        <v>Kumite, -, 45-55 kg, Gyerek 2. (11-12</v>
      </c>
      <c r="F530" s="83" t="s">
        <v>522</v>
      </c>
      <c r="G530" s="50" t="str">
        <f t="shared" si="88"/>
        <v>11</v>
      </c>
      <c r="H530" t="str">
        <f t="shared" si="83"/>
        <v>16 fős egyenes kiesés</v>
      </c>
      <c r="I530" s="50" t="str">
        <f>"3"</f>
        <v>3</v>
      </c>
      <c r="J530" t="str">
        <f>"Varga Bence"</f>
        <v>Varga Bence</v>
      </c>
      <c r="K530" t="str">
        <f>"KSE Tarján"</f>
        <v>KSE Tarján</v>
      </c>
      <c r="L530" t="str">
        <f t="shared" si="72"/>
        <v>HUN</v>
      </c>
      <c r="M530">
        <v>6</v>
      </c>
      <c r="O530" s="83" t="s">
        <v>410</v>
      </c>
      <c r="P530" s="78">
        <v>45395</v>
      </c>
      <c r="Q530" t="str">
        <f t="shared" si="84"/>
        <v>Varga Bence - KSE Tarján</v>
      </c>
      <c r="R530" t="s">
        <v>636</v>
      </c>
      <c r="S530" t="s">
        <v>636</v>
      </c>
      <c r="T530" t="s">
        <v>645</v>
      </c>
    </row>
    <row r="531" spans="1:20" x14ac:dyDescent="0.3">
      <c r="A531" s="2" t="s">
        <v>409</v>
      </c>
      <c r="B531" s="50" t="s">
        <v>154</v>
      </c>
      <c r="C531">
        <v>54</v>
      </c>
      <c r="D531" t="str">
        <f t="shared" si="80"/>
        <v>Kumite</v>
      </c>
      <c r="E531" t="str">
        <f t="shared" si="87"/>
        <v>Kumite, -, 45-55 kg, Gyerek 2. (11-12</v>
      </c>
      <c r="F531" s="83" t="s">
        <v>522</v>
      </c>
      <c r="G531" s="50" t="str">
        <f t="shared" si="88"/>
        <v>11</v>
      </c>
      <c r="H531" t="str">
        <f t="shared" si="83"/>
        <v>16 fős egyenes kiesés</v>
      </c>
      <c r="I531" s="67" t="s">
        <v>302</v>
      </c>
      <c r="J531" t="s">
        <v>432</v>
      </c>
      <c r="K531" t="s">
        <v>65</v>
      </c>
      <c r="L531" t="str">
        <f t="shared" si="72"/>
        <v>HUN</v>
      </c>
      <c r="M531">
        <v>3</v>
      </c>
      <c r="O531" s="83" t="s">
        <v>410</v>
      </c>
      <c r="P531" s="78">
        <v>45395</v>
      </c>
      <c r="Q531" t="str">
        <f t="shared" si="84"/>
        <v>Gaál-Vajai Tamás - Főnix Dojo</v>
      </c>
      <c r="R531" t="s">
        <v>636</v>
      </c>
      <c r="S531" t="s">
        <v>636</v>
      </c>
      <c r="T531" t="s">
        <v>645</v>
      </c>
    </row>
    <row r="532" spans="1:20" x14ac:dyDescent="0.3">
      <c r="A532" s="2" t="s">
        <v>409</v>
      </c>
      <c r="B532" s="50" t="s">
        <v>154</v>
      </c>
      <c r="C532">
        <v>54</v>
      </c>
      <c r="D532" t="str">
        <f t="shared" si="80"/>
        <v>Kumite</v>
      </c>
      <c r="E532" t="str">
        <f t="shared" si="87"/>
        <v>Kumite, -, 45-55 kg, Gyerek 2. (11-12</v>
      </c>
      <c r="F532" s="83" t="s">
        <v>522</v>
      </c>
      <c r="G532" s="50" t="str">
        <f t="shared" si="88"/>
        <v>11</v>
      </c>
      <c r="H532" t="str">
        <f t="shared" si="83"/>
        <v>16 fős egyenes kiesés</v>
      </c>
      <c r="I532" s="67" t="s">
        <v>302</v>
      </c>
      <c r="J532" t="s">
        <v>433</v>
      </c>
      <c r="K532" t="s">
        <v>318</v>
      </c>
      <c r="L532" t="str">
        <f t="shared" si="72"/>
        <v>HUN</v>
      </c>
      <c r="M532">
        <v>3</v>
      </c>
      <c r="O532" s="83" t="s">
        <v>410</v>
      </c>
      <c r="P532" s="78">
        <v>45395</v>
      </c>
      <c r="Q532" t="str">
        <f t="shared" si="84"/>
        <v>Száraz Zsombor - Derecske BUDO</v>
      </c>
      <c r="R532" t="s">
        <v>636</v>
      </c>
      <c r="S532" t="s">
        <v>636</v>
      </c>
      <c r="T532" t="s">
        <v>645</v>
      </c>
    </row>
    <row r="533" spans="1:20" x14ac:dyDescent="0.3">
      <c r="A533" s="2" t="s">
        <v>409</v>
      </c>
      <c r="B533" s="50" t="s">
        <v>154</v>
      </c>
      <c r="C533">
        <v>55</v>
      </c>
      <c r="D533" t="str">
        <f t="shared" si="80"/>
        <v>Kumite</v>
      </c>
      <c r="E533" t="str">
        <f>"Kumite, -, 55-200 kg, Gyerek 2. (11-12"</f>
        <v>Kumite, -, 55-200 kg, Gyerek 2. (11-12</v>
      </c>
      <c r="F533" s="83" t="s">
        <v>524</v>
      </c>
      <c r="G533" s="50" t="str">
        <f>"9"</f>
        <v>9</v>
      </c>
      <c r="H533" t="str">
        <f t="shared" si="83"/>
        <v>16 fős egyenes kiesés</v>
      </c>
      <c r="I533" s="50" t="str">
        <f>"1"</f>
        <v>1</v>
      </c>
      <c r="J533" t="str">
        <f>"Riczu Bendegúz"</f>
        <v>Riczu Bendegúz</v>
      </c>
      <c r="K533" t="str">
        <f>"Nozomu Dojo"</f>
        <v>Nozomu Dojo</v>
      </c>
      <c r="L533" t="str">
        <f t="shared" si="72"/>
        <v>HUN</v>
      </c>
      <c r="M533">
        <v>10</v>
      </c>
      <c r="O533" s="83" t="s">
        <v>410</v>
      </c>
      <c r="P533" s="78">
        <v>45395</v>
      </c>
      <c r="Q533" t="str">
        <f t="shared" si="84"/>
        <v>Riczu Bendegúz - Nozomu Dojo</v>
      </c>
      <c r="R533" t="s">
        <v>636</v>
      </c>
      <c r="S533" t="s">
        <v>636</v>
      </c>
      <c r="T533" t="s">
        <v>645</v>
      </c>
    </row>
    <row r="534" spans="1:20" x14ac:dyDescent="0.3">
      <c r="A534" s="2" t="s">
        <v>409</v>
      </c>
      <c r="B534" s="50" t="s">
        <v>154</v>
      </c>
      <c r="C534">
        <v>56</v>
      </c>
      <c r="D534" t="str">
        <f t="shared" si="80"/>
        <v>Kumite</v>
      </c>
      <c r="E534" t="str">
        <f>"Kumite, -, 55-200 kg, Gyerek 2. (11-12"</f>
        <v>Kumite, -, 55-200 kg, Gyerek 2. (11-12</v>
      </c>
      <c r="F534" s="83" t="s">
        <v>524</v>
      </c>
      <c r="G534" s="50" t="str">
        <f>"9"</f>
        <v>9</v>
      </c>
      <c r="H534" t="str">
        <f t="shared" si="83"/>
        <v>16 fős egyenes kiesés</v>
      </c>
      <c r="I534" s="50" t="str">
        <f>"2"</f>
        <v>2</v>
      </c>
      <c r="J534" t="str">
        <f>"Finta Csanád"</f>
        <v>Finta Csanád</v>
      </c>
      <c r="K534" t="str">
        <f>"Rakurai"</f>
        <v>Rakurai</v>
      </c>
      <c r="L534" t="str">
        <f t="shared" si="72"/>
        <v>HUN</v>
      </c>
      <c r="M534">
        <v>8</v>
      </c>
      <c r="O534" s="83" t="s">
        <v>410</v>
      </c>
      <c r="P534" s="78">
        <v>45395</v>
      </c>
      <c r="Q534" t="str">
        <f t="shared" si="84"/>
        <v>Finta Csanád - Rakurai</v>
      </c>
      <c r="R534" t="s">
        <v>636</v>
      </c>
      <c r="S534" t="s">
        <v>636</v>
      </c>
      <c r="T534" t="s">
        <v>645</v>
      </c>
    </row>
    <row r="535" spans="1:20" x14ac:dyDescent="0.3">
      <c r="A535" s="2" t="s">
        <v>409</v>
      </c>
      <c r="B535" s="50" t="s">
        <v>154</v>
      </c>
      <c r="C535">
        <v>57</v>
      </c>
      <c r="D535" t="str">
        <f t="shared" si="80"/>
        <v>Kumite</v>
      </c>
      <c r="E535" t="str">
        <f>"Kumite, -, 55-200 kg, Gyerek 2. (11-12"</f>
        <v>Kumite, -, 55-200 kg, Gyerek 2. (11-12</v>
      </c>
      <c r="F535" s="83" t="s">
        <v>524</v>
      </c>
      <c r="G535" s="50" t="str">
        <f>"9"</f>
        <v>9</v>
      </c>
      <c r="H535" t="str">
        <f t="shared" si="83"/>
        <v>16 fős egyenes kiesés</v>
      </c>
      <c r="I535" s="50" t="str">
        <f>"3"</f>
        <v>3</v>
      </c>
      <c r="J535" t="str">
        <f>"Elek János"</f>
        <v>Elek János</v>
      </c>
      <c r="K535" t="str">
        <f>"KHSE"</f>
        <v>KHSE</v>
      </c>
      <c r="L535" t="str">
        <f t="shared" si="72"/>
        <v>HUN</v>
      </c>
      <c r="M535">
        <v>6</v>
      </c>
      <c r="O535" s="83" t="s">
        <v>410</v>
      </c>
      <c r="P535" s="78">
        <v>45395</v>
      </c>
      <c r="Q535" t="str">
        <f t="shared" si="84"/>
        <v>Elek János - KHSE</v>
      </c>
      <c r="R535" t="s">
        <v>636</v>
      </c>
      <c r="S535" t="s">
        <v>636</v>
      </c>
      <c r="T535" t="s">
        <v>645</v>
      </c>
    </row>
    <row r="536" spans="1:20" x14ac:dyDescent="0.3">
      <c r="A536" s="2" t="s">
        <v>409</v>
      </c>
      <c r="B536" s="50" t="s">
        <v>154</v>
      </c>
      <c r="C536">
        <v>58</v>
      </c>
      <c r="D536" t="str">
        <f t="shared" si="80"/>
        <v>Kumite</v>
      </c>
      <c r="E536" t="str">
        <f>"Kumite, -, 55-200 kg, Gyerek 2. (11-12"</f>
        <v>Kumite, -, 55-200 kg, Gyerek 2. (11-12</v>
      </c>
      <c r="F536" s="83" t="s">
        <v>524</v>
      </c>
      <c r="G536" s="50" t="str">
        <f>"9"</f>
        <v>9</v>
      </c>
      <c r="H536" t="str">
        <f t="shared" si="83"/>
        <v>16 fős egyenes kiesés</v>
      </c>
      <c r="I536" s="50" t="str">
        <f>"3"</f>
        <v>3</v>
      </c>
      <c r="J536" t="str">
        <f>"Salga Márton"</f>
        <v>Salga Márton</v>
      </c>
      <c r="K536" t="str">
        <f>"Rokku KKSE"</f>
        <v>Rokku KKSE</v>
      </c>
      <c r="L536" t="str">
        <f t="shared" si="72"/>
        <v>HUN</v>
      </c>
      <c r="M536">
        <v>6</v>
      </c>
      <c r="O536" s="83" t="s">
        <v>410</v>
      </c>
      <c r="P536" s="78">
        <v>45395</v>
      </c>
      <c r="Q536" t="str">
        <f t="shared" si="84"/>
        <v>Salga Márton - Rokku KKSE</v>
      </c>
      <c r="R536" t="s">
        <v>636</v>
      </c>
      <c r="S536" t="s">
        <v>636</v>
      </c>
      <c r="T536" t="s">
        <v>645</v>
      </c>
    </row>
    <row r="537" spans="1:20" x14ac:dyDescent="0.3">
      <c r="A537" s="2" t="s">
        <v>409</v>
      </c>
      <c r="B537" s="50" t="s">
        <v>154</v>
      </c>
      <c r="C537">
        <v>59</v>
      </c>
      <c r="D537" t="str">
        <f t="shared" ref="D537:D544" si="89">"Kata"</f>
        <v>Kata</v>
      </c>
      <c r="E537" t="str">
        <f t="shared" ref="E537:E544" si="90">"Kata, -, 0-100 kg, Gyerek 2. (11-12"</f>
        <v>Kata, -, 0-100 kg, Gyerek 2. (11-12</v>
      </c>
      <c r="F537" s="83" t="s">
        <v>525</v>
      </c>
      <c r="G537" s="50" t="str">
        <f t="shared" ref="G537:G544" si="91">"15"</f>
        <v>15</v>
      </c>
      <c r="H537" t="str">
        <f t="shared" si="83"/>
        <v>16 fős egyenes kiesés</v>
      </c>
      <c r="I537" s="50" t="str">
        <f>"1"</f>
        <v>1</v>
      </c>
      <c r="J537" t="str">
        <f>"Maklaga Norbert"</f>
        <v>Maklaga Norbert</v>
      </c>
      <c r="K537" t="str">
        <f>"Kagami"</f>
        <v>Kagami</v>
      </c>
      <c r="L537" t="str">
        <f t="shared" si="72"/>
        <v>HUN</v>
      </c>
      <c r="M537">
        <v>8</v>
      </c>
      <c r="O537" s="83" t="s">
        <v>410</v>
      </c>
      <c r="P537" s="78">
        <v>45395</v>
      </c>
      <c r="Q537" t="str">
        <f t="shared" si="84"/>
        <v>Maklaga Norbert - Kagami</v>
      </c>
      <c r="R537" t="s">
        <v>636</v>
      </c>
      <c r="S537" t="s">
        <v>636</v>
      </c>
      <c r="T537" t="s">
        <v>645</v>
      </c>
    </row>
    <row r="538" spans="1:20" x14ac:dyDescent="0.3">
      <c r="A538" s="2" t="s">
        <v>409</v>
      </c>
      <c r="B538" s="50" t="s">
        <v>154</v>
      </c>
      <c r="C538">
        <v>60</v>
      </c>
      <c r="D538" t="str">
        <f t="shared" si="89"/>
        <v>Kata</v>
      </c>
      <c r="E538" t="str">
        <f t="shared" si="90"/>
        <v>Kata, -, 0-100 kg, Gyerek 2. (11-12</v>
      </c>
      <c r="F538" s="83" t="s">
        <v>525</v>
      </c>
      <c r="G538" s="50" t="str">
        <f t="shared" si="91"/>
        <v>15</v>
      </c>
      <c r="H538" t="str">
        <f t="shared" si="83"/>
        <v>16 fős egyenes kiesés</v>
      </c>
      <c r="I538" s="50" t="str">
        <f>"2"</f>
        <v>2</v>
      </c>
      <c r="J538" t="str">
        <f>"Remenyik Dániel"</f>
        <v>Remenyik Dániel</v>
      </c>
      <c r="K538" t="str">
        <f>"Shogun"</f>
        <v>Shogun</v>
      </c>
      <c r="L538" t="str">
        <f t="shared" si="72"/>
        <v>HUN</v>
      </c>
      <c r="M538">
        <v>6</v>
      </c>
      <c r="O538" s="83" t="s">
        <v>410</v>
      </c>
      <c r="P538" s="78">
        <v>45395</v>
      </c>
      <c r="Q538" t="str">
        <f t="shared" si="84"/>
        <v>Remenyik Dániel - Shogun</v>
      </c>
      <c r="R538" t="s">
        <v>636</v>
      </c>
      <c r="S538" t="s">
        <v>636</v>
      </c>
      <c r="T538" t="s">
        <v>645</v>
      </c>
    </row>
    <row r="539" spans="1:20" x14ac:dyDescent="0.3">
      <c r="A539" s="2" t="s">
        <v>409</v>
      </c>
      <c r="B539" s="50" t="s">
        <v>154</v>
      </c>
      <c r="C539">
        <v>61</v>
      </c>
      <c r="D539" t="str">
        <f t="shared" si="89"/>
        <v>Kata</v>
      </c>
      <c r="E539" t="str">
        <f t="shared" si="90"/>
        <v>Kata, -, 0-100 kg, Gyerek 2. (11-12</v>
      </c>
      <c r="F539" s="83" t="s">
        <v>525</v>
      </c>
      <c r="G539" s="50" t="str">
        <f t="shared" si="91"/>
        <v>15</v>
      </c>
      <c r="H539" t="str">
        <f t="shared" si="83"/>
        <v>16 fős egyenes kiesés</v>
      </c>
      <c r="I539" s="50" t="str">
        <f>"3"</f>
        <v>3</v>
      </c>
      <c r="J539" t="str">
        <f>"Székely Lázár"</f>
        <v>Székely Lázár</v>
      </c>
      <c r="K539" t="str">
        <f>"KYO Fighter SE"</f>
        <v>KYO Fighter SE</v>
      </c>
      <c r="L539" t="str">
        <f t="shared" si="72"/>
        <v>HUN</v>
      </c>
      <c r="M539">
        <v>4</v>
      </c>
      <c r="O539" s="83" t="s">
        <v>410</v>
      </c>
      <c r="P539" s="78">
        <v>45395</v>
      </c>
      <c r="Q539" t="str">
        <f t="shared" si="84"/>
        <v>Székely Lázár - KYO Fighter SE</v>
      </c>
      <c r="R539" t="s">
        <v>636</v>
      </c>
      <c r="S539" t="s">
        <v>636</v>
      </c>
      <c r="T539" t="s">
        <v>645</v>
      </c>
    </row>
    <row r="540" spans="1:20" x14ac:dyDescent="0.3">
      <c r="A540" s="2" t="s">
        <v>409</v>
      </c>
      <c r="B540" s="50" t="s">
        <v>154</v>
      </c>
      <c r="C540">
        <v>62</v>
      </c>
      <c r="D540" t="str">
        <f t="shared" si="89"/>
        <v>Kata</v>
      </c>
      <c r="E540" t="str">
        <f t="shared" si="90"/>
        <v>Kata, -, 0-100 kg, Gyerek 2. (11-12</v>
      </c>
      <c r="F540" s="83" t="s">
        <v>525</v>
      </c>
      <c r="G540" s="50" t="str">
        <f t="shared" si="91"/>
        <v>15</v>
      </c>
      <c r="H540" t="str">
        <f t="shared" si="83"/>
        <v>16 fős egyenes kiesés</v>
      </c>
      <c r="I540" s="50" t="str">
        <f>"3"</f>
        <v>3</v>
      </c>
      <c r="J540" t="str">
        <f>"Kozma Ákos"</f>
        <v>Kozma Ákos</v>
      </c>
      <c r="K540" t="str">
        <f>"Shogun"</f>
        <v>Shogun</v>
      </c>
      <c r="L540" t="str">
        <f t="shared" si="72"/>
        <v>HUN</v>
      </c>
      <c r="M540">
        <v>4</v>
      </c>
      <c r="O540" s="83" t="s">
        <v>410</v>
      </c>
      <c r="P540" s="78">
        <v>45395</v>
      </c>
      <c r="Q540" t="str">
        <f t="shared" si="84"/>
        <v>Kozma Ákos - Shogun</v>
      </c>
      <c r="R540" t="s">
        <v>636</v>
      </c>
      <c r="S540" t="s">
        <v>636</v>
      </c>
      <c r="T540" t="s">
        <v>645</v>
      </c>
    </row>
    <row r="541" spans="1:20" x14ac:dyDescent="0.3">
      <c r="A541" s="2" t="s">
        <v>409</v>
      </c>
      <c r="B541" s="50" t="s">
        <v>154</v>
      </c>
      <c r="C541">
        <v>62</v>
      </c>
      <c r="D541" t="str">
        <f t="shared" si="89"/>
        <v>Kata</v>
      </c>
      <c r="E541" t="str">
        <f t="shared" si="90"/>
        <v>Kata, -, 0-100 kg, Gyerek 2. (11-12</v>
      </c>
      <c r="F541" s="83" t="s">
        <v>525</v>
      </c>
      <c r="G541" s="50" t="str">
        <f t="shared" si="91"/>
        <v>15</v>
      </c>
      <c r="H541" t="str">
        <f t="shared" si="83"/>
        <v>16 fős egyenes kiesés</v>
      </c>
      <c r="I541" s="67" t="s">
        <v>302</v>
      </c>
      <c r="J541" t="s">
        <v>429</v>
      </c>
      <c r="K541" t="s">
        <v>14</v>
      </c>
      <c r="L541" t="str">
        <f t="shared" si="72"/>
        <v>HUN</v>
      </c>
      <c r="M541">
        <v>2</v>
      </c>
      <c r="O541" s="83" t="s">
        <v>410</v>
      </c>
      <c r="P541" s="78">
        <v>45395</v>
      </c>
      <c r="Q541" t="str">
        <f t="shared" si="84"/>
        <v>Szabó Péter Nimród - Shogun</v>
      </c>
      <c r="R541" t="s">
        <v>636</v>
      </c>
      <c r="S541" t="s">
        <v>636</v>
      </c>
      <c r="T541" t="s">
        <v>645</v>
      </c>
    </row>
    <row r="542" spans="1:20" x14ac:dyDescent="0.3">
      <c r="A542" s="2" t="s">
        <v>409</v>
      </c>
      <c r="B542" s="50" t="s">
        <v>154</v>
      </c>
      <c r="C542">
        <v>62</v>
      </c>
      <c r="D542" t="str">
        <f t="shared" si="89"/>
        <v>Kata</v>
      </c>
      <c r="E542" t="str">
        <f t="shared" si="90"/>
        <v>Kata, -, 0-100 kg, Gyerek 2. (11-12</v>
      </c>
      <c r="F542" s="83" t="s">
        <v>525</v>
      </c>
      <c r="G542" s="50" t="str">
        <f t="shared" si="91"/>
        <v>15</v>
      </c>
      <c r="H542" t="str">
        <f t="shared" si="83"/>
        <v>16 fős egyenes kiesés</v>
      </c>
      <c r="I542" s="67" t="s">
        <v>302</v>
      </c>
      <c r="J542" t="s">
        <v>449</v>
      </c>
      <c r="K542" t="s">
        <v>47</v>
      </c>
      <c r="L542" t="str">
        <f t="shared" si="72"/>
        <v>HUN</v>
      </c>
      <c r="M542">
        <v>2</v>
      </c>
      <c r="O542" s="83" t="s">
        <v>410</v>
      </c>
      <c r="P542" s="78">
        <v>45395</v>
      </c>
      <c r="Q542" t="str">
        <f t="shared" si="84"/>
        <v>Nádasdi Dávid - BHMSE</v>
      </c>
      <c r="R542" t="s">
        <v>636</v>
      </c>
      <c r="S542" t="s">
        <v>636</v>
      </c>
      <c r="T542" t="s">
        <v>645</v>
      </c>
    </row>
    <row r="543" spans="1:20" x14ac:dyDescent="0.3">
      <c r="A543" s="2" t="s">
        <v>409</v>
      </c>
      <c r="B543" s="50" t="s">
        <v>154</v>
      </c>
      <c r="C543">
        <v>62</v>
      </c>
      <c r="D543" t="str">
        <f t="shared" si="89"/>
        <v>Kata</v>
      </c>
      <c r="E543" t="str">
        <f t="shared" si="90"/>
        <v>Kata, -, 0-100 kg, Gyerek 2. (11-12</v>
      </c>
      <c r="F543" s="83" t="s">
        <v>525</v>
      </c>
      <c r="G543" s="50" t="str">
        <f t="shared" si="91"/>
        <v>15</v>
      </c>
      <c r="H543" t="str">
        <f t="shared" si="83"/>
        <v>16 fős egyenes kiesés</v>
      </c>
      <c r="I543" s="67" t="s">
        <v>302</v>
      </c>
      <c r="J543" t="s">
        <v>450</v>
      </c>
      <c r="K543" t="s">
        <v>318</v>
      </c>
      <c r="L543" t="str">
        <f t="shared" si="72"/>
        <v>HUN</v>
      </c>
      <c r="M543">
        <v>2</v>
      </c>
      <c r="O543" s="83" t="s">
        <v>410</v>
      </c>
      <c r="P543" s="78">
        <v>45395</v>
      </c>
      <c r="Q543" t="str">
        <f t="shared" si="84"/>
        <v>Kiss Zoltán János - Derecske BUDO</v>
      </c>
      <c r="R543" t="s">
        <v>636</v>
      </c>
      <c r="S543" t="s">
        <v>636</v>
      </c>
      <c r="T543" t="s">
        <v>645</v>
      </c>
    </row>
    <row r="544" spans="1:20" x14ac:dyDescent="0.3">
      <c r="A544" s="2" t="s">
        <v>409</v>
      </c>
      <c r="B544" s="50" t="s">
        <v>154</v>
      </c>
      <c r="C544">
        <v>62</v>
      </c>
      <c r="D544" t="str">
        <f t="shared" si="89"/>
        <v>Kata</v>
      </c>
      <c r="E544" t="str">
        <f t="shared" si="90"/>
        <v>Kata, -, 0-100 kg, Gyerek 2. (11-12</v>
      </c>
      <c r="F544" s="83" t="s">
        <v>525</v>
      </c>
      <c r="G544" s="50" t="str">
        <f t="shared" si="91"/>
        <v>15</v>
      </c>
      <c r="H544" t="str">
        <f t="shared" si="83"/>
        <v>16 fős egyenes kiesés</v>
      </c>
      <c r="I544" s="67" t="s">
        <v>302</v>
      </c>
      <c r="J544" t="s">
        <v>348</v>
      </c>
      <c r="K544" t="s">
        <v>150</v>
      </c>
      <c r="L544" t="str">
        <f t="shared" si="72"/>
        <v>HUN</v>
      </c>
      <c r="M544">
        <v>2</v>
      </c>
      <c r="O544" s="83" t="s">
        <v>410</v>
      </c>
      <c r="P544" s="78">
        <v>45395</v>
      </c>
      <c r="Q544" t="str">
        <f t="shared" si="84"/>
        <v>Moosbauer Kevin - KSE Tarján</v>
      </c>
      <c r="R544" t="s">
        <v>636</v>
      </c>
      <c r="S544" t="s">
        <v>636</v>
      </c>
      <c r="T544" t="s">
        <v>645</v>
      </c>
    </row>
    <row r="545" spans="1:20" x14ac:dyDescent="0.3">
      <c r="A545" s="2" t="s">
        <v>409</v>
      </c>
      <c r="B545" s="50" t="s">
        <v>154</v>
      </c>
      <c r="C545">
        <v>63</v>
      </c>
      <c r="D545" t="str">
        <f t="shared" ref="D545:D562" si="92">"Kumite"</f>
        <v>Kumite</v>
      </c>
      <c r="E545" t="str">
        <f>"Kumite, -, 0-35 kg, Gyerek 2. (11-12"</f>
        <v>Kumite, -, 0-35 kg, Gyerek 2. (11-12</v>
      </c>
      <c r="F545" s="83" t="s">
        <v>517</v>
      </c>
      <c r="G545" s="50" t="str">
        <f>"5"</f>
        <v>5</v>
      </c>
      <c r="H545" t="str">
        <f>"5 fős körmérkőzés"</f>
        <v>5 fős körmérkőzés</v>
      </c>
      <c r="I545" s="50" t="str">
        <f>"1"</f>
        <v>1</v>
      </c>
      <c r="J545" t="str">
        <f>"Csató Réka"</f>
        <v>Csató Réka</v>
      </c>
      <c r="K545" t="str">
        <f>"Keizoku SE"</f>
        <v>Keizoku SE</v>
      </c>
      <c r="L545" t="str">
        <f t="shared" ref="L545:L608" si="93">"HUN"</f>
        <v>HUN</v>
      </c>
      <c r="M545">
        <v>10</v>
      </c>
      <c r="O545" s="83" t="s">
        <v>410</v>
      </c>
      <c r="P545" s="78">
        <v>45395</v>
      </c>
      <c r="Q545" t="str">
        <f t="shared" si="84"/>
        <v>Csató Réka - Keizoku SE</v>
      </c>
      <c r="R545" t="s">
        <v>636</v>
      </c>
      <c r="S545" t="s">
        <v>636</v>
      </c>
      <c r="T545" t="s">
        <v>645</v>
      </c>
    </row>
    <row r="546" spans="1:20" x14ac:dyDescent="0.3">
      <c r="A546" s="2" t="s">
        <v>409</v>
      </c>
      <c r="B546" s="50" t="s">
        <v>154</v>
      </c>
      <c r="C546">
        <v>64</v>
      </c>
      <c r="D546" t="str">
        <f t="shared" si="92"/>
        <v>Kumite</v>
      </c>
      <c r="E546" t="str">
        <f>"Kumite, -, 0-35 kg, Gyerek 2. (11-12"</f>
        <v>Kumite, -, 0-35 kg, Gyerek 2. (11-12</v>
      </c>
      <c r="F546" s="83" t="s">
        <v>517</v>
      </c>
      <c r="G546" s="50" t="str">
        <f>"5"</f>
        <v>5</v>
      </c>
      <c r="H546" t="str">
        <f>"5 fős körmérkőzés"</f>
        <v>5 fős körmérkőzés</v>
      </c>
      <c r="I546" s="50" t="str">
        <f>"2"</f>
        <v>2</v>
      </c>
      <c r="J546" t="str">
        <f>"Gál Petra Andrea"</f>
        <v>Gál Petra Andrea</v>
      </c>
      <c r="K546" t="str">
        <f>"Fitt SE"</f>
        <v>Fitt SE</v>
      </c>
      <c r="L546" t="str">
        <f t="shared" si="93"/>
        <v>HUN</v>
      </c>
      <c r="M546">
        <v>8</v>
      </c>
      <c r="O546" s="83" t="s">
        <v>410</v>
      </c>
      <c r="P546" s="78">
        <v>45395</v>
      </c>
      <c r="Q546" t="str">
        <f t="shared" si="84"/>
        <v>Gál Petra Andrea - Fitt SE</v>
      </c>
      <c r="R546" t="s">
        <v>636</v>
      </c>
      <c r="S546" t="s">
        <v>636</v>
      </c>
      <c r="T546" t="s">
        <v>645</v>
      </c>
    </row>
    <row r="547" spans="1:20" x14ac:dyDescent="0.3">
      <c r="A547" s="2" t="s">
        <v>409</v>
      </c>
      <c r="B547" s="50" t="s">
        <v>154</v>
      </c>
      <c r="C547">
        <v>65</v>
      </c>
      <c r="D547" t="str">
        <f t="shared" si="92"/>
        <v>Kumite</v>
      </c>
      <c r="E547" t="str">
        <f>"Kumite, -, 0-35 kg, Gyerek 2. (11-12"</f>
        <v>Kumite, -, 0-35 kg, Gyerek 2. (11-12</v>
      </c>
      <c r="F547" s="83" t="s">
        <v>517</v>
      </c>
      <c r="G547" s="50" t="str">
        <f>"5"</f>
        <v>5</v>
      </c>
      <c r="H547" t="str">
        <f>"5 fős körmérkőzés"</f>
        <v>5 fős körmérkőzés</v>
      </c>
      <c r="I547" s="50" t="str">
        <f>"3"</f>
        <v>3</v>
      </c>
      <c r="J547" t="str">
        <f>"Horváth Liliána"</f>
        <v>Horváth Liliána</v>
      </c>
      <c r="K547" t="str">
        <f>"Kamikaze S"</f>
        <v>Kamikaze S</v>
      </c>
      <c r="L547" t="str">
        <f t="shared" si="93"/>
        <v>HUN</v>
      </c>
      <c r="M547">
        <v>6</v>
      </c>
      <c r="O547" s="83" t="s">
        <v>410</v>
      </c>
      <c r="P547" s="78">
        <v>45395</v>
      </c>
      <c r="Q547" t="str">
        <f t="shared" si="84"/>
        <v>Horváth Liliána - Kamikaze S</v>
      </c>
      <c r="R547" t="s">
        <v>636</v>
      </c>
      <c r="S547" t="s">
        <v>636</v>
      </c>
      <c r="T547" t="s">
        <v>645</v>
      </c>
    </row>
    <row r="548" spans="1:20" x14ac:dyDescent="0.3">
      <c r="A548" s="2" t="s">
        <v>409</v>
      </c>
      <c r="B548" s="50" t="s">
        <v>154</v>
      </c>
      <c r="C548">
        <v>65</v>
      </c>
      <c r="D548" t="str">
        <f t="shared" si="92"/>
        <v>Kumite</v>
      </c>
      <c r="E548" t="str">
        <f>"Kumite, -, 0-35 kg, Gyerek 2. (11-12"</f>
        <v>Kumite, -, 0-35 kg, Gyerek 2. (11-12</v>
      </c>
      <c r="F548" s="83" t="s">
        <v>517</v>
      </c>
      <c r="G548" s="50" t="str">
        <f>"5"</f>
        <v>5</v>
      </c>
      <c r="H548" t="str">
        <f>"5 fős körmérkőzés"</f>
        <v>5 fős körmérkőzés</v>
      </c>
      <c r="I548" s="50">
        <v>4</v>
      </c>
      <c r="J548" t="s">
        <v>413</v>
      </c>
      <c r="K548" t="s">
        <v>117</v>
      </c>
      <c r="L548" t="str">
        <f t="shared" si="93"/>
        <v>HUN</v>
      </c>
      <c r="M548">
        <v>4</v>
      </c>
      <c r="O548" s="83" t="s">
        <v>410</v>
      </c>
      <c r="P548" s="78">
        <v>45395</v>
      </c>
      <c r="Q548" t="str">
        <f t="shared" si="84"/>
        <v>Wölfinger Liza - Griff SE</v>
      </c>
      <c r="R548" t="s">
        <v>636</v>
      </c>
      <c r="S548" t="s">
        <v>636</v>
      </c>
      <c r="T548" t="s">
        <v>645</v>
      </c>
    </row>
    <row r="549" spans="1:20" x14ac:dyDescent="0.3">
      <c r="A549" s="2" t="s">
        <v>409</v>
      </c>
      <c r="B549" s="50" t="s">
        <v>154</v>
      </c>
      <c r="C549">
        <v>66</v>
      </c>
      <c r="D549" t="str">
        <f t="shared" si="92"/>
        <v>Kumite</v>
      </c>
      <c r="E549" t="str">
        <f>"Kumite, -, 35-40 kg, Gyerek 2. (11-12"</f>
        <v>Kumite, -, 35-40 kg, Gyerek 2. (11-12</v>
      </c>
      <c r="F549" s="83" t="s">
        <v>523</v>
      </c>
      <c r="G549" s="50" t="str">
        <f>"8"</f>
        <v>8</v>
      </c>
      <c r="H549" t="str">
        <f>"8 fős egyenes kiesés"</f>
        <v>8 fős egyenes kiesés</v>
      </c>
      <c r="I549" s="50" t="str">
        <f>"1"</f>
        <v>1</v>
      </c>
      <c r="J549" t="str">
        <f>"Horváth Réka"</f>
        <v>Horváth Réka</v>
      </c>
      <c r="K549" t="str">
        <f>"Castrum"</f>
        <v>Castrum</v>
      </c>
      <c r="L549" t="str">
        <f t="shared" si="93"/>
        <v>HUN</v>
      </c>
      <c r="M549">
        <v>8</v>
      </c>
      <c r="O549" s="83" t="s">
        <v>410</v>
      </c>
      <c r="P549" s="78">
        <v>45395</v>
      </c>
      <c r="Q549" t="str">
        <f t="shared" si="84"/>
        <v>Horváth Réka - Castrum</v>
      </c>
      <c r="R549" t="s">
        <v>636</v>
      </c>
      <c r="S549" t="s">
        <v>636</v>
      </c>
      <c r="T549" t="s">
        <v>645</v>
      </c>
    </row>
    <row r="550" spans="1:20" x14ac:dyDescent="0.3">
      <c r="A550" s="2" t="s">
        <v>409</v>
      </c>
      <c r="B550" s="50" t="s">
        <v>154</v>
      </c>
      <c r="C550">
        <v>67</v>
      </c>
      <c r="D550" t="str">
        <f t="shared" si="92"/>
        <v>Kumite</v>
      </c>
      <c r="E550" t="str">
        <f>"Kumite, -, 35-40 kg, Gyerek 2. (11-12"</f>
        <v>Kumite, -, 35-40 kg, Gyerek 2. (11-12</v>
      </c>
      <c r="F550" s="83" t="s">
        <v>523</v>
      </c>
      <c r="G550" s="50" t="str">
        <f>"8"</f>
        <v>8</v>
      </c>
      <c r="H550" t="str">
        <f>"8 fős egyenes kiesés"</f>
        <v>8 fős egyenes kiesés</v>
      </c>
      <c r="I550" s="50" t="str">
        <f>"2"</f>
        <v>2</v>
      </c>
      <c r="J550" t="str">
        <f>"Novák Noémi"</f>
        <v>Novák Noémi</v>
      </c>
      <c r="K550" t="str">
        <f>"Bendiák Dojo"</f>
        <v>Bendiák Dojo</v>
      </c>
      <c r="L550" t="str">
        <f t="shared" si="93"/>
        <v>HUN</v>
      </c>
      <c r="M550">
        <v>6</v>
      </c>
      <c r="O550" s="83" t="s">
        <v>410</v>
      </c>
      <c r="P550" s="78">
        <v>45395</v>
      </c>
      <c r="Q550" t="str">
        <f t="shared" si="84"/>
        <v>Novák Noémi - Bendiák Dojo</v>
      </c>
      <c r="R550" t="s">
        <v>636</v>
      </c>
      <c r="S550" t="s">
        <v>636</v>
      </c>
      <c r="T550" t="s">
        <v>645</v>
      </c>
    </row>
    <row r="551" spans="1:20" x14ac:dyDescent="0.3">
      <c r="A551" s="2" t="s">
        <v>409</v>
      </c>
      <c r="B551" s="50" t="s">
        <v>154</v>
      </c>
      <c r="C551">
        <v>68</v>
      </c>
      <c r="D551" t="str">
        <f t="shared" si="92"/>
        <v>Kumite</v>
      </c>
      <c r="E551" t="str">
        <f>"Kumite, -, 35-40 kg, Gyerek 2. (11-12"</f>
        <v>Kumite, -, 35-40 kg, Gyerek 2. (11-12</v>
      </c>
      <c r="F551" s="83" t="s">
        <v>523</v>
      </c>
      <c r="G551" s="50" t="str">
        <f>"8"</f>
        <v>8</v>
      </c>
      <c r="H551" t="str">
        <f>"8 fős egyenes kiesés"</f>
        <v>8 fős egyenes kiesés</v>
      </c>
      <c r="I551" s="50" t="str">
        <f>"3"</f>
        <v>3</v>
      </c>
      <c r="J551" t="str">
        <f>"Szelőczei Noémi"</f>
        <v>Szelőczei Noémi</v>
      </c>
      <c r="K551" t="str">
        <f>"Cs.S.E."</f>
        <v>Cs.S.E.</v>
      </c>
      <c r="L551" t="str">
        <f t="shared" si="93"/>
        <v>HUN</v>
      </c>
      <c r="M551">
        <v>4</v>
      </c>
      <c r="O551" s="83" t="s">
        <v>410</v>
      </c>
      <c r="P551" s="78">
        <v>45395</v>
      </c>
      <c r="Q551" t="str">
        <f t="shared" si="84"/>
        <v>Szelőczei Noémi - Cs.S.E.</v>
      </c>
      <c r="R551" t="s">
        <v>636</v>
      </c>
      <c r="S551" t="s">
        <v>636</v>
      </c>
      <c r="T551" t="s">
        <v>645</v>
      </c>
    </row>
    <row r="552" spans="1:20" x14ac:dyDescent="0.3">
      <c r="A552" s="2" t="s">
        <v>409</v>
      </c>
      <c r="B552" s="50" t="s">
        <v>154</v>
      </c>
      <c r="C552">
        <v>69</v>
      </c>
      <c r="D552" t="str">
        <f t="shared" si="92"/>
        <v>Kumite</v>
      </c>
      <c r="E552" t="str">
        <f>"Kumite, -, 35-40 kg, Gyerek 2. (11-12"</f>
        <v>Kumite, -, 35-40 kg, Gyerek 2. (11-12</v>
      </c>
      <c r="F552" s="83" t="s">
        <v>523</v>
      </c>
      <c r="G552" s="50" t="str">
        <f>"8"</f>
        <v>8</v>
      </c>
      <c r="H552" t="str">
        <f>"8 fős egyenes kiesés"</f>
        <v>8 fős egyenes kiesés</v>
      </c>
      <c r="I552" s="50" t="str">
        <f>"3"</f>
        <v>3</v>
      </c>
      <c r="J552" t="str">
        <f>"Szabó Lili"</f>
        <v>Szabó Lili</v>
      </c>
      <c r="K552" t="str">
        <f>"Kisvárda KKDOSC"</f>
        <v>Kisvárda KKDOSC</v>
      </c>
      <c r="L552" t="str">
        <f t="shared" si="93"/>
        <v>HUN</v>
      </c>
      <c r="M552">
        <v>4</v>
      </c>
      <c r="O552" s="83" t="s">
        <v>410</v>
      </c>
      <c r="P552" s="78">
        <v>45395</v>
      </c>
      <c r="Q552" t="str">
        <f t="shared" si="84"/>
        <v>Szabó Lili - Kisvárda KKDOSC</v>
      </c>
      <c r="R552" t="s">
        <v>636</v>
      </c>
      <c r="S552" t="s">
        <v>636</v>
      </c>
      <c r="T552" t="s">
        <v>645</v>
      </c>
    </row>
    <row r="553" spans="1:20" x14ac:dyDescent="0.3">
      <c r="A553" s="2" t="s">
        <v>409</v>
      </c>
      <c r="B553" s="50" t="s">
        <v>154</v>
      </c>
      <c r="C553">
        <v>70</v>
      </c>
      <c r="D553" t="str">
        <f t="shared" si="92"/>
        <v>Kumite</v>
      </c>
      <c r="E553" t="str">
        <f t="shared" ref="E553:E558" si="94">"Kumite, -, 40-45 kg, Gyerek 2. (11-12"</f>
        <v>Kumite, -, 40-45 kg, Gyerek 2. (11-12</v>
      </c>
      <c r="F553" s="83" t="s">
        <v>527</v>
      </c>
      <c r="G553" s="50" t="str">
        <f t="shared" ref="G553:G558" si="95">"13"</f>
        <v>13</v>
      </c>
      <c r="H553" t="str">
        <f t="shared" ref="H553:H558" si="96">"16 fős egyenes kiesés"</f>
        <v>16 fős egyenes kiesés</v>
      </c>
      <c r="I553" s="50" t="str">
        <f>"1"</f>
        <v>1</v>
      </c>
      <c r="J553" t="str">
        <f>"Szabó Anna Tímea"</f>
        <v>Szabó Anna Tímea</v>
      </c>
      <c r="K553" t="str">
        <f>"Katana SE"</f>
        <v>Katana SE</v>
      </c>
      <c r="L553" t="str">
        <f t="shared" si="93"/>
        <v>HUN</v>
      </c>
      <c r="M553">
        <v>10</v>
      </c>
      <c r="O553" s="83" t="s">
        <v>410</v>
      </c>
      <c r="P553" s="78">
        <v>45395</v>
      </c>
      <c r="Q553" t="str">
        <f t="shared" si="84"/>
        <v>Szabó Anna Tímea - Katana SE</v>
      </c>
      <c r="R553" t="s">
        <v>636</v>
      </c>
      <c r="S553" t="s">
        <v>636</v>
      </c>
      <c r="T553" t="s">
        <v>645</v>
      </c>
    </row>
    <row r="554" spans="1:20" x14ac:dyDescent="0.3">
      <c r="A554" s="2" t="s">
        <v>409</v>
      </c>
      <c r="B554" s="50" t="s">
        <v>154</v>
      </c>
      <c r="C554">
        <v>71</v>
      </c>
      <c r="D554" t="str">
        <f t="shared" si="92"/>
        <v>Kumite</v>
      </c>
      <c r="E554" t="str">
        <f t="shared" si="94"/>
        <v>Kumite, -, 40-45 kg, Gyerek 2. (11-12</v>
      </c>
      <c r="F554" s="83" t="s">
        <v>527</v>
      </c>
      <c r="G554" s="50" t="str">
        <f t="shared" si="95"/>
        <v>13</v>
      </c>
      <c r="H554" t="str">
        <f t="shared" si="96"/>
        <v>16 fős egyenes kiesés</v>
      </c>
      <c r="I554" s="50" t="str">
        <f>"2"</f>
        <v>2</v>
      </c>
      <c r="J554" t="str">
        <f>"Mészáros Lili Dóra"</f>
        <v>Mészáros Lili Dóra</v>
      </c>
      <c r="K554" t="str">
        <f>"KSE Tarján"</f>
        <v>KSE Tarján</v>
      </c>
      <c r="L554" t="str">
        <f t="shared" si="93"/>
        <v>HUN</v>
      </c>
      <c r="M554">
        <v>8</v>
      </c>
      <c r="O554" s="83" t="s">
        <v>410</v>
      </c>
      <c r="P554" s="78">
        <v>45395</v>
      </c>
      <c r="Q554" t="str">
        <f t="shared" si="84"/>
        <v>Mészáros Lili Dóra - KSE Tarján</v>
      </c>
      <c r="R554" t="s">
        <v>636</v>
      </c>
      <c r="S554" t="s">
        <v>636</v>
      </c>
      <c r="T554" t="s">
        <v>645</v>
      </c>
    </row>
    <row r="555" spans="1:20" x14ac:dyDescent="0.3">
      <c r="A555" s="2" t="s">
        <v>409</v>
      </c>
      <c r="B555" s="50" t="s">
        <v>154</v>
      </c>
      <c r="C555">
        <v>72</v>
      </c>
      <c r="D555" t="str">
        <f t="shared" si="92"/>
        <v>Kumite</v>
      </c>
      <c r="E555" t="str">
        <f t="shared" si="94"/>
        <v>Kumite, -, 40-45 kg, Gyerek 2. (11-12</v>
      </c>
      <c r="F555" s="83" t="s">
        <v>527</v>
      </c>
      <c r="G555" s="50" t="str">
        <f t="shared" si="95"/>
        <v>13</v>
      </c>
      <c r="H555" t="str">
        <f t="shared" si="96"/>
        <v>16 fős egyenes kiesés</v>
      </c>
      <c r="I555" s="50" t="str">
        <f>"3"</f>
        <v>3</v>
      </c>
      <c r="J555" t="str">
        <f>"Ványi Amira"</f>
        <v>Ványi Amira</v>
      </c>
      <c r="K555" t="str">
        <f>"POWER SE."</f>
        <v>POWER SE.</v>
      </c>
      <c r="L555" t="str">
        <f t="shared" si="93"/>
        <v>HUN</v>
      </c>
      <c r="M555">
        <v>6</v>
      </c>
      <c r="O555" s="83" t="s">
        <v>410</v>
      </c>
      <c r="P555" s="78">
        <v>45395</v>
      </c>
      <c r="Q555" t="str">
        <f t="shared" si="84"/>
        <v>Ványi Amira - POWER SE.</v>
      </c>
      <c r="R555" t="s">
        <v>636</v>
      </c>
      <c r="S555" t="s">
        <v>636</v>
      </c>
      <c r="T555" t="s">
        <v>645</v>
      </c>
    </row>
    <row r="556" spans="1:20" x14ac:dyDescent="0.3">
      <c r="A556" s="2" t="s">
        <v>409</v>
      </c>
      <c r="B556" s="50" t="s">
        <v>154</v>
      </c>
      <c r="C556">
        <v>73</v>
      </c>
      <c r="D556" t="str">
        <f t="shared" si="92"/>
        <v>Kumite</v>
      </c>
      <c r="E556" t="str">
        <f t="shared" si="94"/>
        <v>Kumite, -, 40-45 kg, Gyerek 2. (11-12</v>
      </c>
      <c r="F556" s="83" t="s">
        <v>527</v>
      </c>
      <c r="G556" s="50" t="str">
        <f t="shared" si="95"/>
        <v>13</v>
      </c>
      <c r="H556" t="str">
        <f t="shared" si="96"/>
        <v>16 fős egyenes kiesés</v>
      </c>
      <c r="I556" s="50" t="str">
        <f>"3"</f>
        <v>3</v>
      </c>
      <c r="J556" t="str">
        <f>"Galyas Edit"</f>
        <v>Galyas Edit</v>
      </c>
      <c r="K556" t="str">
        <f>"Nyíradonyi KKE"</f>
        <v>Nyíradonyi KKE</v>
      </c>
      <c r="L556" t="str">
        <f t="shared" si="93"/>
        <v>HUN</v>
      </c>
      <c r="M556">
        <v>6</v>
      </c>
      <c r="O556" s="83" t="s">
        <v>410</v>
      </c>
      <c r="P556" s="78">
        <v>45395</v>
      </c>
      <c r="Q556" t="str">
        <f t="shared" si="84"/>
        <v>Galyas Edit - Nyíradonyi KKE</v>
      </c>
      <c r="R556" t="s">
        <v>636</v>
      </c>
      <c r="S556" t="s">
        <v>636</v>
      </c>
      <c r="T556" t="s">
        <v>645</v>
      </c>
    </row>
    <row r="557" spans="1:20" x14ac:dyDescent="0.3">
      <c r="A557" s="2" t="s">
        <v>409</v>
      </c>
      <c r="B557" s="50" t="s">
        <v>154</v>
      </c>
      <c r="C557">
        <v>73</v>
      </c>
      <c r="D557" t="str">
        <f t="shared" si="92"/>
        <v>Kumite</v>
      </c>
      <c r="E557" t="str">
        <f t="shared" si="94"/>
        <v>Kumite, -, 40-45 kg, Gyerek 2. (11-12</v>
      </c>
      <c r="F557" s="83" t="s">
        <v>527</v>
      </c>
      <c r="G557" s="50" t="str">
        <f t="shared" si="95"/>
        <v>13</v>
      </c>
      <c r="H557" t="str">
        <f t="shared" si="96"/>
        <v>16 fős egyenes kiesés</v>
      </c>
      <c r="I557" s="67" t="s">
        <v>302</v>
      </c>
      <c r="J557" t="s">
        <v>439</v>
      </c>
      <c r="K557" t="s">
        <v>150</v>
      </c>
      <c r="L557" t="str">
        <f t="shared" si="93"/>
        <v>HUN</v>
      </c>
      <c r="M557">
        <v>3</v>
      </c>
      <c r="O557" s="83" t="s">
        <v>410</v>
      </c>
      <c r="P557" s="78">
        <v>45395</v>
      </c>
      <c r="Q557" t="str">
        <f t="shared" si="84"/>
        <v>Gecsei Emma Borbála - KSE Tarján</v>
      </c>
      <c r="R557" t="s">
        <v>636</v>
      </c>
      <c r="S557" t="s">
        <v>636</v>
      </c>
      <c r="T557" t="s">
        <v>645</v>
      </c>
    </row>
    <row r="558" spans="1:20" x14ac:dyDescent="0.3">
      <c r="A558" s="2" t="s">
        <v>409</v>
      </c>
      <c r="B558" s="50" t="s">
        <v>154</v>
      </c>
      <c r="C558">
        <v>73</v>
      </c>
      <c r="D558" t="str">
        <f t="shared" si="92"/>
        <v>Kumite</v>
      </c>
      <c r="E558" t="str">
        <f t="shared" si="94"/>
        <v>Kumite, -, 40-45 kg, Gyerek 2. (11-12</v>
      </c>
      <c r="F558" s="83" t="s">
        <v>527</v>
      </c>
      <c r="G558" s="50" t="str">
        <f t="shared" si="95"/>
        <v>13</v>
      </c>
      <c r="H558" t="str">
        <f t="shared" si="96"/>
        <v>16 fős egyenes kiesés</v>
      </c>
      <c r="I558" s="67" t="s">
        <v>302</v>
      </c>
      <c r="J558" t="s">
        <v>440</v>
      </c>
      <c r="K558" t="s">
        <v>441</v>
      </c>
      <c r="L558" t="str">
        <f t="shared" si="93"/>
        <v>HUN</v>
      </c>
      <c r="M558">
        <v>3</v>
      </c>
      <c r="O558" s="83" t="s">
        <v>410</v>
      </c>
      <c r="P558" s="78">
        <v>45395</v>
      </c>
      <c r="Q558" t="str">
        <f t="shared" si="84"/>
        <v>Ledniczki Panna - Marcali SKK</v>
      </c>
      <c r="R558" t="s">
        <v>636</v>
      </c>
      <c r="S558" t="s">
        <v>636</v>
      </c>
      <c r="T558" t="s">
        <v>645</v>
      </c>
    </row>
    <row r="559" spans="1:20" x14ac:dyDescent="0.3">
      <c r="A559" s="2" t="s">
        <v>409</v>
      </c>
      <c r="B559" s="50" t="s">
        <v>154</v>
      </c>
      <c r="C559">
        <v>74</v>
      </c>
      <c r="D559" t="str">
        <f t="shared" si="92"/>
        <v>Kumite</v>
      </c>
      <c r="E559" t="str">
        <f>"Kumite, -, 45-200 kg, Gyerek 2. (11-12"</f>
        <v>Kumite, -, 45-200 kg, Gyerek 2. (11-12</v>
      </c>
      <c r="F559" s="83" t="s">
        <v>528</v>
      </c>
      <c r="G559" s="50" t="str">
        <f>"7"</f>
        <v>7</v>
      </c>
      <c r="H559" t="str">
        <f>"8 fős egyenes kiesés"</f>
        <v>8 fős egyenes kiesés</v>
      </c>
      <c r="I559" s="50" t="str">
        <f>"1"</f>
        <v>1</v>
      </c>
      <c r="J559" t="str">
        <f>"Bennárik Bella"</f>
        <v>Bennárik Bella</v>
      </c>
      <c r="K559" t="str">
        <f>"HARCOSOK KLUBJA"</f>
        <v>HARCOSOK KLUBJA</v>
      </c>
      <c r="L559" t="str">
        <f t="shared" si="93"/>
        <v>HUN</v>
      </c>
      <c r="M559">
        <v>8</v>
      </c>
      <c r="O559" s="83" t="s">
        <v>410</v>
      </c>
      <c r="P559" s="78">
        <v>45395</v>
      </c>
      <c r="Q559" t="str">
        <f t="shared" si="84"/>
        <v>Bennárik Bella - HARCOSOK KLUBJA</v>
      </c>
      <c r="R559" t="s">
        <v>636</v>
      </c>
      <c r="S559" t="s">
        <v>636</v>
      </c>
      <c r="T559" t="s">
        <v>645</v>
      </c>
    </row>
    <row r="560" spans="1:20" x14ac:dyDescent="0.3">
      <c r="A560" s="2" t="s">
        <v>409</v>
      </c>
      <c r="B560" s="50" t="s">
        <v>154</v>
      </c>
      <c r="C560">
        <v>75</v>
      </c>
      <c r="D560" t="str">
        <f t="shared" si="92"/>
        <v>Kumite</v>
      </c>
      <c r="E560" t="str">
        <f>"Kumite, -, 45-200 kg, Gyerek 2. (11-12"</f>
        <v>Kumite, -, 45-200 kg, Gyerek 2. (11-12</v>
      </c>
      <c r="F560" s="83" t="s">
        <v>528</v>
      </c>
      <c r="G560" s="50" t="str">
        <f>"7"</f>
        <v>7</v>
      </c>
      <c r="H560" t="str">
        <f>"8 fős egyenes kiesés"</f>
        <v>8 fős egyenes kiesés</v>
      </c>
      <c r="I560" s="50" t="str">
        <f>"2"</f>
        <v>2</v>
      </c>
      <c r="J560" t="str">
        <f>"Horváth Eszter"</f>
        <v>Horváth Eszter</v>
      </c>
      <c r="K560" t="str">
        <f>"HARCOSOK KLUBJA"</f>
        <v>HARCOSOK KLUBJA</v>
      </c>
      <c r="L560" t="str">
        <f t="shared" si="93"/>
        <v>HUN</v>
      </c>
      <c r="M560">
        <v>6</v>
      </c>
      <c r="O560" s="83" t="s">
        <v>410</v>
      </c>
      <c r="P560" s="78">
        <v>45395</v>
      </c>
      <c r="Q560" t="str">
        <f t="shared" si="84"/>
        <v>Horváth Eszter - HARCOSOK KLUBJA</v>
      </c>
      <c r="R560" t="s">
        <v>636</v>
      </c>
      <c r="S560" t="s">
        <v>636</v>
      </c>
      <c r="T560" t="s">
        <v>645</v>
      </c>
    </row>
    <row r="561" spans="1:20" x14ac:dyDescent="0.3">
      <c r="A561" s="2" t="s">
        <v>409</v>
      </c>
      <c r="B561" s="50" t="s">
        <v>154</v>
      </c>
      <c r="C561">
        <v>76</v>
      </c>
      <c r="D561" t="str">
        <f t="shared" si="92"/>
        <v>Kumite</v>
      </c>
      <c r="E561" t="str">
        <f>"Kumite, -, 45-200 kg, Gyerek 2. (11-12"</f>
        <v>Kumite, -, 45-200 kg, Gyerek 2. (11-12</v>
      </c>
      <c r="F561" s="83" t="s">
        <v>528</v>
      </c>
      <c r="G561" s="50" t="str">
        <f>"7"</f>
        <v>7</v>
      </c>
      <c r="H561" t="str">
        <f>"8 fős egyenes kiesés"</f>
        <v>8 fős egyenes kiesés</v>
      </c>
      <c r="I561" s="50" t="str">
        <f>"3"</f>
        <v>3</v>
      </c>
      <c r="J561" t="str">
        <f>"Nándori Emma"</f>
        <v>Nándori Emma</v>
      </c>
      <c r="K561" t="str">
        <f>"Kemecse SE"</f>
        <v>Kemecse SE</v>
      </c>
      <c r="L561" t="str">
        <f t="shared" si="93"/>
        <v>HUN</v>
      </c>
      <c r="M561">
        <v>0</v>
      </c>
      <c r="N561" t="s">
        <v>444</v>
      </c>
      <c r="O561" s="83" t="s">
        <v>410</v>
      </c>
      <c r="P561" s="78">
        <v>45395</v>
      </c>
      <c r="Q561" t="str">
        <f t="shared" si="84"/>
        <v>Nándori Emma - Kemecse SE</v>
      </c>
      <c r="R561" t="s">
        <v>636</v>
      </c>
      <c r="S561" t="s">
        <v>636</v>
      </c>
      <c r="T561" t="s">
        <v>645</v>
      </c>
    </row>
    <row r="562" spans="1:20" x14ac:dyDescent="0.3">
      <c r="A562" s="2" t="s">
        <v>409</v>
      </c>
      <c r="B562" s="50" t="s">
        <v>154</v>
      </c>
      <c r="C562">
        <v>77</v>
      </c>
      <c r="D562" t="str">
        <f t="shared" si="92"/>
        <v>Kumite</v>
      </c>
      <c r="E562" t="str">
        <f>"Kumite, -, 45-200 kg, Gyerek 2. (11-12"</f>
        <v>Kumite, -, 45-200 kg, Gyerek 2. (11-12</v>
      </c>
      <c r="F562" s="83" t="s">
        <v>528</v>
      </c>
      <c r="G562" s="50" t="str">
        <f>"7"</f>
        <v>7</v>
      </c>
      <c r="H562" t="str">
        <f>"8 fős egyenes kiesés"</f>
        <v>8 fős egyenes kiesés</v>
      </c>
      <c r="I562" s="50" t="str">
        <f>"3"</f>
        <v>3</v>
      </c>
      <c r="J562" t="str">
        <f>"Bota Sára"</f>
        <v>Bota Sára</v>
      </c>
      <c r="K562" t="str">
        <f>"Rakurai"</f>
        <v>Rakurai</v>
      </c>
      <c r="L562" t="str">
        <f t="shared" si="93"/>
        <v>HUN</v>
      </c>
      <c r="M562">
        <v>4</v>
      </c>
      <c r="O562" s="83" t="s">
        <v>410</v>
      </c>
      <c r="P562" s="78">
        <v>45395</v>
      </c>
      <c r="Q562" t="str">
        <f t="shared" si="84"/>
        <v>Bota Sára - Rakurai</v>
      </c>
      <c r="R562" t="s">
        <v>636</v>
      </c>
      <c r="S562" t="s">
        <v>636</v>
      </c>
      <c r="T562" t="s">
        <v>645</v>
      </c>
    </row>
    <row r="563" spans="1:20" x14ac:dyDescent="0.3">
      <c r="A563" s="2" t="s">
        <v>409</v>
      </c>
      <c r="B563" s="50" t="s">
        <v>154</v>
      </c>
      <c r="C563">
        <v>78</v>
      </c>
      <c r="D563" t="str">
        <f t="shared" ref="D563:D570" si="97">"Kata"</f>
        <v>Kata</v>
      </c>
      <c r="E563" t="str">
        <f t="shared" ref="E563:E570" si="98">"Kata, -, 0-100 kg, Gyerek 2. (11-12"</f>
        <v>Kata, -, 0-100 kg, Gyerek 2. (11-12</v>
      </c>
      <c r="F563" s="83" t="s">
        <v>526</v>
      </c>
      <c r="G563" s="50" t="str">
        <f t="shared" ref="G563:G570" si="99">"18"</f>
        <v>18</v>
      </c>
      <c r="H563" t="str">
        <f t="shared" ref="H563:H570" si="100">"32 fős egyenes kiesés"</f>
        <v>32 fős egyenes kiesés</v>
      </c>
      <c r="I563" s="50" t="str">
        <f>"1"</f>
        <v>1</v>
      </c>
      <c r="J563" t="str">
        <f>"Nándori Emma"</f>
        <v>Nándori Emma</v>
      </c>
      <c r="K563" t="str">
        <f>"Kemecse SE"</f>
        <v>Kemecse SE</v>
      </c>
      <c r="L563" t="str">
        <f t="shared" si="93"/>
        <v>HUN</v>
      </c>
      <c r="M563">
        <v>10</v>
      </c>
      <c r="O563" s="83" t="s">
        <v>410</v>
      </c>
      <c r="P563" s="78">
        <v>45395</v>
      </c>
      <c r="Q563" t="str">
        <f t="shared" si="84"/>
        <v>Nándori Emma - Kemecse SE</v>
      </c>
      <c r="R563" t="s">
        <v>636</v>
      </c>
      <c r="S563" t="s">
        <v>636</v>
      </c>
      <c r="T563" t="s">
        <v>645</v>
      </c>
    </row>
    <row r="564" spans="1:20" x14ac:dyDescent="0.3">
      <c r="A564" s="2" t="s">
        <v>409</v>
      </c>
      <c r="B564" s="50" t="s">
        <v>154</v>
      </c>
      <c r="C564">
        <v>79</v>
      </c>
      <c r="D564" t="str">
        <f t="shared" si="97"/>
        <v>Kata</v>
      </c>
      <c r="E564" t="str">
        <f t="shared" si="98"/>
        <v>Kata, -, 0-100 kg, Gyerek 2. (11-12</v>
      </c>
      <c r="F564" s="83" t="s">
        <v>526</v>
      </c>
      <c r="G564" s="50" t="str">
        <f t="shared" si="99"/>
        <v>18</v>
      </c>
      <c r="H564" t="str">
        <f t="shared" si="100"/>
        <v>32 fős egyenes kiesés</v>
      </c>
      <c r="I564" s="50" t="str">
        <f>"2"</f>
        <v>2</v>
      </c>
      <c r="J564" t="str">
        <f>"Mihályi Tünde"</f>
        <v>Mihályi Tünde</v>
      </c>
      <c r="K564" t="str">
        <f>"BHMSE"</f>
        <v>BHMSE</v>
      </c>
      <c r="L564" t="str">
        <f t="shared" si="93"/>
        <v>HUN</v>
      </c>
      <c r="M564">
        <v>7</v>
      </c>
      <c r="O564" s="83" t="s">
        <v>410</v>
      </c>
      <c r="P564" s="78">
        <v>45395</v>
      </c>
      <c r="Q564" t="str">
        <f t="shared" si="84"/>
        <v>Mihályi Tünde - BHMSE</v>
      </c>
      <c r="R564" t="s">
        <v>636</v>
      </c>
      <c r="S564" t="s">
        <v>636</v>
      </c>
      <c r="T564" t="s">
        <v>645</v>
      </c>
    </row>
    <row r="565" spans="1:20" x14ac:dyDescent="0.3">
      <c r="A565" s="2" t="s">
        <v>409</v>
      </c>
      <c r="B565" s="50" t="s">
        <v>154</v>
      </c>
      <c r="C565">
        <v>80</v>
      </c>
      <c r="D565" t="str">
        <f t="shared" si="97"/>
        <v>Kata</v>
      </c>
      <c r="E565" t="str">
        <f t="shared" si="98"/>
        <v>Kata, -, 0-100 kg, Gyerek 2. (11-12</v>
      </c>
      <c r="F565" s="83" t="s">
        <v>526</v>
      </c>
      <c r="G565" s="50" t="str">
        <f t="shared" si="99"/>
        <v>18</v>
      </c>
      <c r="H565" t="str">
        <f t="shared" si="100"/>
        <v>32 fős egyenes kiesés</v>
      </c>
      <c r="I565" s="50" t="str">
        <f>"3"</f>
        <v>3</v>
      </c>
      <c r="J565" t="str">
        <f>"Novák Noémi"</f>
        <v>Novák Noémi</v>
      </c>
      <c r="K565" t="str">
        <f>"Bendiák Dojo"</f>
        <v>Bendiák Dojo</v>
      </c>
      <c r="L565" t="str">
        <f t="shared" si="93"/>
        <v>HUN</v>
      </c>
      <c r="M565">
        <v>5</v>
      </c>
      <c r="O565" s="83" t="s">
        <v>410</v>
      </c>
      <c r="P565" s="78">
        <v>45395</v>
      </c>
      <c r="Q565" t="str">
        <f t="shared" si="84"/>
        <v>Novák Noémi - Bendiák Dojo</v>
      </c>
      <c r="R565" t="s">
        <v>636</v>
      </c>
      <c r="S565" t="s">
        <v>636</v>
      </c>
      <c r="T565" t="s">
        <v>645</v>
      </c>
    </row>
    <row r="566" spans="1:20" x14ac:dyDescent="0.3">
      <c r="A566" s="2" t="s">
        <v>409</v>
      </c>
      <c r="B566" s="50" t="s">
        <v>154</v>
      </c>
      <c r="C566">
        <v>81</v>
      </c>
      <c r="D566" t="str">
        <f t="shared" si="97"/>
        <v>Kata</v>
      </c>
      <c r="E566" t="str">
        <f t="shared" si="98"/>
        <v>Kata, -, 0-100 kg, Gyerek 2. (11-12</v>
      </c>
      <c r="F566" s="83" t="s">
        <v>526</v>
      </c>
      <c r="G566" s="50" t="str">
        <f t="shared" si="99"/>
        <v>18</v>
      </c>
      <c r="H566" t="str">
        <f t="shared" si="100"/>
        <v>32 fős egyenes kiesés</v>
      </c>
      <c r="I566" s="50" t="str">
        <f>"3"</f>
        <v>3</v>
      </c>
      <c r="J566" t="str">
        <f>"Szelőczei Noémi"</f>
        <v>Szelőczei Noémi</v>
      </c>
      <c r="K566" t="str">
        <f>"Cs.S.E."</f>
        <v>Cs.S.E.</v>
      </c>
      <c r="L566" t="str">
        <f t="shared" si="93"/>
        <v>HUN</v>
      </c>
      <c r="M566">
        <v>5</v>
      </c>
      <c r="O566" s="83" t="s">
        <v>410</v>
      </c>
      <c r="P566" s="78">
        <v>45395</v>
      </c>
      <c r="Q566" t="str">
        <f t="shared" si="84"/>
        <v>Szelőczei Noémi - Cs.S.E.</v>
      </c>
      <c r="R566" t="s">
        <v>636</v>
      </c>
      <c r="S566" t="s">
        <v>636</v>
      </c>
      <c r="T566" t="s">
        <v>645</v>
      </c>
    </row>
    <row r="567" spans="1:20" x14ac:dyDescent="0.3">
      <c r="A567" s="2" t="s">
        <v>409</v>
      </c>
      <c r="B567" s="50" t="s">
        <v>154</v>
      </c>
      <c r="C567">
        <v>81</v>
      </c>
      <c r="D567" t="str">
        <f t="shared" si="97"/>
        <v>Kata</v>
      </c>
      <c r="E567" t="str">
        <f t="shared" si="98"/>
        <v>Kata, -, 0-100 kg, Gyerek 2. (11-12</v>
      </c>
      <c r="F567" s="83" t="s">
        <v>526</v>
      </c>
      <c r="G567" s="50" t="str">
        <f t="shared" si="99"/>
        <v>18</v>
      </c>
      <c r="H567" t="str">
        <f t="shared" si="100"/>
        <v>32 fős egyenes kiesés</v>
      </c>
      <c r="I567" s="67" t="s">
        <v>302</v>
      </c>
      <c r="J567" t="s">
        <v>451</v>
      </c>
      <c r="K567" t="s">
        <v>309</v>
      </c>
      <c r="L567" t="str">
        <f t="shared" si="93"/>
        <v>HUN</v>
      </c>
      <c r="M567">
        <v>3</v>
      </c>
      <c r="O567" s="83" t="s">
        <v>410</v>
      </c>
      <c r="P567" s="78">
        <v>45395</v>
      </c>
      <c r="Q567" t="str">
        <f t="shared" si="84"/>
        <v>Radnóti Lilla - POWER SE.</v>
      </c>
      <c r="R567" t="s">
        <v>636</v>
      </c>
      <c r="S567" t="s">
        <v>636</v>
      </c>
      <c r="T567" t="s">
        <v>645</v>
      </c>
    </row>
    <row r="568" spans="1:20" x14ac:dyDescent="0.3">
      <c r="A568" s="2" t="s">
        <v>409</v>
      </c>
      <c r="B568" s="50" t="s">
        <v>154</v>
      </c>
      <c r="C568">
        <v>81</v>
      </c>
      <c r="D568" t="str">
        <f t="shared" si="97"/>
        <v>Kata</v>
      </c>
      <c r="E568" t="str">
        <f t="shared" si="98"/>
        <v>Kata, -, 0-100 kg, Gyerek 2. (11-12</v>
      </c>
      <c r="F568" s="83" t="s">
        <v>526</v>
      </c>
      <c r="G568" s="50" t="str">
        <f t="shared" si="99"/>
        <v>18</v>
      </c>
      <c r="H568" t="str">
        <f t="shared" si="100"/>
        <v>32 fős egyenes kiesés</v>
      </c>
      <c r="I568" s="67" t="s">
        <v>302</v>
      </c>
      <c r="J568" t="s">
        <v>452</v>
      </c>
      <c r="K568" t="s">
        <v>335</v>
      </c>
      <c r="L568" t="str">
        <f t="shared" si="93"/>
        <v>HUN</v>
      </c>
      <c r="M568">
        <v>3</v>
      </c>
      <c r="O568" s="83" t="s">
        <v>410</v>
      </c>
      <c r="P568" s="78">
        <v>45395</v>
      </c>
      <c r="Q568" t="str">
        <f t="shared" si="84"/>
        <v>Szabó Zsófi - ShinzóDojo</v>
      </c>
      <c r="R568" t="s">
        <v>636</v>
      </c>
      <c r="S568" t="s">
        <v>636</v>
      </c>
      <c r="T568" t="s">
        <v>645</v>
      </c>
    </row>
    <row r="569" spans="1:20" x14ac:dyDescent="0.3">
      <c r="A569" s="2" t="s">
        <v>409</v>
      </c>
      <c r="B569" s="50" t="s">
        <v>154</v>
      </c>
      <c r="C569">
        <v>81</v>
      </c>
      <c r="D569" t="str">
        <f t="shared" si="97"/>
        <v>Kata</v>
      </c>
      <c r="E569" t="str">
        <f t="shared" si="98"/>
        <v>Kata, -, 0-100 kg, Gyerek 2. (11-12</v>
      </c>
      <c r="F569" s="83" t="s">
        <v>526</v>
      </c>
      <c r="G569" s="50" t="str">
        <f t="shared" si="99"/>
        <v>18</v>
      </c>
      <c r="H569" t="str">
        <f t="shared" si="100"/>
        <v>32 fős egyenes kiesés</v>
      </c>
      <c r="I569" s="67" t="s">
        <v>302</v>
      </c>
      <c r="J569" t="s">
        <v>453</v>
      </c>
      <c r="K569" s="90" t="s">
        <v>150</v>
      </c>
      <c r="L569" t="str">
        <f t="shared" si="93"/>
        <v>HUN</v>
      </c>
      <c r="M569">
        <v>3</v>
      </c>
      <c r="O569" s="83" t="s">
        <v>410</v>
      </c>
      <c r="P569" s="78">
        <v>45395</v>
      </c>
      <c r="Q569" t="str">
        <f t="shared" si="84"/>
        <v>Orosz Elizabett - KSE Tarján</v>
      </c>
      <c r="R569" t="s">
        <v>636</v>
      </c>
      <c r="S569" t="s">
        <v>636</v>
      </c>
      <c r="T569" t="s">
        <v>645</v>
      </c>
    </row>
    <row r="570" spans="1:20" x14ac:dyDescent="0.3">
      <c r="A570" s="2" t="s">
        <v>409</v>
      </c>
      <c r="B570" s="50" t="s">
        <v>154</v>
      </c>
      <c r="C570">
        <v>81</v>
      </c>
      <c r="D570" t="str">
        <f t="shared" si="97"/>
        <v>Kata</v>
      </c>
      <c r="E570" t="str">
        <f t="shared" si="98"/>
        <v>Kata, -, 0-100 kg, Gyerek 2. (11-12</v>
      </c>
      <c r="F570" s="83" t="s">
        <v>526</v>
      </c>
      <c r="G570" s="50" t="str">
        <f t="shared" si="99"/>
        <v>18</v>
      </c>
      <c r="H570" t="str">
        <f t="shared" si="100"/>
        <v>32 fős egyenes kiesés</v>
      </c>
      <c r="I570" s="67" t="s">
        <v>302</v>
      </c>
      <c r="J570" t="s">
        <v>454</v>
      </c>
      <c r="K570" t="s">
        <v>325</v>
      </c>
      <c r="L570" t="str">
        <f t="shared" si="93"/>
        <v>HUN</v>
      </c>
      <c r="M570">
        <v>3</v>
      </c>
      <c r="O570" s="83" t="s">
        <v>410</v>
      </c>
      <c r="P570" s="78">
        <v>45395</v>
      </c>
      <c r="Q570" t="str">
        <f t="shared" si="84"/>
        <v>Tóth-Krisó Míra - Katana SE</v>
      </c>
      <c r="R570" t="s">
        <v>636</v>
      </c>
      <c r="S570" t="s">
        <v>636</v>
      </c>
      <c r="T570" t="s">
        <v>645</v>
      </c>
    </row>
    <row r="571" spans="1:20" x14ac:dyDescent="0.3">
      <c r="A571" s="2" t="s">
        <v>409</v>
      </c>
      <c r="B571" s="50" t="s">
        <v>154</v>
      </c>
      <c r="C571">
        <v>82</v>
      </c>
      <c r="D571" t="str">
        <f t="shared" ref="D571:D600" si="101">"Kumite"</f>
        <v>Kumite</v>
      </c>
      <c r="E571" t="str">
        <f>"Kumite, -, 0-40 kg, Serdülő (13-14"</f>
        <v>Kumite, -, 0-40 kg, Serdülő (13-14</v>
      </c>
      <c r="F571" s="83" t="s">
        <v>529</v>
      </c>
      <c r="G571" s="50" t="str">
        <f>"7"</f>
        <v>7</v>
      </c>
      <c r="H571" t="str">
        <f t="shared" ref="H571:H582" si="102">"8 fős egyenes kiesés"</f>
        <v>8 fős egyenes kiesés</v>
      </c>
      <c r="I571" s="50" t="str">
        <f>"1"</f>
        <v>1</v>
      </c>
      <c r="J571" t="str">
        <f>"MOLNÁR MARCELL"</f>
        <v>MOLNÁR MARCELL</v>
      </c>
      <c r="K571" t="str">
        <f>"Victory"</f>
        <v>Victory</v>
      </c>
      <c r="L571" t="str">
        <f t="shared" si="93"/>
        <v>HUN</v>
      </c>
      <c r="M571">
        <v>8</v>
      </c>
      <c r="O571" s="83" t="s">
        <v>410</v>
      </c>
      <c r="P571" s="78">
        <v>45395</v>
      </c>
      <c r="Q571" t="str">
        <f t="shared" si="84"/>
        <v>MOLNÁR MARCELL - Victory</v>
      </c>
      <c r="R571" t="s">
        <v>636</v>
      </c>
      <c r="S571" t="s">
        <v>636</v>
      </c>
      <c r="T571" t="s">
        <v>645</v>
      </c>
    </row>
    <row r="572" spans="1:20" x14ac:dyDescent="0.3">
      <c r="A572" s="2" t="s">
        <v>409</v>
      </c>
      <c r="B572" s="50" t="s">
        <v>154</v>
      </c>
      <c r="C572">
        <v>83</v>
      </c>
      <c r="D572" t="str">
        <f t="shared" si="101"/>
        <v>Kumite</v>
      </c>
      <c r="E572" t="str">
        <f>"Kumite, -, 0-40 kg, Serdülő (13-14"</f>
        <v>Kumite, -, 0-40 kg, Serdülő (13-14</v>
      </c>
      <c r="F572" s="83" t="s">
        <v>529</v>
      </c>
      <c r="G572" s="50" t="str">
        <f>"7"</f>
        <v>7</v>
      </c>
      <c r="H572" t="str">
        <f t="shared" si="102"/>
        <v>8 fős egyenes kiesés</v>
      </c>
      <c r="I572" s="50" t="str">
        <f>"2"</f>
        <v>2</v>
      </c>
      <c r="J572" t="str">
        <f>"Nagy Hunor"</f>
        <v>Nagy Hunor</v>
      </c>
      <c r="K572" t="str">
        <f>"Derecske BUDO"</f>
        <v>Derecske BUDO</v>
      </c>
      <c r="L572" t="str">
        <f t="shared" si="93"/>
        <v>HUN</v>
      </c>
      <c r="M572">
        <v>6</v>
      </c>
      <c r="O572" s="83" t="s">
        <v>410</v>
      </c>
      <c r="P572" s="78">
        <v>45395</v>
      </c>
      <c r="Q572" t="str">
        <f t="shared" si="84"/>
        <v>Nagy Hunor - Derecske BUDO</v>
      </c>
      <c r="R572" t="s">
        <v>636</v>
      </c>
      <c r="S572" t="s">
        <v>636</v>
      </c>
      <c r="T572" t="s">
        <v>645</v>
      </c>
    </row>
    <row r="573" spans="1:20" x14ac:dyDescent="0.3">
      <c r="A573" s="2" t="s">
        <v>409</v>
      </c>
      <c r="B573" s="50" t="s">
        <v>154</v>
      </c>
      <c r="C573">
        <v>84</v>
      </c>
      <c r="D573" t="str">
        <f t="shared" si="101"/>
        <v>Kumite</v>
      </c>
      <c r="E573" t="str">
        <f>"Kumite, -, 0-40 kg, Serdülő (13-14"</f>
        <v>Kumite, -, 0-40 kg, Serdülő (13-14</v>
      </c>
      <c r="F573" s="83" t="s">
        <v>529</v>
      </c>
      <c r="G573" s="50" t="str">
        <f>"7"</f>
        <v>7</v>
      </c>
      <c r="H573" t="str">
        <f t="shared" si="102"/>
        <v>8 fős egyenes kiesés</v>
      </c>
      <c r="I573" s="50" t="str">
        <f>"3"</f>
        <v>3</v>
      </c>
      <c r="J573" t="str">
        <f>"Gombos-Weidinger Barnabás"</f>
        <v>Gombos-Weidinger Barnabás</v>
      </c>
      <c r="K573" t="str">
        <f>"BHMSE"</f>
        <v>BHMSE</v>
      </c>
      <c r="L573" t="str">
        <f t="shared" si="93"/>
        <v>HUN</v>
      </c>
      <c r="M573">
        <v>0</v>
      </c>
      <c r="N573" t="s">
        <v>444</v>
      </c>
      <c r="O573" s="83" t="s">
        <v>410</v>
      </c>
      <c r="P573" s="78">
        <v>45395</v>
      </c>
      <c r="Q573" t="str">
        <f t="shared" si="84"/>
        <v>Gombos-Weidinger Barnabás - BHMSE</v>
      </c>
      <c r="R573" t="s">
        <v>636</v>
      </c>
      <c r="S573" t="s">
        <v>636</v>
      </c>
      <c r="T573" t="s">
        <v>645</v>
      </c>
    </row>
    <row r="574" spans="1:20" x14ac:dyDescent="0.3">
      <c r="A574" s="2" t="s">
        <v>409</v>
      </c>
      <c r="B574" s="50" t="s">
        <v>154</v>
      </c>
      <c r="C574">
        <v>85</v>
      </c>
      <c r="D574" t="str">
        <f t="shared" si="101"/>
        <v>Kumite</v>
      </c>
      <c r="E574" t="str">
        <f>"Kumite, -, 0-40 kg, Serdülő (13-14"</f>
        <v>Kumite, -, 0-40 kg, Serdülő (13-14</v>
      </c>
      <c r="F574" s="83" t="s">
        <v>529</v>
      </c>
      <c r="G574" s="50" t="str">
        <f>"7"</f>
        <v>7</v>
      </c>
      <c r="H574" t="str">
        <f t="shared" si="102"/>
        <v>8 fős egyenes kiesés</v>
      </c>
      <c r="I574" s="50" t="str">
        <f>"3"</f>
        <v>3</v>
      </c>
      <c r="J574" t="str">
        <f>"Papp Dávid"</f>
        <v>Papp Dávid</v>
      </c>
      <c r="K574" t="str">
        <f>"Nyíradonyi KKE"</f>
        <v>Nyíradonyi KKE</v>
      </c>
      <c r="L574" t="str">
        <f t="shared" si="93"/>
        <v>HUN</v>
      </c>
      <c r="M574">
        <v>4</v>
      </c>
      <c r="O574" s="83" t="s">
        <v>410</v>
      </c>
      <c r="P574" s="78">
        <v>45395</v>
      </c>
      <c r="Q574" t="str">
        <f t="shared" si="84"/>
        <v>Papp Dávid - Nyíradonyi KKE</v>
      </c>
      <c r="R574" t="s">
        <v>636</v>
      </c>
      <c r="S574" t="s">
        <v>636</v>
      </c>
      <c r="T574" t="s">
        <v>645</v>
      </c>
    </row>
    <row r="575" spans="1:20" x14ac:dyDescent="0.3">
      <c r="A575" s="2" t="s">
        <v>409</v>
      </c>
      <c r="B575" s="50" t="s">
        <v>154</v>
      </c>
      <c r="C575">
        <v>86</v>
      </c>
      <c r="D575" t="str">
        <f t="shared" si="101"/>
        <v>Kumite</v>
      </c>
      <c r="E575" t="str">
        <f>"Kumite, -, 40-45 kg, Serdülő (13-14"</f>
        <v>Kumite, -, 40-45 kg, Serdülő (13-14</v>
      </c>
      <c r="F575" s="83" t="s">
        <v>530</v>
      </c>
      <c r="G575" s="50" t="str">
        <f>"8"</f>
        <v>8</v>
      </c>
      <c r="H575" t="str">
        <f t="shared" si="102"/>
        <v>8 fős egyenes kiesés</v>
      </c>
      <c r="I575" s="50" t="str">
        <f>"1"</f>
        <v>1</v>
      </c>
      <c r="J575" t="str">
        <f>"Berényi Imre Márk"</f>
        <v>Berényi Imre Márk</v>
      </c>
      <c r="K575" t="str">
        <f>"Shogun"</f>
        <v>Shogun</v>
      </c>
      <c r="L575" t="str">
        <f t="shared" si="93"/>
        <v>HUN</v>
      </c>
      <c r="M575">
        <v>8</v>
      </c>
      <c r="O575" s="83" t="s">
        <v>410</v>
      </c>
      <c r="P575" s="78">
        <v>45395</v>
      </c>
      <c r="Q575" t="str">
        <f t="shared" si="84"/>
        <v>Berényi Imre Márk - Shogun</v>
      </c>
      <c r="R575" t="s">
        <v>636</v>
      </c>
      <c r="S575" t="s">
        <v>636</v>
      </c>
      <c r="T575" t="s">
        <v>645</v>
      </c>
    </row>
    <row r="576" spans="1:20" x14ac:dyDescent="0.3">
      <c r="A576" s="2" t="s">
        <v>409</v>
      </c>
      <c r="B576" s="50" t="s">
        <v>154</v>
      </c>
      <c r="C576">
        <v>87</v>
      </c>
      <c r="D576" t="str">
        <f t="shared" si="101"/>
        <v>Kumite</v>
      </c>
      <c r="E576" t="str">
        <f>"Kumite, -, 40-45 kg, Serdülő (13-14"</f>
        <v>Kumite, -, 40-45 kg, Serdülő (13-14</v>
      </c>
      <c r="F576" s="83" t="s">
        <v>530</v>
      </c>
      <c r="G576" s="50" t="str">
        <f>"8"</f>
        <v>8</v>
      </c>
      <c r="H576" t="str">
        <f t="shared" si="102"/>
        <v>8 fős egyenes kiesés</v>
      </c>
      <c r="I576" s="50" t="str">
        <f>"2"</f>
        <v>2</v>
      </c>
      <c r="J576" t="str">
        <f>"Sztojka Norbert Kevin"</f>
        <v>Sztojka Norbert Kevin</v>
      </c>
      <c r="K576" t="str">
        <f>"Ippon KKSE"</f>
        <v>Ippon KKSE</v>
      </c>
      <c r="L576" t="str">
        <f t="shared" si="93"/>
        <v>HUN</v>
      </c>
      <c r="M576">
        <v>6</v>
      </c>
      <c r="O576" s="83" t="s">
        <v>410</v>
      </c>
      <c r="P576" s="78">
        <v>45395</v>
      </c>
      <c r="Q576" t="str">
        <f t="shared" si="84"/>
        <v>Sztojka Norbert Kevin - Ippon KKSE</v>
      </c>
      <c r="R576" t="s">
        <v>636</v>
      </c>
      <c r="S576" t="s">
        <v>636</v>
      </c>
      <c r="T576" t="s">
        <v>645</v>
      </c>
    </row>
    <row r="577" spans="1:20" x14ac:dyDescent="0.3">
      <c r="A577" s="2" t="s">
        <v>409</v>
      </c>
      <c r="B577" s="50" t="s">
        <v>154</v>
      </c>
      <c r="C577">
        <v>88</v>
      </c>
      <c r="D577" t="str">
        <f t="shared" si="101"/>
        <v>Kumite</v>
      </c>
      <c r="E577" t="str">
        <f>"Kumite, -, 40-45 kg, Serdülő (13-14"</f>
        <v>Kumite, -, 40-45 kg, Serdülő (13-14</v>
      </c>
      <c r="F577" s="83" t="s">
        <v>530</v>
      </c>
      <c r="G577" s="50" t="str">
        <f>"8"</f>
        <v>8</v>
      </c>
      <c r="H577" t="str">
        <f t="shared" si="102"/>
        <v>8 fős egyenes kiesés</v>
      </c>
      <c r="I577" s="50" t="str">
        <f>"3"</f>
        <v>3</v>
      </c>
      <c r="J577" t="str">
        <f>"Dorka Zalán"</f>
        <v>Dorka Zalán</v>
      </c>
      <c r="K577" t="str">
        <f>"KHSE"</f>
        <v>KHSE</v>
      </c>
      <c r="L577" t="str">
        <f t="shared" si="93"/>
        <v>HUN</v>
      </c>
      <c r="M577">
        <v>4</v>
      </c>
      <c r="O577" s="83" t="s">
        <v>410</v>
      </c>
      <c r="P577" s="78">
        <v>45395</v>
      </c>
      <c r="Q577" t="str">
        <f t="shared" si="84"/>
        <v>Dorka Zalán - KHSE</v>
      </c>
      <c r="R577" t="s">
        <v>636</v>
      </c>
      <c r="S577" t="s">
        <v>636</v>
      </c>
      <c r="T577" t="s">
        <v>645</v>
      </c>
    </row>
    <row r="578" spans="1:20" x14ac:dyDescent="0.3">
      <c r="A578" s="2" t="s">
        <v>409</v>
      </c>
      <c r="B578" s="50" t="s">
        <v>154</v>
      </c>
      <c r="C578">
        <v>89</v>
      </c>
      <c r="D578" t="str">
        <f t="shared" si="101"/>
        <v>Kumite</v>
      </c>
      <c r="E578" t="str">
        <f>"Kumite, -, 40-45 kg, Serdülő (13-14"</f>
        <v>Kumite, -, 40-45 kg, Serdülő (13-14</v>
      </c>
      <c r="F578" s="83" t="s">
        <v>530</v>
      </c>
      <c r="G578" s="50" t="str">
        <f>"8"</f>
        <v>8</v>
      </c>
      <c r="H578" t="str">
        <f t="shared" si="102"/>
        <v>8 fős egyenes kiesés</v>
      </c>
      <c r="I578" s="50" t="str">
        <f>"3"</f>
        <v>3</v>
      </c>
      <c r="J578" t="str">
        <f>"Valkovszki Máté"</f>
        <v>Valkovszki Máté</v>
      </c>
      <c r="K578" t="str">
        <f>"BHMSE"</f>
        <v>BHMSE</v>
      </c>
      <c r="L578" t="str">
        <f t="shared" si="93"/>
        <v>HUN</v>
      </c>
      <c r="M578">
        <v>4</v>
      </c>
      <c r="O578" s="83" t="s">
        <v>410</v>
      </c>
      <c r="P578" s="78">
        <v>45395</v>
      </c>
      <c r="Q578" t="str">
        <f t="shared" si="84"/>
        <v>Valkovszki Máté - BHMSE</v>
      </c>
      <c r="R578" t="s">
        <v>636</v>
      </c>
      <c r="S578" t="s">
        <v>636</v>
      </c>
      <c r="T578" t="s">
        <v>645</v>
      </c>
    </row>
    <row r="579" spans="1:20" x14ac:dyDescent="0.3">
      <c r="A579" s="2" t="s">
        <v>409</v>
      </c>
      <c r="B579" s="50" t="s">
        <v>154</v>
      </c>
      <c r="C579">
        <v>90</v>
      </c>
      <c r="D579" t="str">
        <f t="shared" si="101"/>
        <v>Kumite</v>
      </c>
      <c r="E579" t="str">
        <f>"Kumite, -, 45-50 kg, Serdülő (13-14"</f>
        <v>Kumite, -, 45-50 kg, Serdülő (13-14</v>
      </c>
      <c r="F579" s="83" t="s">
        <v>531</v>
      </c>
      <c r="G579" s="50" t="str">
        <f>"7"</f>
        <v>7</v>
      </c>
      <c r="H579" t="str">
        <f t="shared" si="102"/>
        <v>8 fős egyenes kiesés</v>
      </c>
      <c r="I579" s="50" t="str">
        <f>"1"</f>
        <v>1</v>
      </c>
      <c r="J579" t="str">
        <f>"Tóth Máté"</f>
        <v>Tóth Máté</v>
      </c>
      <c r="K579" t="str">
        <f>"Shogun"</f>
        <v>Shogun</v>
      </c>
      <c r="L579" t="str">
        <f t="shared" si="93"/>
        <v>HUN</v>
      </c>
      <c r="M579">
        <v>8</v>
      </c>
      <c r="O579" s="83" t="s">
        <v>410</v>
      </c>
      <c r="P579" s="78">
        <v>45395</v>
      </c>
      <c r="Q579" t="str">
        <f t="shared" ref="Q579:Q642" si="103">J579&amp;" - "&amp;K579</f>
        <v>Tóth Máté - Shogun</v>
      </c>
      <c r="R579" t="s">
        <v>636</v>
      </c>
      <c r="S579" t="s">
        <v>636</v>
      </c>
      <c r="T579" t="s">
        <v>645</v>
      </c>
    </row>
    <row r="580" spans="1:20" x14ac:dyDescent="0.3">
      <c r="A580" s="2" t="s">
        <v>409</v>
      </c>
      <c r="B580" s="50" t="s">
        <v>154</v>
      </c>
      <c r="C580">
        <v>91</v>
      </c>
      <c r="D580" t="str">
        <f t="shared" si="101"/>
        <v>Kumite</v>
      </c>
      <c r="E580" t="str">
        <f>"Kumite, -, 45-50 kg, Serdülő (13-14"</f>
        <v>Kumite, -, 45-50 kg, Serdülő (13-14</v>
      </c>
      <c r="F580" s="83" t="s">
        <v>531</v>
      </c>
      <c r="G580" s="50" t="str">
        <f>"7"</f>
        <v>7</v>
      </c>
      <c r="H580" t="str">
        <f t="shared" si="102"/>
        <v>8 fős egyenes kiesés</v>
      </c>
      <c r="I580" s="50" t="str">
        <f>"2"</f>
        <v>2</v>
      </c>
      <c r="J580" t="str">
        <f>"Horváth Nándor"</f>
        <v>Horváth Nándor</v>
      </c>
      <c r="K580" t="str">
        <f>"Castrum"</f>
        <v>Castrum</v>
      </c>
      <c r="L580" t="str">
        <f t="shared" si="93"/>
        <v>HUN</v>
      </c>
      <c r="M580">
        <v>6</v>
      </c>
      <c r="O580" s="83" t="s">
        <v>410</v>
      </c>
      <c r="P580" s="78">
        <v>45395</v>
      </c>
      <c r="Q580" t="str">
        <f t="shared" si="103"/>
        <v>Horváth Nándor - Castrum</v>
      </c>
      <c r="R580" t="s">
        <v>636</v>
      </c>
      <c r="S580" t="s">
        <v>636</v>
      </c>
      <c r="T580" t="s">
        <v>645</v>
      </c>
    </row>
    <row r="581" spans="1:20" x14ac:dyDescent="0.3">
      <c r="A581" s="2" t="s">
        <v>409</v>
      </c>
      <c r="B581" s="50" t="s">
        <v>154</v>
      </c>
      <c r="C581">
        <v>92</v>
      </c>
      <c r="D581" t="str">
        <f t="shared" si="101"/>
        <v>Kumite</v>
      </c>
      <c r="E581" t="str">
        <f>"Kumite, -, 45-50 kg, Serdülő (13-14"</f>
        <v>Kumite, -, 45-50 kg, Serdülő (13-14</v>
      </c>
      <c r="F581" s="83" t="s">
        <v>531</v>
      </c>
      <c r="G581" s="50" t="str">
        <f>"7"</f>
        <v>7</v>
      </c>
      <c r="H581" t="str">
        <f t="shared" si="102"/>
        <v>8 fős egyenes kiesés</v>
      </c>
      <c r="I581" s="50" t="str">
        <f>"3"</f>
        <v>3</v>
      </c>
      <c r="J581" t="str">
        <f>"Kiss Dominik István"</f>
        <v>Kiss Dominik István</v>
      </c>
      <c r="K581" t="str">
        <f>"Balatoni Multi S.E. "</f>
        <v xml:space="preserve">Balatoni Multi S.E. </v>
      </c>
      <c r="L581" t="str">
        <f t="shared" si="93"/>
        <v>HUN</v>
      </c>
      <c r="M581">
        <v>4</v>
      </c>
      <c r="O581" s="83" t="s">
        <v>410</v>
      </c>
      <c r="P581" s="78">
        <v>45395</v>
      </c>
      <c r="Q581" t="str">
        <f t="shared" si="103"/>
        <v xml:space="preserve">Kiss Dominik István - Balatoni Multi S.E. </v>
      </c>
      <c r="R581" t="s">
        <v>636</v>
      </c>
      <c r="S581" t="s">
        <v>636</v>
      </c>
      <c r="T581" t="s">
        <v>645</v>
      </c>
    </row>
    <row r="582" spans="1:20" x14ac:dyDescent="0.3">
      <c r="A582" s="2" t="s">
        <v>409</v>
      </c>
      <c r="B582" s="50" t="s">
        <v>154</v>
      </c>
      <c r="C582">
        <v>93</v>
      </c>
      <c r="D582" t="str">
        <f t="shared" si="101"/>
        <v>Kumite</v>
      </c>
      <c r="E582" t="str">
        <f>"Kumite, -, 45-50 kg, Serdülő (13-14"</f>
        <v>Kumite, -, 45-50 kg, Serdülő (13-14</v>
      </c>
      <c r="F582" s="83" t="s">
        <v>531</v>
      </c>
      <c r="G582" s="50" t="str">
        <f>"7"</f>
        <v>7</v>
      </c>
      <c r="H582" t="str">
        <f t="shared" si="102"/>
        <v>8 fős egyenes kiesés</v>
      </c>
      <c r="I582" s="50" t="str">
        <f>"3"</f>
        <v>3</v>
      </c>
      <c r="J582" t="str">
        <f>"Székely Zsigmond"</f>
        <v>Székely Zsigmond</v>
      </c>
      <c r="K582" t="str">
        <f>"KYO Fighter SE"</f>
        <v>KYO Fighter SE</v>
      </c>
      <c r="L582" t="str">
        <f t="shared" si="93"/>
        <v>HUN</v>
      </c>
      <c r="M582">
        <v>4</v>
      </c>
      <c r="O582" s="83" t="s">
        <v>410</v>
      </c>
      <c r="P582" s="78">
        <v>45395</v>
      </c>
      <c r="Q582" t="str">
        <f t="shared" si="103"/>
        <v>Székely Zsigmond - KYO Fighter SE</v>
      </c>
      <c r="R582" t="s">
        <v>636</v>
      </c>
      <c r="S582" t="s">
        <v>636</v>
      </c>
      <c r="T582" t="s">
        <v>645</v>
      </c>
    </row>
    <row r="583" spans="1:20" x14ac:dyDescent="0.3">
      <c r="A583" s="2" t="s">
        <v>409</v>
      </c>
      <c r="B583" s="50" t="s">
        <v>154</v>
      </c>
      <c r="C583">
        <v>94</v>
      </c>
      <c r="D583" t="str">
        <f t="shared" si="101"/>
        <v>Kumite</v>
      </c>
      <c r="E583" t="str">
        <f t="shared" ref="E583:E588" si="104">"Kumite, -, 50-55 kg, Serdülő (13-14"</f>
        <v>Kumite, -, 50-55 kg, Serdülő (13-14</v>
      </c>
      <c r="F583" s="83" t="s">
        <v>534</v>
      </c>
      <c r="G583" s="50" t="str">
        <f t="shared" ref="G583:G588" si="105">"12"</f>
        <v>12</v>
      </c>
      <c r="H583" t="str">
        <f t="shared" ref="H583:H588" si="106">"16 fős egyenes kiesés"</f>
        <v>16 fős egyenes kiesés</v>
      </c>
      <c r="I583" s="50" t="str">
        <f>"1"</f>
        <v>1</v>
      </c>
      <c r="J583" t="str">
        <f>"Ungvári Levente"</f>
        <v>Ungvári Levente</v>
      </c>
      <c r="K583" t="str">
        <f>"Shogun"</f>
        <v>Shogun</v>
      </c>
      <c r="L583" t="str">
        <f t="shared" si="93"/>
        <v>HUN</v>
      </c>
      <c r="M583">
        <v>10</v>
      </c>
      <c r="O583" s="83" t="s">
        <v>410</v>
      </c>
      <c r="P583" s="78">
        <v>45395</v>
      </c>
      <c r="Q583" t="str">
        <f t="shared" si="103"/>
        <v>Ungvári Levente - Shogun</v>
      </c>
      <c r="R583" t="s">
        <v>636</v>
      </c>
      <c r="S583" t="s">
        <v>636</v>
      </c>
      <c r="T583" t="s">
        <v>645</v>
      </c>
    </row>
    <row r="584" spans="1:20" x14ac:dyDescent="0.3">
      <c r="A584" s="2" t="s">
        <v>409</v>
      </c>
      <c r="B584" s="50" t="s">
        <v>154</v>
      </c>
      <c r="C584">
        <v>95</v>
      </c>
      <c r="D584" t="str">
        <f t="shared" si="101"/>
        <v>Kumite</v>
      </c>
      <c r="E584" t="str">
        <f t="shared" si="104"/>
        <v>Kumite, -, 50-55 kg, Serdülő (13-14</v>
      </c>
      <c r="F584" s="83" t="s">
        <v>534</v>
      </c>
      <c r="G584" s="50" t="str">
        <f t="shared" si="105"/>
        <v>12</v>
      </c>
      <c r="H584" t="str">
        <f t="shared" si="106"/>
        <v>16 fős egyenes kiesés</v>
      </c>
      <c r="I584" s="50" t="str">
        <f>"2"</f>
        <v>2</v>
      </c>
      <c r="J584" t="str">
        <f>"Németh Kristóf"</f>
        <v>Németh Kristóf</v>
      </c>
      <c r="K584" t="str">
        <f>"Kapuvári SE"</f>
        <v>Kapuvári SE</v>
      </c>
      <c r="L584" t="str">
        <f t="shared" si="93"/>
        <v>HUN</v>
      </c>
      <c r="M584">
        <v>8</v>
      </c>
      <c r="O584" s="83" t="s">
        <v>410</v>
      </c>
      <c r="P584" s="78">
        <v>45395</v>
      </c>
      <c r="Q584" t="str">
        <f t="shared" si="103"/>
        <v>Németh Kristóf - Kapuvári SE</v>
      </c>
      <c r="R584" t="s">
        <v>636</v>
      </c>
      <c r="S584" t="s">
        <v>636</v>
      </c>
      <c r="T584" t="s">
        <v>645</v>
      </c>
    </row>
    <row r="585" spans="1:20" x14ac:dyDescent="0.3">
      <c r="A585" s="2" t="s">
        <v>409</v>
      </c>
      <c r="B585" s="50" t="s">
        <v>154</v>
      </c>
      <c r="C585">
        <v>96</v>
      </c>
      <c r="D585" t="str">
        <f t="shared" si="101"/>
        <v>Kumite</v>
      </c>
      <c r="E585" t="str">
        <f t="shared" si="104"/>
        <v>Kumite, -, 50-55 kg, Serdülő (13-14</v>
      </c>
      <c r="F585" s="83" t="s">
        <v>534</v>
      </c>
      <c r="G585" s="50" t="str">
        <f t="shared" si="105"/>
        <v>12</v>
      </c>
      <c r="H585" t="str">
        <f t="shared" si="106"/>
        <v>16 fős egyenes kiesés</v>
      </c>
      <c r="I585" s="50" t="str">
        <f>"3"</f>
        <v>3</v>
      </c>
      <c r="J585" t="str">
        <f>"Kurucz Gergő"</f>
        <v>Kurucz Gergő</v>
      </c>
      <c r="K585" t="str">
        <f>"Victory"</f>
        <v>Victory</v>
      </c>
      <c r="L585" t="str">
        <f t="shared" si="93"/>
        <v>HUN</v>
      </c>
      <c r="M585">
        <v>6</v>
      </c>
      <c r="O585" s="83" t="s">
        <v>410</v>
      </c>
      <c r="P585" s="78">
        <v>45395</v>
      </c>
      <c r="Q585" t="str">
        <f t="shared" si="103"/>
        <v>Kurucz Gergő - Victory</v>
      </c>
      <c r="R585" t="s">
        <v>636</v>
      </c>
      <c r="S585" t="s">
        <v>636</v>
      </c>
      <c r="T585" t="s">
        <v>645</v>
      </c>
    </row>
    <row r="586" spans="1:20" x14ac:dyDescent="0.3">
      <c r="A586" s="2" t="s">
        <v>409</v>
      </c>
      <c r="B586" s="50" t="s">
        <v>154</v>
      </c>
      <c r="C586">
        <v>97</v>
      </c>
      <c r="D586" t="str">
        <f t="shared" si="101"/>
        <v>Kumite</v>
      </c>
      <c r="E586" t="str">
        <f t="shared" si="104"/>
        <v>Kumite, -, 50-55 kg, Serdülő (13-14</v>
      </c>
      <c r="F586" s="83" t="s">
        <v>534</v>
      </c>
      <c r="G586" s="50" t="str">
        <f t="shared" si="105"/>
        <v>12</v>
      </c>
      <c r="H586" t="str">
        <f t="shared" si="106"/>
        <v>16 fős egyenes kiesés</v>
      </c>
      <c r="I586" s="50" t="str">
        <f>"3"</f>
        <v>3</v>
      </c>
      <c r="J586" t="str">
        <f>"Csonka Máté"</f>
        <v>Csonka Máté</v>
      </c>
      <c r="K586" t="str">
        <f>"Kamikaze S"</f>
        <v>Kamikaze S</v>
      </c>
      <c r="L586" t="str">
        <f t="shared" si="93"/>
        <v>HUN</v>
      </c>
      <c r="M586">
        <v>6</v>
      </c>
      <c r="O586" s="83" t="s">
        <v>410</v>
      </c>
      <c r="P586" s="78">
        <v>45395</v>
      </c>
      <c r="Q586" t="str">
        <f t="shared" si="103"/>
        <v>Csonka Máté - Kamikaze S</v>
      </c>
      <c r="R586" t="s">
        <v>636</v>
      </c>
      <c r="S586" t="s">
        <v>636</v>
      </c>
      <c r="T586" t="s">
        <v>645</v>
      </c>
    </row>
    <row r="587" spans="1:20" x14ac:dyDescent="0.3">
      <c r="A587" s="2" t="s">
        <v>409</v>
      </c>
      <c r="B587" s="50" t="s">
        <v>154</v>
      </c>
      <c r="C587">
        <v>97</v>
      </c>
      <c r="D587" t="str">
        <f t="shared" si="101"/>
        <v>Kumite</v>
      </c>
      <c r="E587" t="str">
        <f t="shared" si="104"/>
        <v>Kumite, -, 50-55 kg, Serdülő (13-14</v>
      </c>
      <c r="F587" s="83" t="s">
        <v>534</v>
      </c>
      <c r="G587" s="50" t="str">
        <f t="shared" si="105"/>
        <v>12</v>
      </c>
      <c r="H587" t="str">
        <f t="shared" si="106"/>
        <v>16 fős egyenes kiesés</v>
      </c>
      <c r="I587" s="67" t="s">
        <v>302</v>
      </c>
      <c r="J587" t="s">
        <v>434</v>
      </c>
      <c r="K587" t="s">
        <v>47</v>
      </c>
      <c r="L587" t="str">
        <f t="shared" si="93"/>
        <v>HUN</v>
      </c>
      <c r="M587">
        <v>3</v>
      </c>
      <c r="O587" s="83" t="s">
        <v>410</v>
      </c>
      <c r="P587" s="78">
        <v>45395</v>
      </c>
      <c r="Q587" t="str">
        <f t="shared" si="103"/>
        <v>Gál Gergely - BHMSE</v>
      </c>
      <c r="R587" t="s">
        <v>636</v>
      </c>
      <c r="S587" t="s">
        <v>636</v>
      </c>
      <c r="T587" t="s">
        <v>645</v>
      </c>
    </row>
    <row r="588" spans="1:20" x14ac:dyDescent="0.3">
      <c r="A588" s="2" t="s">
        <v>409</v>
      </c>
      <c r="B588" s="50" t="s">
        <v>154</v>
      </c>
      <c r="C588">
        <v>97</v>
      </c>
      <c r="D588" t="str">
        <f t="shared" si="101"/>
        <v>Kumite</v>
      </c>
      <c r="E588" t="str">
        <f t="shared" si="104"/>
        <v>Kumite, -, 50-55 kg, Serdülő (13-14</v>
      </c>
      <c r="F588" s="83" t="s">
        <v>534</v>
      </c>
      <c r="G588" s="50" t="str">
        <f t="shared" si="105"/>
        <v>12</v>
      </c>
      <c r="H588" t="str">
        <f t="shared" si="106"/>
        <v>16 fős egyenes kiesés</v>
      </c>
      <c r="I588" s="67" t="s">
        <v>302</v>
      </c>
      <c r="J588" t="s">
        <v>435</v>
      </c>
      <c r="K588" t="s">
        <v>37</v>
      </c>
      <c r="L588" t="str">
        <f t="shared" si="93"/>
        <v>HUN</v>
      </c>
      <c r="M588">
        <v>3</v>
      </c>
      <c r="O588" s="83" t="s">
        <v>410</v>
      </c>
      <c r="P588" s="78">
        <v>45395</v>
      </c>
      <c r="Q588" t="str">
        <f t="shared" si="103"/>
        <v>Izsák-Rudolf Gergő - Kamikaze S</v>
      </c>
      <c r="R588" t="s">
        <v>636</v>
      </c>
      <c r="S588" t="s">
        <v>636</v>
      </c>
      <c r="T588" t="s">
        <v>645</v>
      </c>
    </row>
    <row r="589" spans="1:20" x14ac:dyDescent="0.3">
      <c r="A589" s="2" t="s">
        <v>409</v>
      </c>
      <c r="B589" s="50" t="s">
        <v>154</v>
      </c>
      <c r="C589">
        <v>98</v>
      </c>
      <c r="D589" t="str">
        <f t="shared" si="101"/>
        <v>Kumite</v>
      </c>
      <c r="E589" t="str">
        <f>"Kumite, -, 55-60 kg, Serdülő (13-14"</f>
        <v>Kumite, -, 55-60 kg, Serdülő (13-14</v>
      </c>
      <c r="F589" s="83" t="s">
        <v>532</v>
      </c>
      <c r="G589" s="50" t="str">
        <f>"8"</f>
        <v>8</v>
      </c>
      <c r="H589" t="str">
        <f>"8 fős egyenes kiesés"</f>
        <v>8 fős egyenes kiesés</v>
      </c>
      <c r="I589" s="50" t="str">
        <f>"1"</f>
        <v>1</v>
      </c>
      <c r="J589" t="str">
        <f>"Alkaddour Ali Áron"</f>
        <v>Alkaddour Ali Áron</v>
      </c>
      <c r="K589" t="str">
        <f>"BHMSE"</f>
        <v>BHMSE</v>
      </c>
      <c r="L589" t="str">
        <f t="shared" si="93"/>
        <v>HUN</v>
      </c>
      <c r="M589">
        <v>8</v>
      </c>
      <c r="O589" s="83" t="s">
        <v>410</v>
      </c>
      <c r="P589" s="78">
        <v>45395</v>
      </c>
      <c r="Q589" t="str">
        <f t="shared" si="103"/>
        <v>Alkaddour Ali Áron - BHMSE</v>
      </c>
      <c r="R589" t="s">
        <v>636</v>
      </c>
      <c r="S589" t="s">
        <v>636</v>
      </c>
      <c r="T589" t="s">
        <v>645</v>
      </c>
    </row>
    <row r="590" spans="1:20" x14ac:dyDescent="0.3">
      <c r="A590" s="2" t="s">
        <v>409</v>
      </c>
      <c r="B590" s="50" t="s">
        <v>154</v>
      </c>
      <c r="C590">
        <v>99</v>
      </c>
      <c r="D590" t="str">
        <f t="shared" si="101"/>
        <v>Kumite</v>
      </c>
      <c r="E590" t="str">
        <f>"Kumite, -, 55-60 kg, Serdülő (13-14"</f>
        <v>Kumite, -, 55-60 kg, Serdülő (13-14</v>
      </c>
      <c r="F590" s="83" t="s">
        <v>532</v>
      </c>
      <c r="G590" s="50" t="str">
        <f>"8"</f>
        <v>8</v>
      </c>
      <c r="H590" t="str">
        <f>"8 fős egyenes kiesés"</f>
        <v>8 fős egyenes kiesés</v>
      </c>
      <c r="I590" s="50" t="str">
        <f>"2"</f>
        <v>2</v>
      </c>
      <c r="J590" t="str">
        <f>"Gábor Hunor"</f>
        <v>Gábor Hunor</v>
      </c>
      <c r="K590" t="str">
        <f>"Shogun"</f>
        <v>Shogun</v>
      </c>
      <c r="L590" t="str">
        <f t="shared" si="93"/>
        <v>HUN</v>
      </c>
      <c r="M590">
        <v>6</v>
      </c>
      <c r="O590" s="83" t="s">
        <v>410</v>
      </c>
      <c r="P590" s="78">
        <v>45395</v>
      </c>
      <c r="Q590" t="str">
        <f t="shared" si="103"/>
        <v>Gábor Hunor - Shogun</v>
      </c>
      <c r="R590" t="s">
        <v>636</v>
      </c>
      <c r="S590" t="s">
        <v>636</v>
      </c>
      <c r="T590" t="s">
        <v>645</v>
      </c>
    </row>
    <row r="591" spans="1:20" x14ac:dyDescent="0.3">
      <c r="A591" s="2" t="s">
        <v>409</v>
      </c>
      <c r="B591" s="50" t="s">
        <v>154</v>
      </c>
      <c r="C591">
        <v>100</v>
      </c>
      <c r="D591" t="str">
        <f t="shared" si="101"/>
        <v>Kumite</v>
      </c>
      <c r="E591" t="str">
        <f>"Kumite, -, 55-60 kg, Serdülő (13-14"</f>
        <v>Kumite, -, 55-60 kg, Serdülő (13-14</v>
      </c>
      <c r="F591" s="83" t="s">
        <v>532</v>
      </c>
      <c r="G591" s="50" t="str">
        <f>"8"</f>
        <v>8</v>
      </c>
      <c r="H591" t="str">
        <f>"8 fős egyenes kiesés"</f>
        <v>8 fős egyenes kiesés</v>
      </c>
      <c r="I591" s="50" t="str">
        <f>"3"</f>
        <v>3</v>
      </c>
      <c r="J591" t="str">
        <f>"Görgics Máté"</f>
        <v>Görgics Máté</v>
      </c>
      <c r="K591" t="str">
        <f>"Castrum"</f>
        <v>Castrum</v>
      </c>
      <c r="L591" t="str">
        <f t="shared" si="93"/>
        <v>HUN</v>
      </c>
      <c r="M591">
        <v>4</v>
      </c>
      <c r="O591" s="83" t="s">
        <v>410</v>
      </c>
      <c r="P591" s="78">
        <v>45395</v>
      </c>
      <c r="Q591" t="str">
        <f t="shared" si="103"/>
        <v>Görgics Máté - Castrum</v>
      </c>
      <c r="R591" t="s">
        <v>636</v>
      </c>
      <c r="S591" t="s">
        <v>636</v>
      </c>
      <c r="T591" t="s">
        <v>645</v>
      </c>
    </row>
    <row r="592" spans="1:20" x14ac:dyDescent="0.3">
      <c r="A592" s="2" t="s">
        <v>409</v>
      </c>
      <c r="B592" s="50" t="s">
        <v>154</v>
      </c>
      <c r="C592">
        <v>101</v>
      </c>
      <c r="D592" t="str">
        <f t="shared" si="101"/>
        <v>Kumite</v>
      </c>
      <c r="E592" t="str">
        <f>"Kumite, -, 55-60 kg, Serdülő (13-14"</f>
        <v>Kumite, -, 55-60 kg, Serdülő (13-14</v>
      </c>
      <c r="F592" s="83" t="s">
        <v>532</v>
      </c>
      <c r="G592" s="50" t="str">
        <f>"8"</f>
        <v>8</v>
      </c>
      <c r="H592" t="str">
        <f>"8 fős egyenes kiesés"</f>
        <v>8 fős egyenes kiesés</v>
      </c>
      <c r="I592" s="50" t="str">
        <f>"3"</f>
        <v>3</v>
      </c>
      <c r="J592" t="str">
        <f>"Hajdu Levente"</f>
        <v>Hajdu Levente</v>
      </c>
      <c r="K592" t="str">
        <f>"Victory"</f>
        <v>Victory</v>
      </c>
      <c r="L592" t="str">
        <f t="shared" si="93"/>
        <v>HUN</v>
      </c>
      <c r="M592">
        <v>4</v>
      </c>
      <c r="O592" s="83" t="s">
        <v>410</v>
      </c>
      <c r="P592" s="78">
        <v>45395</v>
      </c>
      <c r="Q592" t="str">
        <f t="shared" si="103"/>
        <v>Hajdu Levente - Victory</v>
      </c>
      <c r="R592" t="s">
        <v>636</v>
      </c>
      <c r="S592" t="s">
        <v>636</v>
      </c>
      <c r="T592" t="s">
        <v>645</v>
      </c>
    </row>
    <row r="593" spans="1:20" x14ac:dyDescent="0.3">
      <c r="A593" s="2" t="s">
        <v>409</v>
      </c>
      <c r="B593" s="50" t="s">
        <v>154</v>
      </c>
      <c r="C593">
        <v>102</v>
      </c>
      <c r="D593" t="str">
        <f t="shared" si="101"/>
        <v>Kumite</v>
      </c>
      <c r="E593" t="str">
        <f>"Kumite, -, 60-70 kg, Serdülő (13-14"</f>
        <v>Kumite, -, 60-70 kg, Serdülő (13-14</v>
      </c>
      <c r="F593" s="83" t="s">
        <v>533</v>
      </c>
      <c r="G593" s="50" t="str">
        <f>"9"</f>
        <v>9</v>
      </c>
      <c r="H593" t="str">
        <f>"16 fős egyenes kiesés"</f>
        <v>16 fős egyenes kiesés</v>
      </c>
      <c r="I593" s="50" t="str">
        <f>"1"</f>
        <v>1</v>
      </c>
      <c r="J593" t="str">
        <f>"Garamszegi Zente"</f>
        <v>Garamszegi Zente</v>
      </c>
      <c r="K593" t="str">
        <f>"HARCOSOK KLUBJA"</f>
        <v>HARCOSOK KLUBJA</v>
      </c>
      <c r="L593" t="str">
        <f t="shared" si="93"/>
        <v>HUN</v>
      </c>
      <c r="M593">
        <v>10</v>
      </c>
      <c r="O593" s="83" t="s">
        <v>410</v>
      </c>
      <c r="P593" s="78">
        <v>45395</v>
      </c>
      <c r="Q593" t="str">
        <f t="shared" si="103"/>
        <v>Garamszegi Zente - HARCOSOK KLUBJA</v>
      </c>
      <c r="R593" t="s">
        <v>636</v>
      </c>
      <c r="S593" t="s">
        <v>636</v>
      </c>
      <c r="T593" t="s">
        <v>645</v>
      </c>
    </row>
    <row r="594" spans="1:20" x14ac:dyDescent="0.3">
      <c r="A594" s="2" t="s">
        <v>409</v>
      </c>
      <c r="B594" s="50" t="s">
        <v>154</v>
      </c>
      <c r="C594">
        <v>103</v>
      </c>
      <c r="D594" t="str">
        <f t="shared" si="101"/>
        <v>Kumite</v>
      </c>
      <c r="E594" t="str">
        <f>"Kumite, -, 60-70 kg, Serdülő (13-14"</f>
        <v>Kumite, -, 60-70 kg, Serdülő (13-14</v>
      </c>
      <c r="F594" s="83" t="s">
        <v>533</v>
      </c>
      <c r="G594" s="50" t="str">
        <f>"9"</f>
        <v>9</v>
      </c>
      <c r="H594" t="str">
        <f>"16 fős egyenes kiesés"</f>
        <v>16 fős egyenes kiesés</v>
      </c>
      <c r="I594" s="50" t="str">
        <f>"2"</f>
        <v>2</v>
      </c>
      <c r="J594" t="str">
        <f>"Németh Adrián"</f>
        <v>Németh Adrián</v>
      </c>
      <c r="K594" t="str">
        <f>"Cs.S.E."</f>
        <v>Cs.S.E.</v>
      </c>
      <c r="L594" t="str">
        <f t="shared" si="93"/>
        <v>HUN</v>
      </c>
      <c r="M594">
        <v>8</v>
      </c>
      <c r="O594" s="83" t="s">
        <v>410</v>
      </c>
      <c r="P594" s="78">
        <v>45395</v>
      </c>
      <c r="Q594" t="str">
        <f t="shared" si="103"/>
        <v>Németh Adrián - Cs.S.E.</v>
      </c>
      <c r="R594" t="s">
        <v>636</v>
      </c>
      <c r="S594" t="s">
        <v>636</v>
      </c>
      <c r="T594" t="s">
        <v>645</v>
      </c>
    </row>
    <row r="595" spans="1:20" x14ac:dyDescent="0.3">
      <c r="A595" s="2" t="s">
        <v>409</v>
      </c>
      <c r="B595" s="50" t="s">
        <v>154</v>
      </c>
      <c r="C595">
        <v>104</v>
      </c>
      <c r="D595" t="str">
        <f t="shared" si="101"/>
        <v>Kumite</v>
      </c>
      <c r="E595" t="str">
        <f>"Kumite, -, 60-70 kg, Serdülő (13-14"</f>
        <v>Kumite, -, 60-70 kg, Serdülő (13-14</v>
      </c>
      <c r="F595" s="83" t="s">
        <v>533</v>
      </c>
      <c r="G595" s="50" t="str">
        <f>"9"</f>
        <v>9</v>
      </c>
      <c r="H595" t="str">
        <f>"16 fős egyenes kiesés"</f>
        <v>16 fős egyenes kiesés</v>
      </c>
      <c r="I595" s="50" t="str">
        <f>"3"</f>
        <v>3</v>
      </c>
      <c r="J595" t="str">
        <f>"Somoskői Botond Ders"</f>
        <v>Somoskői Botond Ders</v>
      </c>
      <c r="K595" t="str">
        <f>"BHMSE"</f>
        <v>BHMSE</v>
      </c>
      <c r="L595" t="str">
        <f t="shared" si="93"/>
        <v>HUN</v>
      </c>
      <c r="M595">
        <v>6</v>
      </c>
      <c r="O595" s="83" t="s">
        <v>410</v>
      </c>
      <c r="P595" s="78">
        <v>45395</v>
      </c>
      <c r="Q595" t="str">
        <f t="shared" si="103"/>
        <v>Somoskői Botond Ders - BHMSE</v>
      </c>
      <c r="R595" t="s">
        <v>636</v>
      </c>
      <c r="S595" t="s">
        <v>636</v>
      </c>
      <c r="T595" t="s">
        <v>645</v>
      </c>
    </row>
    <row r="596" spans="1:20" x14ac:dyDescent="0.3">
      <c r="A596" s="2" t="s">
        <v>409</v>
      </c>
      <c r="B596" s="50" t="s">
        <v>154</v>
      </c>
      <c r="C596">
        <v>105</v>
      </c>
      <c r="D596" t="str">
        <f t="shared" si="101"/>
        <v>Kumite</v>
      </c>
      <c r="E596" t="str">
        <f>"Kumite, -, 60-70 kg, Serdülő (13-14"</f>
        <v>Kumite, -, 60-70 kg, Serdülő (13-14</v>
      </c>
      <c r="F596" s="83" t="s">
        <v>533</v>
      </c>
      <c r="G596" s="50" t="str">
        <f>"9"</f>
        <v>9</v>
      </c>
      <c r="H596" t="str">
        <f>"16 fős egyenes kiesés"</f>
        <v>16 fős egyenes kiesés</v>
      </c>
      <c r="I596" s="50" t="str">
        <f>"3"</f>
        <v>3</v>
      </c>
      <c r="J596" t="str">
        <f>"Reszkető Márk"</f>
        <v>Reszkető Márk</v>
      </c>
      <c r="K596" t="str">
        <f>"Shogun"</f>
        <v>Shogun</v>
      </c>
      <c r="L596" t="str">
        <f t="shared" si="93"/>
        <v>HUN</v>
      </c>
      <c r="M596">
        <v>6</v>
      </c>
      <c r="O596" s="83" t="s">
        <v>410</v>
      </c>
      <c r="P596" s="78">
        <v>45395</v>
      </c>
      <c r="Q596" t="str">
        <f t="shared" si="103"/>
        <v>Reszkető Márk - Shogun</v>
      </c>
      <c r="R596" t="s">
        <v>636</v>
      </c>
      <c r="S596" t="s">
        <v>636</v>
      </c>
      <c r="T596" t="s">
        <v>645</v>
      </c>
    </row>
    <row r="597" spans="1:20" x14ac:dyDescent="0.3">
      <c r="A597" s="2" t="s">
        <v>409</v>
      </c>
      <c r="B597" s="50" t="s">
        <v>154</v>
      </c>
      <c r="C597">
        <v>105</v>
      </c>
      <c r="D597" t="str">
        <f t="shared" si="101"/>
        <v>Kumite</v>
      </c>
      <c r="E597" t="str">
        <f>"Kumite, -, 60-70 kg, Serdülő (13-14"</f>
        <v>Kumite, -, 60-70 kg, Serdülő (13-14</v>
      </c>
      <c r="F597" s="83" t="s">
        <v>533</v>
      </c>
      <c r="G597" s="50" t="str">
        <f>"9"</f>
        <v>9</v>
      </c>
      <c r="H597" t="str">
        <f>"16 fős egyenes kiesés"</f>
        <v>16 fős egyenes kiesés</v>
      </c>
      <c r="I597" s="67" t="s">
        <v>302</v>
      </c>
      <c r="J597" t="s">
        <v>436</v>
      </c>
      <c r="K597" t="s">
        <v>334</v>
      </c>
      <c r="L597" t="str">
        <f t="shared" si="93"/>
        <v>HUN</v>
      </c>
      <c r="M597">
        <v>3</v>
      </c>
      <c r="O597" s="83" t="s">
        <v>410</v>
      </c>
      <c r="P597" s="78">
        <v>45395</v>
      </c>
      <c r="Q597" t="str">
        <f t="shared" si="103"/>
        <v>Gál Milán György  - Samurai SE</v>
      </c>
      <c r="R597" t="s">
        <v>636</v>
      </c>
      <c r="S597" t="s">
        <v>636</v>
      </c>
      <c r="T597" t="s">
        <v>645</v>
      </c>
    </row>
    <row r="598" spans="1:20" x14ac:dyDescent="0.3">
      <c r="A598" s="2" t="s">
        <v>409</v>
      </c>
      <c r="B598" s="50" t="s">
        <v>154</v>
      </c>
      <c r="C598">
        <v>106</v>
      </c>
      <c r="D598" t="str">
        <f t="shared" si="101"/>
        <v>Kumite</v>
      </c>
      <c r="E598" t="str">
        <f>"Kumite, -, 70-200 kg, Serdülő (13-14"</f>
        <v>Kumite, -, 70-200 kg, Serdülő (13-14</v>
      </c>
      <c r="F598" s="83" t="s">
        <v>535</v>
      </c>
      <c r="G598" s="50" t="str">
        <f>"6"</f>
        <v>6</v>
      </c>
      <c r="H598" t="str">
        <f>"6 fős vegyes"</f>
        <v>6 fős vegyes</v>
      </c>
      <c r="I598" s="50" t="str">
        <f>"1"</f>
        <v>1</v>
      </c>
      <c r="J598" t="str">
        <f>"El Ali Ádám"</f>
        <v>El Ali Ádám</v>
      </c>
      <c r="K598" t="str">
        <f>"Shogun"</f>
        <v>Shogun</v>
      </c>
      <c r="L598" t="str">
        <f t="shared" si="93"/>
        <v>HUN</v>
      </c>
      <c r="M598">
        <v>8</v>
      </c>
      <c r="O598" s="83" t="s">
        <v>410</v>
      </c>
      <c r="P598" s="78">
        <v>45395</v>
      </c>
      <c r="Q598" t="str">
        <f t="shared" si="103"/>
        <v>El Ali Ádám - Shogun</v>
      </c>
      <c r="R598" t="s">
        <v>636</v>
      </c>
      <c r="S598" t="s">
        <v>636</v>
      </c>
      <c r="T598" t="s">
        <v>645</v>
      </c>
    </row>
    <row r="599" spans="1:20" x14ac:dyDescent="0.3">
      <c r="A599" s="2" t="s">
        <v>409</v>
      </c>
      <c r="B599" s="50" t="s">
        <v>154</v>
      </c>
      <c r="C599">
        <v>107</v>
      </c>
      <c r="D599" t="str">
        <f t="shared" si="101"/>
        <v>Kumite</v>
      </c>
      <c r="E599" t="str">
        <f>"Kumite, -, 70-200 kg, Serdülő (13-14"</f>
        <v>Kumite, -, 70-200 kg, Serdülő (13-14</v>
      </c>
      <c r="F599" s="83" t="s">
        <v>535</v>
      </c>
      <c r="G599" s="50" t="str">
        <f>"6"</f>
        <v>6</v>
      </c>
      <c r="H599" t="str">
        <f>"6 fős vegyes"</f>
        <v>6 fős vegyes</v>
      </c>
      <c r="I599" s="50" t="str">
        <f>"2"</f>
        <v>2</v>
      </c>
      <c r="J599" t="str">
        <f>"Nagy Ádám Szabolcs"</f>
        <v>Nagy Ádám Szabolcs</v>
      </c>
      <c r="K599" t="str">
        <f>"Samurai SE"</f>
        <v>Samurai SE</v>
      </c>
      <c r="L599" t="str">
        <f t="shared" si="93"/>
        <v>HUN</v>
      </c>
      <c r="M599">
        <v>6</v>
      </c>
      <c r="O599" s="83" t="s">
        <v>410</v>
      </c>
      <c r="P599" s="78">
        <v>45395</v>
      </c>
      <c r="Q599" t="str">
        <f t="shared" si="103"/>
        <v>Nagy Ádám Szabolcs - Samurai SE</v>
      </c>
      <c r="R599" t="s">
        <v>636</v>
      </c>
      <c r="S599" t="s">
        <v>636</v>
      </c>
      <c r="T599" t="s">
        <v>645</v>
      </c>
    </row>
    <row r="600" spans="1:20" x14ac:dyDescent="0.3">
      <c r="A600" s="2" t="s">
        <v>409</v>
      </c>
      <c r="B600" s="50" t="s">
        <v>154</v>
      </c>
      <c r="C600">
        <v>108</v>
      </c>
      <c r="D600" t="str">
        <f t="shared" si="101"/>
        <v>Kumite</v>
      </c>
      <c r="E600" t="str">
        <f>"Kumite, -, 70-200 kg, Serdülő (13-14"</f>
        <v>Kumite, -, 70-200 kg, Serdülő (13-14</v>
      </c>
      <c r="F600" s="83" t="s">
        <v>535</v>
      </c>
      <c r="G600" s="50" t="str">
        <f>"6"</f>
        <v>6</v>
      </c>
      <c r="H600" t="str">
        <f>"6 fős vegyes"</f>
        <v>6 fős vegyes</v>
      </c>
      <c r="I600" s="50" t="str">
        <f>"3"</f>
        <v>3</v>
      </c>
      <c r="J600" t="str">
        <f>"Tóth Károly"</f>
        <v>Tóth Károly</v>
      </c>
      <c r="K600" t="str">
        <f>"Rakurai"</f>
        <v>Rakurai</v>
      </c>
      <c r="L600" t="str">
        <f t="shared" si="93"/>
        <v>HUN</v>
      </c>
      <c r="M600">
        <v>4</v>
      </c>
      <c r="O600" s="83" t="s">
        <v>410</v>
      </c>
      <c r="P600" s="78">
        <v>45395</v>
      </c>
      <c r="Q600" t="str">
        <f t="shared" si="103"/>
        <v>Tóth Károly - Rakurai</v>
      </c>
      <c r="R600" t="s">
        <v>636</v>
      </c>
      <c r="S600" t="s">
        <v>636</v>
      </c>
      <c r="T600" t="s">
        <v>645</v>
      </c>
    </row>
    <row r="601" spans="1:20" x14ac:dyDescent="0.3">
      <c r="A601" s="2" t="s">
        <v>409</v>
      </c>
      <c r="B601" s="50" t="s">
        <v>154</v>
      </c>
      <c r="C601">
        <v>109</v>
      </c>
      <c r="D601" t="str">
        <f t="shared" ref="D601:D608" si="107">"Kata"</f>
        <v>Kata</v>
      </c>
      <c r="E601" t="str">
        <f t="shared" ref="E601:E608" si="108">"Kata, -, 0-150 kg, Serdülő (13-14"</f>
        <v>Kata, -, 0-150 kg, Serdülő (13-14</v>
      </c>
      <c r="F601" s="83" t="s">
        <v>537</v>
      </c>
      <c r="G601" s="50" t="str">
        <f t="shared" ref="G601:G608" si="109">"22"</f>
        <v>22</v>
      </c>
      <c r="H601" t="str">
        <f t="shared" ref="H601:H608" si="110">"32 fős egyenes kiesés"</f>
        <v>32 fős egyenes kiesés</v>
      </c>
      <c r="I601" s="50" t="str">
        <f>"1"</f>
        <v>1</v>
      </c>
      <c r="J601" t="str">
        <f>"Németh Adrián"</f>
        <v>Németh Adrián</v>
      </c>
      <c r="K601" t="str">
        <f>"Cs.S.E."</f>
        <v>Cs.S.E.</v>
      </c>
      <c r="L601" t="str">
        <f t="shared" si="93"/>
        <v>HUN</v>
      </c>
      <c r="M601">
        <v>10</v>
      </c>
      <c r="O601" s="83" t="s">
        <v>410</v>
      </c>
      <c r="P601" s="78">
        <v>45395</v>
      </c>
      <c r="Q601" t="str">
        <f t="shared" si="103"/>
        <v>Németh Adrián - Cs.S.E.</v>
      </c>
      <c r="R601" t="s">
        <v>636</v>
      </c>
      <c r="S601" t="s">
        <v>636</v>
      </c>
      <c r="T601" t="s">
        <v>645</v>
      </c>
    </row>
    <row r="602" spans="1:20" x14ac:dyDescent="0.3">
      <c r="A602" s="2" t="s">
        <v>409</v>
      </c>
      <c r="B602" s="50" t="s">
        <v>154</v>
      </c>
      <c r="C602">
        <v>110</v>
      </c>
      <c r="D602" t="str">
        <f t="shared" si="107"/>
        <v>Kata</v>
      </c>
      <c r="E602" t="str">
        <f t="shared" si="108"/>
        <v>Kata, -, 0-150 kg, Serdülő (13-14</v>
      </c>
      <c r="F602" s="83" t="s">
        <v>537</v>
      </c>
      <c r="G602" s="50" t="str">
        <f t="shared" si="109"/>
        <v>22</v>
      </c>
      <c r="H602" t="str">
        <f t="shared" si="110"/>
        <v>32 fős egyenes kiesés</v>
      </c>
      <c r="I602" s="50" t="str">
        <f>"2"</f>
        <v>2</v>
      </c>
      <c r="J602" t="str">
        <f>"Ungvári Levente"</f>
        <v>Ungvári Levente</v>
      </c>
      <c r="K602" t="str">
        <f>"Shogun"</f>
        <v>Shogun</v>
      </c>
      <c r="L602" t="str">
        <f t="shared" si="93"/>
        <v>HUN</v>
      </c>
      <c r="M602">
        <v>7</v>
      </c>
      <c r="O602" s="83" t="s">
        <v>410</v>
      </c>
      <c r="P602" s="78">
        <v>45395</v>
      </c>
      <c r="Q602" t="str">
        <f t="shared" si="103"/>
        <v>Ungvári Levente - Shogun</v>
      </c>
      <c r="R602" t="s">
        <v>636</v>
      </c>
      <c r="S602" t="s">
        <v>636</v>
      </c>
      <c r="T602" t="s">
        <v>645</v>
      </c>
    </row>
    <row r="603" spans="1:20" x14ac:dyDescent="0.3">
      <c r="A603" s="2" t="s">
        <v>409</v>
      </c>
      <c r="B603" s="50" t="s">
        <v>154</v>
      </c>
      <c r="C603">
        <v>111</v>
      </c>
      <c r="D603" t="str">
        <f t="shared" si="107"/>
        <v>Kata</v>
      </c>
      <c r="E603" t="str">
        <f t="shared" si="108"/>
        <v>Kata, -, 0-150 kg, Serdülő (13-14</v>
      </c>
      <c r="F603" s="83" t="s">
        <v>537</v>
      </c>
      <c r="G603" s="50" t="str">
        <f t="shared" si="109"/>
        <v>22</v>
      </c>
      <c r="H603" t="str">
        <f t="shared" si="110"/>
        <v>32 fős egyenes kiesés</v>
      </c>
      <c r="I603" s="50" t="str">
        <f>"3"</f>
        <v>3</v>
      </c>
      <c r="J603" t="str">
        <f>"Sánta Dániel"</f>
        <v>Sánta Dániel</v>
      </c>
      <c r="K603" t="str">
        <f>"BHMSE"</f>
        <v>BHMSE</v>
      </c>
      <c r="L603" t="str">
        <f t="shared" si="93"/>
        <v>HUN</v>
      </c>
      <c r="M603">
        <v>5</v>
      </c>
      <c r="O603" s="83" t="s">
        <v>410</v>
      </c>
      <c r="P603" s="78">
        <v>45395</v>
      </c>
      <c r="Q603" t="str">
        <f t="shared" si="103"/>
        <v>Sánta Dániel - BHMSE</v>
      </c>
      <c r="R603" t="s">
        <v>636</v>
      </c>
      <c r="S603" t="s">
        <v>636</v>
      </c>
      <c r="T603" t="s">
        <v>645</v>
      </c>
    </row>
    <row r="604" spans="1:20" x14ac:dyDescent="0.3">
      <c r="A604" s="2" t="s">
        <v>409</v>
      </c>
      <c r="B604" s="50" t="s">
        <v>154</v>
      </c>
      <c r="C604">
        <v>112</v>
      </c>
      <c r="D604" t="str">
        <f t="shared" si="107"/>
        <v>Kata</v>
      </c>
      <c r="E604" t="str">
        <f t="shared" si="108"/>
        <v>Kata, -, 0-150 kg, Serdülő (13-14</v>
      </c>
      <c r="F604" s="83" t="s">
        <v>537</v>
      </c>
      <c r="G604" s="50" t="str">
        <f t="shared" si="109"/>
        <v>22</v>
      </c>
      <c r="H604" t="str">
        <f t="shared" si="110"/>
        <v>32 fős egyenes kiesés</v>
      </c>
      <c r="I604" s="50" t="str">
        <f>"3"</f>
        <v>3</v>
      </c>
      <c r="J604" t="str">
        <f>"Németh Kristóf"</f>
        <v>Németh Kristóf</v>
      </c>
      <c r="K604" t="str">
        <f>"Kapuvári SE"</f>
        <v>Kapuvári SE</v>
      </c>
      <c r="L604" t="str">
        <f t="shared" si="93"/>
        <v>HUN</v>
      </c>
      <c r="M604">
        <v>5</v>
      </c>
      <c r="O604" s="83" t="s">
        <v>410</v>
      </c>
      <c r="P604" s="78">
        <v>45395</v>
      </c>
      <c r="Q604" t="str">
        <f t="shared" si="103"/>
        <v>Németh Kristóf - Kapuvári SE</v>
      </c>
      <c r="R604" t="s">
        <v>636</v>
      </c>
      <c r="S604" t="s">
        <v>636</v>
      </c>
      <c r="T604" t="s">
        <v>645</v>
      </c>
    </row>
    <row r="605" spans="1:20" x14ac:dyDescent="0.3">
      <c r="A605" s="2" t="s">
        <v>409</v>
      </c>
      <c r="B605" s="50" t="s">
        <v>154</v>
      </c>
      <c r="C605">
        <v>112</v>
      </c>
      <c r="D605" t="str">
        <f t="shared" si="107"/>
        <v>Kata</v>
      </c>
      <c r="E605" t="str">
        <f t="shared" si="108"/>
        <v>Kata, -, 0-150 kg, Serdülő (13-14</v>
      </c>
      <c r="F605" s="83" t="s">
        <v>537</v>
      </c>
      <c r="G605" s="50" t="str">
        <f t="shared" si="109"/>
        <v>22</v>
      </c>
      <c r="H605" t="str">
        <f t="shared" si="110"/>
        <v>32 fős egyenes kiesés</v>
      </c>
      <c r="I605" s="67" t="s">
        <v>302</v>
      </c>
      <c r="J605" t="s">
        <v>368</v>
      </c>
      <c r="K605" t="s">
        <v>87</v>
      </c>
      <c r="L605" t="str">
        <f t="shared" si="93"/>
        <v>HUN</v>
      </c>
      <c r="M605">
        <v>3</v>
      </c>
      <c r="O605" s="83" t="s">
        <v>410</v>
      </c>
      <c r="P605" s="78">
        <v>45395</v>
      </c>
      <c r="Q605" t="str">
        <f t="shared" si="103"/>
        <v>MOLNÁR MARCELL - Victory</v>
      </c>
      <c r="R605" t="s">
        <v>636</v>
      </c>
      <c r="S605" t="s">
        <v>636</v>
      </c>
      <c r="T605" t="s">
        <v>645</v>
      </c>
    </row>
    <row r="606" spans="1:20" x14ac:dyDescent="0.3">
      <c r="A606" s="2" t="s">
        <v>409</v>
      </c>
      <c r="B606" s="50" t="s">
        <v>154</v>
      </c>
      <c r="C606">
        <v>112</v>
      </c>
      <c r="D606" t="str">
        <f t="shared" si="107"/>
        <v>Kata</v>
      </c>
      <c r="E606" t="str">
        <f t="shared" si="108"/>
        <v>Kata, -, 0-150 kg, Serdülő (13-14</v>
      </c>
      <c r="F606" s="83" t="s">
        <v>537</v>
      </c>
      <c r="G606" s="50" t="str">
        <f t="shared" si="109"/>
        <v>22</v>
      </c>
      <c r="H606" t="str">
        <f t="shared" si="110"/>
        <v>32 fős egyenes kiesés</v>
      </c>
      <c r="I606" s="67" t="s">
        <v>302</v>
      </c>
      <c r="J606" t="s">
        <v>455</v>
      </c>
      <c r="K606" t="s">
        <v>14</v>
      </c>
      <c r="L606" t="str">
        <f t="shared" si="93"/>
        <v>HUN</v>
      </c>
      <c r="M606">
        <v>3</v>
      </c>
      <c r="O606" s="83" t="s">
        <v>410</v>
      </c>
      <c r="P606" s="78">
        <v>45395</v>
      </c>
      <c r="Q606" t="str">
        <f t="shared" si="103"/>
        <v>Berényi Imre Márk - Shogun</v>
      </c>
      <c r="R606" t="s">
        <v>636</v>
      </c>
      <c r="S606" t="s">
        <v>636</v>
      </c>
      <c r="T606" t="s">
        <v>645</v>
      </c>
    </row>
    <row r="607" spans="1:20" x14ac:dyDescent="0.3">
      <c r="A607" s="2" t="s">
        <v>409</v>
      </c>
      <c r="B607" s="50" t="s">
        <v>154</v>
      </c>
      <c r="C607">
        <v>112</v>
      </c>
      <c r="D607" t="str">
        <f t="shared" si="107"/>
        <v>Kata</v>
      </c>
      <c r="E607" t="str">
        <f t="shared" si="108"/>
        <v>Kata, -, 0-150 kg, Serdülő (13-14</v>
      </c>
      <c r="F607" s="83" t="s">
        <v>537</v>
      </c>
      <c r="G607" s="50" t="str">
        <f t="shared" si="109"/>
        <v>22</v>
      </c>
      <c r="H607" t="str">
        <f t="shared" si="110"/>
        <v>32 fős egyenes kiesés</v>
      </c>
      <c r="I607" s="67" t="s">
        <v>302</v>
      </c>
      <c r="J607" t="s">
        <v>456</v>
      </c>
      <c r="K607" t="s">
        <v>117</v>
      </c>
      <c r="L607" t="str">
        <f t="shared" si="93"/>
        <v>HUN</v>
      </c>
      <c r="M607">
        <v>3</v>
      </c>
      <c r="O607" s="83" t="s">
        <v>410</v>
      </c>
      <c r="P607" s="78">
        <v>45395</v>
      </c>
      <c r="Q607" t="str">
        <f t="shared" si="103"/>
        <v>Gáncs Arnold - Griff SE</v>
      </c>
      <c r="R607" t="s">
        <v>636</v>
      </c>
      <c r="S607" t="s">
        <v>636</v>
      </c>
      <c r="T607" t="s">
        <v>645</v>
      </c>
    </row>
    <row r="608" spans="1:20" x14ac:dyDescent="0.3">
      <c r="A608" s="2" t="s">
        <v>409</v>
      </c>
      <c r="B608" s="50" t="s">
        <v>154</v>
      </c>
      <c r="C608">
        <v>112</v>
      </c>
      <c r="D608" t="str">
        <f t="shared" si="107"/>
        <v>Kata</v>
      </c>
      <c r="E608" t="str">
        <f t="shared" si="108"/>
        <v>Kata, -, 0-150 kg, Serdülő (13-14</v>
      </c>
      <c r="F608" s="83" t="s">
        <v>537</v>
      </c>
      <c r="G608" s="50" t="str">
        <f t="shared" si="109"/>
        <v>22</v>
      </c>
      <c r="H608" t="str">
        <f t="shared" si="110"/>
        <v>32 fős egyenes kiesés</v>
      </c>
      <c r="I608" s="67" t="s">
        <v>302</v>
      </c>
      <c r="J608" t="s">
        <v>457</v>
      </c>
      <c r="K608" t="s">
        <v>150</v>
      </c>
      <c r="L608" t="str">
        <f t="shared" si="93"/>
        <v>HUN</v>
      </c>
      <c r="M608">
        <v>3</v>
      </c>
      <c r="O608" s="83" t="s">
        <v>410</v>
      </c>
      <c r="P608" s="78">
        <v>45395</v>
      </c>
      <c r="Q608" t="str">
        <f t="shared" si="103"/>
        <v>Szalontai Levente - KSE Tarján</v>
      </c>
      <c r="R608" t="s">
        <v>636</v>
      </c>
      <c r="S608" t="s">
        <v>636</v>
      </c>
      <c r="T608" t="s">
        <v>645</v>
      </c>
    </row>
    <row r="609" spans="1:20" x14ac:dyDescent="0.3">
      <c r="A609" s="2" t="s">
        <v>409</v>
      </c>
      <c r="B609" s="50" t="s">
        <v>154</v>
      </c>
      <c r="C609">
        <v>113</v>
      </c>
      <c r="D609" t="str">
        <f t="shared" ref="D609:D623" si="111">"Kumite"</f>
        <v>Kumite</v>
      </c>
      <c r="E609" t="str">
        <f>"Kumite, -, 0-45 kg, Serdülő (13-14"</f>
        <v>Kumite, -, 0-45 kg, Serdülő (13-14</v>
      </c>
      <c r="F609" s="83" t="s">
        <v>536</v>
      </c>
      <c r="G609" s="50" t="str">
        <f>"6"</f>
        <v>6</v>
      </c>
      <c r="H609" t="str">
        <f>"6 fős vegyes"</f>
        <v>6 fős vegyes</v>
      </c>
      <c r="I609" s="50" t="str">
        <f>"1"</f>
        <v>1</v>
      </c>
      <c r="J609" t="str">
        <f>"Bábel Jázmin"</f>
        <v>Bábel Jázmin</v>
      </c>
      <c r="K609" t="str">
        <f>"Spirit SE."</f>
        <v>Spirit SE.</v>
      </c>
      <c r="L609" t="str">
        <f t="shared" ref="L609:L672" si="112">"HUN"</f>
        <v>HUN</v>
      </c>
      <c r="M609">
        <v>8</v>
      </c>
      <c r="O609" s="83" t="s">
        <v>410</v>
      </c>
      <c r="P609" s="78">
        <v>45395</v>
      </c>
      <c r="Q609" t="str">
        <f t="shared" si="103"/>
        <v>Bábel Jázmin - Spirit SE.</v>
      </c>
      <c r="R609" t="s">
        <v>636</v>
      </c>
      <c r="S609" t="s">
        <v>636</v>
      </c>
      <c r="T609" t="s">
        <v>645</v>
      </c>
    </row>
    <row r="610" spans="1:20" x14ac:dyDescent="0.3">
      <c r="A610" s="2" t="s">
        <v>409</v>
      </c>
      <c r="B610" s="50" t="s">
        <v>154</v>
      </c>
      <c r="C610">
        <v>114</v>
      </c>
      <c r="D610" t="str">
        <f t="shared" si="111"/>
        <v>Kumite</v>
      </c>
      <c r="E610" t="str">
        <f>"Kumite, -, 0-45 kg, Serdülő (13-14"</f>
        <v>Kumite, -, 0-45 kg, Serdülő (13-14</v>
      </c>
      <c r="F610" s="83" t="s">
        <v>536</v>
      </c>
      <c r="G610" s="50" t="str">
        <f>"6"</f>
        <v>6</v>
      </c>
      <c r="H610" t="str">
        <f>"6 fős vegyes"</f>
        <v>6 fős vegyes</v>
      </c>
      <c r="I610" s="50" t="str">
        <f>"2"</f>
        <v>2</v>
      </c>
      <c r="J610" t="str">
        <f>"Aranyosi Nikolett"</f>
        <v>Aranyosi Nikolett</v>
      </c>
      <c r="K610" t="str">
        <f>"Renmei se "</f>
        <v xml:space="preserve">Renmei se </v>
      </c>
      <c r="L610" t="str">
        <f t="shared" si="112"/>
        <v>HUN</v>
      </c>
      <c r="M610">
        <v>6</v>
      </c>
      <c r="O610" s="83" t="s">
        <v>410</v>
      </c>
      <c r="P610" s="78">
        <v>45395</v>
      </c>
      <c r="Q610" t="str">
        <f t="shared" si="103"/>
        <v xml:space="preserve">Aranyosi Nikolett - Renmei se </v>
      </c>
      <c r="R610" t="s">
        <v>636</v>
      </c>
      <c r="S610" t="s">
        <v>636</v>
      </c>
      <c r="T610" t="s">
        <v>645</v>
      </c>
    </row>
    <row r="611" spans="1:20" x14ac:dyDescent="0.3">
      <c r="A611" s="2" t="s">
        <v>409</v>
      </c>
      <c r="B611" s="50" t="s">
        <v>154</v>
      </c>
      <c r="C611">
        <v>115</v>
      </c>
      <c r="D611" t="str">
        <f t="shared" si="111"/>
        <v>Kumite</v>
      </c>
      <c r="E611" t="str">
        <f>"Kumite, -, 0-45 kg, Serdülő (13-14"</f>
        <v>Kumite, -, 0-45 kg, Serdülő (13-14</v>
      </c>
      <c r="F611" s="83" t="s">
        <v>536</v>
      </c>
      <c r="G611" s="50" t="str">
        <f>"6"</f>
        <v>6</v>
      </c>
      <c r="H611" t="str">
        <f>"6 fős vegyes"</f>
        <v>6 fős vegyes</v>
      </c>
      <c r="I611" s="50" t="str">
        <f>"3"</f>
        <v>3</v>
      </c>
      <c r="J611" t="str">
        <f>"Timár Alíz"</f>
        <v>Timár Alíz</v>
      </c>
      <c r="K611" t="str">
        <f>"BHMSE"</f>
        <v>BHMSE</v>
      </c>
      <c r="L611" t="str">
        <f t="shared" si="112"/>
        <v>HUN</v>
      </c>
      <c r="M611">
        <v>4</v>
      </c>
      <c r="O611" s="83" t="s">
        <v>410</v>
      </c>
      <c r="P611" s="78">
        <v>45395</v>
      </c>
      <c r="Q611" t="str">
        <f t="shared" si="103"/>
        <v>Timár Alíz - BHMSE</v>
      </c>
      <c r="R611" t="s">
        <v>636</v>
      </c>
      <c r="S611" t="s">
        <v>636</v>
      </c>
      <c r="T611" t="s">
        <v>645</v>
      </c>
    </row>
    <row r="612" spans="1:20" x14ac:dyDescent="0.3">
      <c r="A612" s="2" t="s">
        <v>409</v>
      </c>
      <c r="B612" s="50" t="s">
        <v>154</v>
      </c>
      <c r="C612">
        <v>116</v>
      </c>
      <c r="D612" t="str">
        <f t="shared" si="111"/>
        <v>Kumite</v>
      </c>
      <c r="E612" t="str">
        <f t="shared" ref="E612:E617" si="113">"Kumite, -, 45-55 kg, Serdülő (13-14"</f>
        <v>Kumite, -, 45-55 kg, Serdülő (13-14</v>
      </c>
      <c r="F612" s="83" t="s">
        <v>539</v>
      </c>
      <c r="G612" s="50" t="str">
        <f t="shared" ref="G612:G617" si="114">"12"</f>
        <v>12</v>
      </c>
      <c r="H612" t="str">
        <f t="shared" ref="H612:H617" si="115">"16 fős egyenes kiesés"</f>
        <v>16 fős egyenes kiesés</v>
      </c>
      <c r="I612" s="50" t="str">
        <f>"1"</f>
        <v>1</v>
      </c>
      <c r="J612" t="str">
        <f>"Karap Virág"</f>
        <v>Karap Virág</v>
      </c>
      <c r="K612" t="str">
        <f>"Shogun"</f>
        <v>Shogun</v>
      </c>
      <c r="L612" t="str">
        <f t="shared" si="112"/>
        <v>HUN</v>
      </c>
      <c r="M612">
        <v>10</v>
      </c>
      <c r="O612" s="83" t="s">
        <v>410</v>
      </c>
      <c r="P612" s="78">
        <v>45395</v>
      </c>
      <c r="Q612" t="str">
        <f t="shared" si="103"/>
        <v>Karap Virág - Shogun</v>
      </c>
      <c r="R612" t="s">
        <v>636</v>
      </c>
      <c r="S612" t="s">
        <v>636</v>
      </c>
      <c r="T612" t="s">
        <v>645</v>
      </c>
    </row>
    <row r="613" spans="1:20" x14ac:dyDescent="0.3">
      <c r="A613" s="2" t="s">
        <v>409</v>
      </c>
      <c r="B613" s="50" t="s">
        <v>154</v>
      </c>
      <c r="C613">
        <v>117</v>
      </c>
      <c r="D613" t="str">
        <f t="shared" si="111"/>
        <v>Kumite</v>
      </c>
      <c r="E613" t="str">
        <f t="shared" si="113"/>
        <v>Kumite, -, 45-55 kg, Serdülő (13-14</v>
      </c>
      <c r="F613" s="83" t="s">
        <v>539</v>
      </c>
      <c r="G613" s="50" t="str">
        <f t="shared" si="114"/>
        <v>12</v>
      </c>
      <c r="H613" t="str">
        <f t="shared" si="115"/>
        <v>16 fős egyenes kiesés</v>
      </c>
      <c r="I613" s="50" t="str">
        <f>"2"</f>
        <v>2</v>
      </c>
      <c r="J613" t="str">
        <f>"Apáthy Aliz"</f>
        <v>Apáthy Aliz</v>
      </c>
      <c r="K613" t="str">
        <f>"Victory"</f>
        <v>Victory</v>
      </c>
      <c r="L613" t="str">
        <f t="shared" si="112"/>
        <v>HUN</v>
      </c>
      <c r="M613">
        <v>8</v>
      </c>
      <c r="O613" s="83" t="s">
        <v>410</v>
      </c>
      <c r="P613" s="78">
        <v>45395</v>
      </c>
      <c r="Q613" t="str">
        <f t="shared" si="103"/>
        <v>Apáthy Aliz - Victory</v>
      </c>
      <c r="R613" t="s">
        <v>636</v>
      </c>
      <c r="S613" t="s">
        <v>636</v>
      </c>
      <c r="T613" t="s">
        <v>645</v>
      </c>
    </row>
    <row r="614" spans="1:20" x14ac:dyDescent="0.3">
      <c r="A614" s="2" t="s">
        <v>409</v>
      </c>
      <c r="B614" s="50" t="s">
        <v>154</v>
      </c>
      <c r="C614">
        <v>118</v>
      </c>
      <c r="D614" t="str">
        <f t="shared" si="111"/>
        <v>Kumite</v>
      </c>
      <c r="E614" t="str">
        <f t="shared" si="113"/>
        <v>Kumite, -, 45-55 kg, Serdülő (13-14</v>
      </c>
      <c r="F614" s="83" t="s">
        <v>539</v>
      </c>
      <c r="G614" s="50" t="str">
        <f t="shared" si="114"/>
        <v>12</v>
      </c>
      <c r="H614" t="str">
        <f t="shared" si="115"/>
        <v>16 fős egyenes kiesés</v>
      </c>
      <c r="I614" s="50" t="str">
        <f>"3"</f>
        <v>3</v>
      </c>
      <c r="J614" t="str">
        <f>"Serfőző Lia Zoé"</f>
        <v>Serfőző Lia Zoé</v>
      </c>
      <c r="K614" t="str">
        <f>"Castrum"</f>
        <v>Castrum</v>
      </c>
      <c r="L614" t="str">
        <f t="shared" si="112"/>
        <v>HUN</v>
      </c>
      <c r="M614">
        <v>6</v>
      </c>
      <c r="O614" s="83" t="s">
        <v>410</v>
      </c>
      <c r="P614" s="78">
        <v>45395</v>
      </c>
      <c r="Q614" t="str">
        <f t="shared" si="103"/>
        <v>Serfőző Lia Zoé - Castrum</v>
      </c>
      <c r="R614" t="s">
        <v>636</v>
      </c>
      <c r="S614" t="s">
        <v>636</v>
      </c>
      <c r="T614" t="s">
        <v>645</v>
      </c>
    </row>
    <row r="615" spans="1:20" x14ac:dyDescent="0.3">
      <c r="A615" s="2" t="s">
        <v>409</v>
      </c>
      <c r="B615" s="50" t="s">
        <v>154</v>
      </c>
      <c r="C615">
        <v>119</v>
      </c>
      <c r="D615" t="str">
        <f t="shared" si="111"/>
        <v>Kumite</v>
      </c>
      <c r="E615" t="str">
        <f t="shared" si="113"/>
        <v>Kumite, -, 45-55 kg, Serdülő (13-14</v>
      </c>
      <c r="F615" s="83" t="s">
        <v>539</v>
      </c>
      <c r="G615" s="50" t="str">
        <f t="shared" si="114"/>
        <v>12</v>
      </c>
      <c r="H615" t="str">
        <f t="shared" si="115"/>
        <v>16 fős egyenes kiesés</v>
      </c>
      <c r="I615" s="50" t="str">
        <f>"3"</f>
        <v>3</v>
      </c>
      <c r="J615" t="str">
        <f>"Zsin Zsófia"</f>
        <v>Zsin Zsófia</v>
      </c>
      <c r="K615" t="str">
        <f>"BHMSE"</f>
        <v>BHMSE</v>
      </c>
      <c r="L615" t="str">
        <f t="shared" si="112"/>
        <v>HUN</v>
      </c>
      <c r="M615">
        <v>6</v>
      </c>
      <c r="O615" s="83" t="s">
        <v>410</v>
      </c>
      <c r="P615" s="78">
        <v>45395</v>
      </c>
      <c r="Q615" t="str">
        <f t="shared" si="103"/>
        <v>Zsin Zsófia - BHMSE</v>
      </c>
      <c r="R615" t="s">
        <v>636</v>
      </c>
      <c r="S615" t="s">
        <v>636</v>
      </c>
      <c r="T615" t="s">
        <v>645</v>
      </c>
    </row>
    <row r="616" spans="1:20" x14ac:dyDescent="0.3">
      <c r="A616" s="2" t="s">
        <v>409</v>
      </c>
      <c r="B616" s="50" t="s">
        <v>154</v>
      </c>
      <c r="C616">
        <v>119</v>
      </c>
      <c r="D616" t="str">
        <f t="shared" si="111"/>
        <v>Kumite</v>
      </c>
      <c r="E616" t="str">
        <f t="shared" si="113"/>
        <v>Kumite, -, 45-55 kg, Serdülő (13-14</v>
      </c>
      <c r="F616" s="83" t="s">
        <v>539</v>
      </c>
      <c r="G616" s="50" t="str">
        <f t="shared" si="114"/>
        <v>12</v>
      </c>
      <c r="H616" t="str">
        <f t="shared" si="115"/>
        <v>16 fős egyenes kiesés</v>
      </c>
      <c r="I616" s="67" t="s">
        <v>302</v>
      </c>
      <c r="J616" t="s">
        <v>442</v>
      </c>
      <c r="K616" t="s">
        <v>65</v>
      </c>
      <c r="L616" t="str">
        <f t="shared" si="112"/>
        <v>HUN</v>
      </c>
      <c r="M616">
        <v>3</v>
      </c>
      <c r="O616" s="83" t="s">
        <v>410</v>
      </c>
      <c r="P616" s="78">
        <v>45395</v>
      </c>
      <c r="Q616" t="str">
        <f t="shared" si="103"/>
        <v>Riegler Rebeka Gréta - Főnix Dojo</v>
      </c>
      <c r="R616" t="s">
        <v>636</v>
      </c>
      <c r="S616" t="s">
        <v>636</v>
      </c>
      <c r="T616" t="s">
        <v>645</v>
      </c>
    </row>
    <row r="617" spans="1:20" x14ac:dyDescent="0.3">
      <c r="A617" s="2" t="s">
        <v>409</v>
      </c>
      <c r="B617" s="50" t="s">
        <v>154</v>
      </c>
      <c r="C617">
        <v>119</v>
      </c>
      <c r="D617" t="str">
        <f t="shared" si="111"/>
        <v>Kumite</v>
      </c>
      <c r="E617" t="str">
        <f t="shared" si="113"/>
        <v>Kumite, -, 45-55 kg, Serdülő (13-14</v>
      </c>
      <c r="F617" s="83" t="s">
        <v>539</v>
      </c>
      <c r="G617" s="50" t="str">
        <f t="shared" si="114"/>
        <v>12</v>
      </c>
      <c r="H617" t="str">
        <f t="shared" si="115"/>
        <v>16 fős egyenes kiesés</v>
      </c>
      <c r="I617" s="67" t="s">
        <v>302</v>
      </c>
      <c r="J617" t="s">
        <v>443</v>
      </c>
      <c r="K617" t="s">
        <v>67</v>
      </c>
      <c r="L617" t="str">
        <f t="shared" si="112"/>
        <v>HUN</v>
      </c>
      <c r="M617">
        <v>3</v>
      </c>
      <c r="O617" s="83" t="s">
        <v>410</v>
      </c>
      <c r="P617" s="78">
        <v>45395</v>
      </c>
      <c r="Q617" t="str">
        <f t="shared" si="103"/>
        <v>Bognár Boglárka - Rakurai</v>
      </c>
      <c r="R617" t="s">
        <v>636</v>
      </c>
      <c r="S617" t="s">
        <v>636</v>
      </c>
      <c r="T617" t="s">
        <v>645</v>
      </c>
    </row>
    <row r="618" spans="1:20" x14ac:dyDescent="0.3">
      <c r="A618" s="2" t="s">
        <v>409</v>
      </c>
      <c r="B618" s="50" t="s">
        <v>154</v>
      </c>
      <c r="C618">
        <v>120</v>
      </c>
      <c r="D618" t="str">
        <f t="shared" si="111"/>
        <v>Kumite</v>
      </c>
      <c r="E618" t="str">
        <f>"Kumite, -, 55-65 kg, Serdülő (13-14"</f>
        <v>Kumite, -, 55-65 kg, Serdülő (13-14</v>
      </c>
      <c r="F618" s="83" t="s">
        <v>540</v>
      </c>
      <c r="G618" s="50" t="str">
        <f>"6"</f>
        <v>6</v>
      </c>
      <c r="H618" t="str">
        <f>"6 fős vegyes"</f>
        <v>6 fős vegyes</v>
      </c>
      <c r="I618" s="50" t="str">
        <f>"1"</f>
        <v>1</v>
      </c>
      <c r="J618" t="str">
        <f>"Barna Emese Nikolett"</f>
        <v>Barna Emese Nikolett</v>
      </c>
      <c r="K618" t="str">
        <f>"Bendiák Dojo"</f>
        <v>Bendiák Dojo</v>
      </c>
      <c r="L618" t="str">
        <f t="shared" si="112"/>
        <v>HUN</v>
      </c>
      <c r="M618">
        <v>8</v>
      </c>
      <c r="O618" s="83" t="s">
        <v>410</v>
      </c>
      <c r="P618" s="78">
        <v>45395</v>
      </c>
      <c r="Q618" t="str">
        <f t="shared" si="103"/>
        <v>Barna Emese Nikolett - Bendiák Dojo</v>
      </c>
      <c r="R618" t="s">
        <v>636</v>
      </c>
      <c r="S618" t="s">
        <v>636</v>
      </c>
      <c r="T618" t="s">
        <v>645</v>
      </c>
    </row>
    <row r="619" spans="1:20" x14ac:dyDescent="0.3">
      <c r="A619" s="2" t="s">
        <v>409</v>
      </c>
      <c r="B619" s="50" t="s">
        <v>154</v>
      </c>
      <c r="C619">
        <v>121</v>
      </c>
      <c r="D619" t="str">
        <f t="shared" si="111"/>
        <v>Kumite</v>
      </c>
      <c r="E619" t="str">
        <f>"Kumite, -, 55-65 kg, Serdülő (13-14"</f>
        <v>Kumite, -, 55-65 kg, Serdülő (13-14</v>
      </c>
      <c r="F619" s="83" t="s">
        <v>540</v>
      </c>
      <c r="G619" s="50" t="str">
        <f>"6"</f>
        <v>6</v>
      </c>
      <c r="H619" t="str">
        <f>"6 fős vegyes"</f>
        <v>6 fős vegyes</v>
      </c>
      <c r="I619" s="50" t="str">
        <f>"2"</f>
        <v>2</v>
      </c>
      <c r="J619" t="str">
        <f>"Kolonics Anett"</f>
        <v>Kolonics Anett</v>
      </c>
      <c r="K619" t="str">
        <f>"Kisvárda KKDOSC"</f>
        <v>Kisvárda KKDOSC</v>
      </c>
      <c r="L619" t="str">
        <f t="shared" si="112"/>
        <v>HUN</v>
      </c>
      <c r="M619">
        <v>6</v>
      </c>
      <c r="O619" s="83" t="s">
        <v>410</v>
      </c>
      <c r="P619" s="78">
        <v>45395</v>
      </c>
      <c r="Q619" t="str">
        <f t="shared" si="103"/>
        <v>Kolonics Anett - Kisvárda KKDOSC</v>
      </c>
      <c r="R619" t="s">
        <v>636</v>
      </c>
      <c r="S619" t="s">
        <v>636</v>
      </c>
      <c r="T619" t="s">
        <v>645</v>
      </c>
    </row>
    <row r="620" spans="1:20" x14ac:dyDescent="0.3">
      <c r="A620" s="2" t="s">
        <v>409</v>
      </c>
      <c r="B620" s="50" t="s">
        <v>154</v>
      </c>
      <c r="C620">
        <v>122</v>
      </c>
      <c r="D620" t="str">
        <f t="shared" si="111"/>
        <v>Kumite</v>
      </c>
      <c r="E620" t="str">
        <f>"Kumite, -, 55-65 kg, Serdülő (13-14"</f>
        <v>Kumite, -, 55-65 kg, Serdülő (13-14</v>
      </c>
      <c r="F620" s="83" t="s">
        <v>540</v>
      </c>
      <c r="G620" s="50" t="str">
        <f>"6"</f>
        <v>6</v>
      </c>
      <c r="H620" t="str">
        <f>"6 fős vegyes"</f>
        <v>6 fős vegyes</v>
      </c>
      <c r="I620" s="50" t="str">
        <f>"3"</f>
        <v>3</v>
      </c>
      <c r="J620" t="str">
        <f>"Fránki Dorina"</f>
        <v>Fránki Dorina</v>
      </c>
      <c r="K620" t="str">
        <f>"TADASHII "</f>
        <v xml:space="preserve">TADASHII </v>
      </c>
      <c r="L620" t="str">
        <f t="shared" si="112"/>
        <v>HUN</v>
      </c>
      <c r="M620">
        <v>4</v>
      </c>
      <c r="O620" s="83" t="s">
        <v>410</v>
      </c>
      <c r="P620" s="78">
        <v>45395</v>
      </c>
      <c r="Q620" t="str">
        <f t="shared" si="103"/>
        <v xml:space="preserve">Fránki Dorina - TADASHII </v>
      </c>
      <c r="R620" t="s">
        <v>637</v>
      </c>
      <c r="S620" t="s">
        <v>170</v>
      </c>
      <c r="T620" t="s">
        <v>645</v>
      </c>
    </row>
    <row r="621" spans="1:20" x14ac:dyDescent="0.3">
      <c r="A621" s="2" t="s">
        <v>409</v>
      </c>
      <c r="B621" s="50" t="s">
        <v>154</v>
      </c>
      <c r="C621">
        <v>123</v>
      </c>
      <c r="D621" t="str">
        <f t="shared" si="111"/>
        <v>Kumite</v>
      </c>
      <c r="E621" t="str">
        <f>"Kumite, -, 65-200 kg, Serdülő (13-14"</f>
        <v>Kumite, -, 65-200 kg, Serdülő (13-14</v>
      </c>
      <c r="F621" s="83" t="s">
        <v>543</v>
      </c>
      <c r="G621" s="50" t="str">
        <f>"4"</f>
        <v>4</v>
      </c>
      <c r="H621" t="str">
        <f>"4 fős körmérkőzés"</f>
        <v>4 fős körmérkőzés</v>
      </c>
      <c r="I621" s="50" t="str">
        <f>"1"</f>
        <v>1</v>
      </c>
      <c r="J621" t="str">
        <f>"Pénzes Zsófia"</f>
        <v>Pénzes Zsófia</v>
      </c>
      <c r="K621" t="str">
        <f>"KHSE"</f>
        <v>KHSE</v>
      </c>
      <c r="L621" t="str">
        <f t="shared" si="112"/>
        <v>HUN</v>
      </c>
      <c r="M621">
        <v>8</v>
      </c>
      <c r="O621" s="83" t="s">
        <v>410</v>
      </c>
      <c r="P621" s="78">
        <v>45395</v>
      </c>
      <c r="Q621" t="str">
        <f t="shared" si="103"/>
        <v>Pénzes Zsófia - KHSE</v>
      </c>
      <c r="R621" t="s">
        <v>636</v>
      </c>
      <c r="S621" t="s">
        <v>636</v>
      </c>
      <c r="T621" t="s">
        <v>645</v>
      </c>
    </row>
    <row r="622" spans="1:20" x14ac:dyDescent="0.3">
      <c r="A622" s="2" t="s">
        <v>409</v>
      </c>
      <c r="B622" s="50" t="s">
        <v>154</v>
      </c>
      <c r="C622">
        <v>124</v>
      </c>
      <c r="D622" t="str">
        <f t="shared" si="111"/>
        <v>Kumite</v>
      </c>
      <c r="E622" t="str">
        <f>"Kumite, -, 65-200 kg, Serdülő (13-14"</f>
        <v>Kumite, -, 65-200 kg, Serdülő (13-14</v>
      </c>
      <c r="F622" s="83" t="s">
        <v>543</v>
      </c>
      <c r="G622" s="50" t="str">
        <f>"4"</f>
        <v>4</v>
      </c>
      <c r="H622" t="str">
        <f>"4 fős körmérkőzés"</f>
        <v>4 fős körmérkőzés</v>
      </c>
      <c r="I622" s="50" t="str">
        <f>"2"</f>
        <v>2</v>
      </c>
      <c r="J622" t="str">
        <f>"Csonka Kata"</f>
        <v>Csonka Kata</v>
      </c>
      <c r="K622" t="str">
        <f>"Kamikaze S"</f>
        <v>Kamikaze S</v>
      </c>
      <c r="L622" t="str">
        <f t="shared" si="112"/>
        <v>HUN</v>
      </c>
      <c r="M622">
        <v>6</v>
      </c>
      <c r="O622" s="83" t="s">
        <v>410</v>
      </c>
      <c r="P622" s="78">
        <v>45395</v>
      </c>
      <c r="Q622" t="str">
        <f t="shared" si="103"/>
        <v>Csonka Kata - Kamikaze S</v>
      </c>
      <c r="R622" t="s">
        <v>636</v>
      </c>
      <c r="S622" t="s">
        <v>636</v>
      </c>
      <c r="T622" t="s">
        <v>645</v>
      </c>
    </row>
    <row r="623" spans="1:20" x14ac:dyDescent="0.3">
      <c r="A623" s="2" t="s">
        <v>409</v>
      </c>
      <c r="B623" s="50" t="s">
        <v>154</v>
      </c>
      <c r="C623">
        <v>125</v>
      </c>
      <c r="D623" t="str">
        <f t="shared" si="111"/>
        <v>Kumite</v>
      </c>
      <c r="E623" t="str">
        <f>"Kumite, -, 65-200 kg, Serdülő (13-14"</f>
        <v>Kumite, -, 65-200 kg, Serdülő (13-14</v>
      </c>
      <c r="F623" s="83" t="s">
        <v>543</v>
      </c>
      <c r="G623" s="50" t="str">
        <f>"4"</f>
        <v>4</v>
      </c>
      <c r="H623" t="str">
        <f>"4 fős körmérkőzés"</f>
        <v>4 fős körmérkőzés</v>
      </c>
      <c r="I623" s="50" t="str">
        <f>"3"</f>
        <v>3</v>
      </c>
      <c r="J623" t="str">
        <f>"Soós Flóra"</f>
        <v>Soós Flóra</v>
      </c>
      <c r="K623" t="str">
        <f>"Nagykátai Bushido SE"</f>
        <v>Nagykátai Bushido SE</v>
      </c>
      <c r="L623" t="str">
        <f t="shared" si="112"/>
        <v>HUN</v>
      </c>
      <c r="M623">
        <v>4</v>
      </c>
      <c r="O623" s="83" t="s">
        <v>410</v>
      </c>
      <c r="P623" s="78">
        <v>45395</v>
      </c>
      <c r="Q623" t="str">
        <f t="shared" si="103"/>
        <v>Soós Flóra - Nagykátai Bushido SE</v>
      </c>
      <c r="R623" t="s">
        <v>636</v>
      </c>
      <c r="S623" t="s">
        <v>636</v>
      </c>
      <c r="T623" t="s">
        <v>645</v>
      </c>
    </row>
    <row r="624" spans="1:20" x14ac:dyDescent="0.3">
      <c r="A624" s="2" t="s">
        <v>409</v>
      </c>
      <c r="B624" s="50" t="s">
        <v>154</v>
      </c>
      <c r="C624">
        <v>126</v>
      </c>
      <c r="D624" t="str">
        <f t="shared" ref="D624:D629" si="116">"Kata"</f>
        <v>Kata</v>
      </c>
      <c r="E624" t="str">
        <f t="shared" ref="E624:E629" si="117">"Kata, -, 0-150 kg, Serdülő (13-14"</f>
        <v>Kata, -, 0-150 kg, Serdülő (13-14</v>
      </c>
      <c r="F624" s="83" t="s">
        <v>538</v>
      </c>
      <c r="G624" s="50" t="str">
        <f t="shared" ref="G624:G629" si="118">"11"</f>
        <v>11</v>
      </c>
      <c r="H624" t="str">
        <f t="shared" ref="H624:H629" si="119">"16 fős egyenes kiesés"</f>
        <v>16 fős egyenes kiesés</v>
      </c>
      <c r="I624" s="50" t="str">
        <f>"1"</f>
        <v>1</v>
      </c>
      <c r="J624" t="str">
        <f>"Karap Virág"</f>
        <v>Karap Virág</v>
      </c>
      <c r="K624" t="str">
        <f>"Shogun"</f>
        <v>Shogun</v>
      </c>
      <c r="L624" t="str">
        <f t="shared" si="112"/>
        <v>HUN</v>
      </c>
      <c r="M624">
        <v>8</v>
      </c>
      <c r="O624" s="83" t="s">
        <v>410</v>
      </c>
      <c r="P624" s="78">
        <v>45395</v>
      </c>
      <c r="Q624" t="str">
        <f t="shared" si="103"/>
        <v>Karap Virág - Shogun</v>
      </c>
      <c r="R624" t="s">
        <v>636</v>
      </c>
      <c r="S624" t="s">
        <v>636</v>
      </c>
      <c r="T624" t="s">
        <v>645</v>
      </c>
    </row>
    <row r="625" spans="1:20" x14ac:dyDescent="0.3">
      <c r="A625" s="2" t="s">
        <v>409</v>
      </c>
      <c r="B625" s="50" t="s">
        <v>154</v>
      </c>
      <c r="C625">
        <v>127</v>
      </c>
      <c r="D625" t="str">
        <f t="shared" si="116"/>
        <v>Kata</v>
      </c>
      <c r="E625" t="str">
        <f t="shared" si="117"/>
        <v>Kata, -, 0-150 kg, Serdülő (13-14</v>
      </c>
      <c r="F625" s="83" t="s">
        <v>538</v>
      </c>
      <c r="G625" s="50" t="str">
        <f t="shared" si="118"/>
        <v>11</v>
      </c>
      <c r="H625" t="str">
        <f t="shared" si="119"/>
        <v>16 fős egyenes kiesés</v>
      </c>
      <c r="I625" s="50" t="str">
        <f>"2"</f>
        <v>2</v>
      </c>
      <c r="J625" t="str">
        <f>"Uszkai Flóra"</f>
        <v>Uszkai Flóra</v>
      </c>
      <c r="K625" t="str">
        <f>"Shogun"</f>
        <v>Shogun</v>
      </c>
      <c r="L625" t="str">
        <f t="shared" si="112"/>
        <v>HUN</v>
      </c>
      <c r="M625">
        <v>6</v>
      </c>
      <c r="O625" s="83" t="s">
        <v>410</v>
      </c>
      <c r="P625" s="78">
        <v>45395</v>
      </c>
      <c r="Q625" t="str">
        <f t="shared" si="103"/>
        <v>Uszkai Flóra - Shogun</v>
      </c>
      <c r="R625" t="s">
        <v>636</v>
      </c>
      <c r="S625" t="s">
        <v>636</v>
      </c>
      <c r="T625" t="s">
        <v>645</v>
      </c>
    </row>
    <row r="626" spans="1:20" x14ac:dyDescent="0.3">
      <c r="A626" s="2" t="s">
        <v>409</v>
      </c>
      <c r="B626" s="50" t="s">
        <v>154</v>
      </c>
      <c r="C626">
        <v>128</v>
      </c>
      <c r="D626" t="str">
        <f t="shared" si="116"/>
        <v>Kata</v>
      </c>
      <c r="E626" t="str">
        <f t="shared" si="117"/>
        <v>Kata, -, 0-150 kg, Serdülő (13-14</v>
      </c>
      <c r="F626" s="83" t="s">
        <v>538</v>
      </c>
      <c r="G626" s="50" t="str">
        <f t="shared" si="118"/>
        <v>11</v>
      </c>
      <c r="H626" t="str">
        <f t="shared" si="119"/>
        <v>16 fős egyenes kiesés</v>
      </c>
      <c r="I626" s="50" t="str">
        <f>"3"</f>
        <v>3</v>
      </c>
      <c r="J626" t="str">
        <f>"Karap Anna"</f>
        <v>Karap Anna</v>
      </c>
      <c r="K626" t="str">
        <f>"Shogun"</f>
        <v>Shogun</v>
      </c>
      <c r="L626" t="str">
        <f t="shared" si="112"/>
        <v>HUN</v>
      </c>
      <c r="M626">
        <v>4</v>
      </c>
      <c r="O626" s="83" t="s">
        <v>410</v>
      </c>
      <c r="P626" s="78">
        <v>45395</v>
      </c>
      <c r="Q626" t="str">
        <f t="shared" si="103"/>
        <v>Karap Anna - Shogun</v>
      </c>
      <c r="R626" t="s">
        <v>636</v>
      </c>
      <c r="S626" t="s">
        <v>636</v>
      </c>
      <c r="T626" t="s">
        <v>645</v>
      </c>
    </row>
    <row r="627" spans="1:20" x14ac:dyDescent="0.3">
      <c r="A627" s="2" t="s">
        <v>409</v>
      </c>
      <c r="B627" s="50" t="s">
        <v>154</v>
      </c>
      <c r="C627">
        <v>129</v>
      </c>
      <c r="D627" t="str">
        <f t="shared" si="116"/>
        <v>Kata</v>
      </c>
      <c r="E627" t="str">
        <f t="shared" si="117"/>
        <v>Kata, -, 0-150 kg, Serdülő (13-14</v>
      </c>
      <c r="F627" s="83" t="s">
        <v>538</v>
      </c>
      <c r="G627" s="50" t="str">
        <f t="shared" si="118"/>
        <v>11</v>
      </c>
      <c r="H627" t="str">
        <f t="shared" si="119"/>
        <v>16 fős egyenes kiesés</v>
      </c>
      <c r="I627" s="50" t="str">
        <f>"3"</f>
        <v>3</v>
      </c>
      <c r="J627" t="str">
        <f>"Riegler Rebeka Gréta"</f>
        <v>Riegler Rebeka Gréta</v>
      </c>
      <c r="K627" t="str">
        <f>"Főnix Dojo"</f>
        <v>Főnix Dojo</v>
      </c>
      <c r="L627" t="str">
        <f t="shared" si="112"/>
        <v>HUN</v>
      </c>
      <c r="M627">
        <v>4</v>
      </c>
      <c r="O627" s="83" t="s">
        <v>410</v>
      </c>
      <c r="P627" s="78">
        <v>45395</v>
      </c>
      <c r="Q627" t="str">
        <f t="shared" si="103"/>
        <v>Riegler Rebeka Gréta - Főnix Dojo</v>
      </c>
      <c r="R627" t="s">
        <v>636</v>
      </c>
      <c r="S627" t="s">
        <v>636</v>
      </c>
      <c r="T627" t="s">
        <v>645</v>
      </c>
    </row>
    <row r="628" spans="1:20" x14ac:dyDescent="0.3">
      <c r="A628" s="2" t="s">
        <v>409</v>
      </c>
      <c r="B628" s="50" t="s">
        <v>154</v>
      </c>
      <c r="C628">
        <v>129</v>
      </c>
      <c r="D628" t="str">
        <f t="shared" si="116"/>
        <v>Kata</v>
      </c>
      <c r="E628" t="str">
        <f t="shared" si="117"/>
        <v>Kata, -, 0-150 kg, Serdülő (13-14</v>
      </c>
      <c r="F628" s="83" t="s">
        <v>538</v>
      </c>
      <c r="G628" s="50" t="str">
        <f t="shared" si="118"/>
        <v>11</v>
      </c>
      <c r="H628" t="str">
        <f t="shared" si="119"/>
        <v>16 fős egyenes kiesés</v>
      </c>
      <c r="I628" s="67" t="s">
        <v>302</v>
      </c>
      <c r="J628" t="s">
        <v>458</v>
      </c>
      <c r="K628" t="s">
        <v>167</v>
      </c>
      <c r="L628" t="str">
        <f t="shared" si="112"/>
        <v>HUN</v>
      </c>
      <c r="M628">
        <v>2</v>
      </c>
      <c r="O628" s="83" t="s">
        <v>410</v>
      </c>
      <c r="P628" s="78">
        <v>45395</v>
      </c>
      <c r="Q628" t="str">
        <f t="shared" si="103"/>
        <v>Czakó Natália - Nagykátai Bushido SE</v>
      </c>
      <c r="R628" t="s">
        <v>636</v>
      </c>
      <c r="S628" t="s">
        <v>636</v>
      </c>
      <c r="T628" t="s">
        <v>645</v>
      </c>
    </row>
    <row r="629" spans="1:20" x14ac:dyDescent="0.3">
      <c r="A629" s="2" t="s">
        <v>409</v>
      </c>
      <c r="B629" s="50" t="s">
        <v>154</v>
      </c>
      <c r="C629">
        <v>129</v>
      </c>
      <c r="D629" t="str">
        <f t="shared" si="116"/>
        <v>Kata</v>
      </c>
      <c r="E629" t="str">
        <f t="shared" si="117"/>
        <v>Kata, -, 0-150 kg, Serdülő (13-14</v>
      </c>
      <c r="F629" s="83" t="s">
        <v>538</v>
      </c>
      <c r="G629" s="50" t="str">
        <f t="shared" si="118"/>
        <v>11</v>
      </c>
      <c r="H629" t="str">
        <f t="shared" si="119"/>
        <v>16 fős egyenes kiesés</v>
      </c>
      <c r="I629" s="67" t="s">
        <v>302</v>
      </c>
      <c r="J629" t="s">
        <v>459</v>
      </c>
      <c r="K629" t="s">
        <v>39</v>
      </c>
      <c r="L629" t="str">
        <f t="shared" si="112"/>
        <v>HUN</v>
      </c>
      <c r="M629">
        <v>2</v>
      </c>
      <c r="O629" s="83" t="s">
        <v>410</v>
      </c>
      <c r="P629" s="78">
        <v>45395</v>
      </c>
      <c r="Q629" t="str">
        <f t="shared" si="103"/>
        <v>Farkas Eszter - Bendiák Dojo</v>
      </c>
      <c r="R629" t="s">
        <v>636</v>
      </c>
      <c r="S629" t="s">
        <v>636</v>
      </c>
      <c r="T629" t="s">
        <v>645</v>
      </c>
    </row>
    <row r="630" spans="1:20" x14ac:dyDescent="0.3">
      <c r="A630" s="2" t="s">
        <v>409</v>
      </c>
      <c r="B630" s="50" t="s">
        <v>154</v>
      </c>
      <c r="C630">
        <v>130</v>
      </c>
      <c r="D630" t="str">
        <f t="shared" ref="D630:D655" si="120">"Kumite"</f>
        <v>Kumite</v>
      </c>
      <c r="E630" t="str">
        <f>"Kumite, -, 0-50 kg, Ifjúsági (15-16"</f>
        <v>Kumite, -, 0-50 kg, Ifjúsági (15-16</v>
      </c>
      <c r="F630" s="83" t="s">
        <v>541</v>
      </c>
      <c r="G630" s="50" t="str">
        <f t="shared" ref="G630:G635" si="121">"6"</f>
        <v>6</v>
      </c>
      <c r="H630" t="str">
        <f t="shared" ref="H630:H635" si="122">"6 fős vegyes"</f>
        <v>6 fős vegyes</v>
      </c>
      <c r="I630" s="50" t="str">
        <f>"1"</f>
        <v>1</v>
      </c>
      <c r="J630" t="str">
        <f>"Geiszt Márton"</f>
        <v>Geiszt Márton</v>
      </c>
      <c r="K630" t="str">
        <f>"Főnix Dojo"</f>
        <v>Főnix Dojo</v>
      </c>
      <c r="L630" t="str">
        <f t="shared" si="112"/>
        <v>HUN</v>
      </c>
      <c r="M630">
        <v>8</v>
      </c>
      <c r="O630" s="83" t="s">
        <v>410</v>
      </c>
      <c r="P630" s="78">
        <v>45395</v>
      </c>
      <c r="Q630" t="str">
        <f t="shared" si="103"/>
        <v>Geiszt Márton - Főnix Dojo</v>
      </c>
      <c r="R630" t="s">
        <v>636</v>
      </c>
      <c r="S630" t="s">
        <v>636</v>
      </c>
      <c r="T630" t="s">
        <v>645</v>
      </c>
    </row>
    <row r="631" spans="1:20" x14ac:dyDescent="0.3">
      <c r="A631" s="2" t="s">
        <v>409</v>
      </c>
      <c r="B631" s="50" t="s">
        <v>154</v>
      </c>
      <c r="C631">
        <v>131</v>
      </c>
      <c r="D631" t="str">
        <f t="shared" si="120"/>
        <v>Kumite</v>
      </c>
      <c r="E631" t="str">
        <f>"Kumite, -, 0-50 kg, Ifjúsági (15-16"</f>
        <v>Kumite, -, 0-50 kg, Ifjúsági (15-16</v>
      </c>
      <c r="F631" s="83" t="s">
        <v>541</v>
      </c>
      <c r="G631" s="50" t="str">
        <f t="shared" si="121"/>
        <v>6</v>
      </c>
      <c r="H631" t="str">
        <f t="shared" si="122"/>
        <v>6 fős vegyes</v>
      </c>
      <c r="I631" s="50" t="str">
        <f>"2"</f>
        <v>2</v>
      </c>
      <c r="J631" t="str">
        <f>"Nagy Péter"</f>
        <v>Nagy Péter</v>
      </c>
      <c r="K631" t="str">
        <f>"KHSE"</f>
        <v>KHSE</v>
      </c>
      <c r="L631" t="str">
        <f t="shared" si="112"/>
        <v>HUN</v>
      </c>
      <c r="M631">
        <v>6</v>
      </c>
      <c r="O631" s="83" t="s">
        <v>410</v>
      </c>
      <c r="P631" s="78">
        <v>45395</v>
      </c>
      <c r="Q631" t="str">
        <f t="shared" si="103"/>
        <v>Nagy Péter - KHSE</v>
      </c>
      <c r="R631" t="s">
        <v>636</v>
      </c>
      <c r="S631" t="s">
        <v>636</v>
      </c>
      <c r="T631" t="s">
        <v>645</v>
      </c>
    </row>
    <row r="632" spans="1:20" x14ac:dyDescent="0.3">
      <c r="A632" s="2" t="s">
        <v>409</v>
      </c>
      <c r="B632" s="50" t="s">
        <v>154</v>
      </c>
      <c r="C632">
        <v>132</v>
      </c>
      <c r="D632" t="str">
        <f t="shared" si="120"/>
        <v>Kumite</v>
      </c>
      <c r="E632" t="str">
        <f>"Kumite, -, 0-50 kg, Ifjúsági (15-16"</f>
        <v>Kumite, -, 0-50 kg, Ifjúsági (15-16</v>
      </c>
      <c r="F632" s="83" t="s">
        <v>541</v>
      </c>
      <c r="G632" s="50" t="str">
        <f t="shared" si="121"/>
        <v>6</v>
      </c>
      <c r="H632" t="str">
        <f t="shared" si="122"/>
        <v>6 fős vegyes</v>
      </c>
      <c r="I632" s="50" t="str">
        <f>"3"</f>
        <v>3</v>
      </c>
      <c r="J632" t="str">
        <f>"Kállai László"</f>
        <v>Kállai László</v>
      </c>
      <c r="K632" t="str">
        <f>"Victory"</f>
        <v>Victory</v>
      </c>
      <c r="L632" t="str">
        <f t="shared" si="112"/>
        <v>HUN</v>
      </c>
      <c r="M632">
        <v>4</v>
      </c>
      <c r="O632" s="83" t="s">
        <v>410</v>
      </c>
      <c r="P632" s="78">
        <v>45395</v>
      </c>
      <c r="Q632" t="str">
        <f t="shared" si="103"/>
        <v>Kállai László - Victory</v>
      </c>
      <c r="R632" t="s">
        <v>636</v>
      </c>
      <c r="S632" t="s">
        <v>636</v>
      </c>
      <c r="T632" t="s">
        <v>645</v>
      </c>
    </row>
    <row r="633" spans="1:20" x14ac:dyDescent="0.3">
      <c r="A633" s="2" t="s">
        <v>409</v>
      </c>
      <c r="B633" s="50" t="s">
        <v>154</v>
      </c>
      <c r="C633">
        <v>133</v>
      </c>
      <c r="D633" t="str">
        <f t="shared" si="120"/>
        <v>Kumite</v>
      </c>
      <c r="E633" t="str">
        <f>"Kumite, -, 50-55 kg, Ifjúsági (15-16"</f>
        <v>Kumite, -, 50-55 kg, Ifjúsági (15-16</v>
      </c>
      <c r="F633" s="83" t="s">
        <v>542</v>
      </c>
      <c r="G633" s="50" t="str">
        <f t="shared" si="121"/>
        <v>6</v>
      </c>
      <c r="H633" t="str">
        <f t="shared" si="122"/>
        <v>6 fős vegyes</v>
      </c>
      <c r="I633" s="50" t="str">
        <f>"1"</f>
        <v>1</v>
      </c>
      <c r="J633" t="str">
        <f>"Bene László"</f>
        <v>Bene László</v>
      </c>
      <c r="K633" t="str">
        <f>"Spirit SE."</f>
        <v>Spirit SE.</v>
      </c>
      <c r="L633" t="str">
        <f t="shared" si="112"/>
        <v>HUN</v>
      </c>
      <c r="M633">
        <v>8</v>
      </c>
      <c r="O633" s="83" t="s">
        <v>410</v>
      </c>
      <c r="P633" s="78">
        <v>45395</v>
      </c>
      <c r="Q633" t="str">
        <f t="shared" si="103"/>
        <v>Bene László - Spirit SE.</v>
      </c>
      <c r="R633" t="s">
        <v>636</v>
      </c>
      <c r="S633" t="s">
        <v>636</v>
      </c>
      <c r="T633" t="s">
        <v>645</v>
      </c>
    </row>
    <row r="634" spans="1:20" x14ac:dyDescent="0.3">
      <c r="A634" s="2" t="s">
        <v>409</v>
      </c>
      <c r="B634" s="50" t="s">
        <v>154</v>
      </c>
      <c r="C634">
        <v>134</v>
      </c>
      <c r="D634" t="str">
        <f t="shared" si="120"/>
        <v>Kumite</v>
      </c>
      <c r="E634" t="str">
        <f>"Kumite, -, 50-55 kg, Ifjúsági (15-16"</f>
        <v>Kumite, -, 50-55 kg, Ifjúsági (15-16</v>
      </c>
      <c r="F634" s="83" t="s">
        <v>542</v>
      </c>
      <c r="G634" s="50" t="str">
        <f t="shared" si="121"/>
        <v>6</v>
      </c>
      <c r="H634" t="str">
        <f t="shared" si="122"/>
        <v>6 fős vegyes</v>
      </c>
      <c r="I634" s="50" t="str">
        <f>"2"</f>
        <v>2</v>
      </c>
      <c r="J634" t="str">
        <f>"Tóth Zoltán"</f>
        <v>Tóth Zoltán</v>
      </c>
      <c r="K634" t="str">
        <f>"Derecske BUDO"</f>
        <v>Derecske BUDO</v>
      </c>
      <c r="L634" t="str">
        <f t="shared" si="112"/>
        <v>HUN</v>
      </c>
      <c r="M634">
        <v>6</v>
      </c>
      <c r="O634" s="83" t="s">
        <v>410</v>
      </c>
      <c r="P634" s="78">
        <v>45395</v>
      </c>
      <c r="Q634" t="str">
        <f t="shared" si="103"/>
        <v>Tóth Zoltán - Derecske BUDO</v>
      </c>
      <c r="R634" t="s">
        <v>636</v>
      </c>
      <c r="S634" t="s">
        <v>636</v>
      </c>
      <c r="T634" t="s">
        <v>645</v>
      </c>
    </row>
    <row r="635" spans="1:20" x14ac:dyDescent="0.3">
      <c r="A635" s="2" t="s">
        <v>409</v>
      </c>
      <c r="B635" s="50" t="s">
        <v>154</v>
      </c>
      <c r="C635">
        <v>135</v>
      </c>
      <c r="D635" t="str">
        <f t="shared" si="120"/>
        <v>Kumite</v>
      </c>
      <c r="E635" t="str">
        <f>"Kumite, -, 50-55 kg, Ifjúsági (15-16"</f>
        <v>Kumite, -, 50-55 kg, Ifjúsági (15-16</v>
      </c>
      <c r="F635" s="83" t="s">
        <v>542</v>
      </c>
      <c r="G635" s="50" t="str">
        <f t="shared" si="121"/>
        <v>6</v>
      </c>
      <c r="H635" t="str">
        <f t="shared" si="122"/>
        <v>6 fős vegyes</v>
      </c>
      <c r="I635" s="50" t="str">
        <f>"3"</f>
        <v>3</v>
      </c>
      <c r="J635" t="str">
        <f>"Tóth Gábor"</f>
        <v>Tóth Gábor</v>
      </c>
      <c r="K635" t="str">
        <f>"Fitt SE"</f>
        <v>Fitt SE</v>
      </c>
      <c r="L635" t="str">
        <f t="shared" si="112"/>
        <v>HUN</v>
      </c>
      <c r="M635">
        <v>4</v>
      </c>
      <c r="O635" s="83" t="s">
        <v>410</v>
      </c>
      <c r="P635" s="78">
        <v>45395</v>
      </c>
      <c r="Q635" t="str">
        <f t="shared" si="103"/>
        <v>Tóth Gábor - Fitt SE</v>
      </c>
      <c r="R635" t="s">
        <v>636</v>
      </c>
      <c r="S635" t="s">
        <v>636</v>
      </c>
      <c r="T635" t="s">
        <v>645</v>
      </c>
    </row>
    <row r="636" spans="1:20" x14ac:dyDescent="0.3">
      <c r="A636" s="2" t="s">
        <v>409</v>
      </c>
      <c r="B636" s="50" t="s">
        <v>154</v>
      </c>
      <c r="C636">
        <v>136</v>
      </c>
      <c r="D636" t="str">
        <f t="shared" si="120"/>
        <v>Kumite</v>
      </c>
      <c r="E636" t="str">
        <f>"Kumite, -, 55-60 kg, Ifjúsági (15-16"</f>
        <v>Kumite, -, 55-60 kg, Ifjúsági (15-16</v>
      </c>
      <c r="F636" s="83" t="s">
        <v>544</v>
      </c>
      <c r="G636" s="50" t="str">
        <f>"9"</f>
        <v>9</v>
      </c>
      <c r="H636" t="str">
        <f>"16 fős egyenes kiesés"</f>
        <v>16 fős egyenes kiesés</v>
      </c>
      <c r="I636" s="50" t="str">
        <f>"1"</f>
        <v>1</v>
      </c>
      <c r="J636" t="str">
        <f>"Böszörményi Gergő"</f>
        <v>Böszörményi Gergő</v>
      </c>
      <c r="K636" t="str">
        <f>"Victory"</f>
        <v>Victory</v>
      </c>
      <c r="L636" t="str">
        <f t="shared" si="112"/>
        <v>HUN</v>
      </c>
      <c r="M636">
        <v>10</v>
      </c>
      <c r="O636" s="83" t="s">
        <v>410</v>
      </c>
      <c r="P636" s="78">
        <v>45395</v>
      </c>
      <c r="Q636" t="str">
        <f t="shared" si="103"/>
        <v>Böszörményi Gergő - Victory</v>
      </c>
      <c r="R636" t="s">
        <v>636</v>
      </c>
      <c r="S636" t="s">
        <v>636</v>
      </c>
      <c r="T636" t="s">
        <v>645</v>
      </c>
    </row>
    <row r="637" spans="1:20" x14ac:dyDescent="0.3">
      <c r="A637" s="2" t="s">
        <v>409</v>
      </c>
      <c r="B637" s="50" t="s">
        <v>154</v>
      </c>
      <c r="C637">
        <v>137</v>
      </c>
      <c r="D637" t="str">
        <f t="shared" si="120"/>
        <v>Kumite</v>
      </c>
      <c r="E637" t="str">
        <f>"Kumite, -, 55-60 kg, Ifjúsági (15-16"</f>
        <v>Kumite, -, 55-60 kg, Ifjúsági (15-16</v>
      </c>
      <c r="F637" s="83" t="s">
        <v>544</v>
      </c>
      <c r="G637" s="50" t="str">
        <f>"9"</f>
        <v>9</v>
      </c>
      <c r="H637" t="str">
        <f>"16 fős egyenes kiesés"</f>
        <v>16 fős egyenes kiesés</v>
      </c>
      <c r="I637" s="50" t="str">
        <f>"2"</f>
        <v>2</v>
      </c>
      <c r="J637" t="str">
        <f>"Bacskai Bence"</f>
        <v>Bacskai Bence</v>
      </c>
      <c r="K637" t="str">
        <f>"KHSE"</f>
        <v>KHSE</v>
      </c>
      <c r="L637" t="str">
        <f t="shared" si="112"/>
        <v>HUN</v>
      </c>
      <c r="M637">
        <v>8</v>
      </c>
      <c r="O637" s="83" t="s">
        <v>410</v>
      </c>
      <c r="P637" s="78">
        <v>45395</v>
      </c>
      <c r="Q637" t="str">
        <f t="shared" si="103"/>
        <v>Bacskai Bence - KHSE</v>
      </c>
      <c r="R637" t="s">
        <v>636</v>
      </c>
      <c r="S637" t="s">
        <v>636</v>
      </c>
      <c r="T637" t="s">
        <v>645</v>
      </c>
    </row>
    <row r="638" spans="1:20" x14ac:dyDescent="0.3">
      <c r="A638" s="2" t="s">
        <v>409</v>
      </c>
      <c r="B638" s="50" t="s">
        <v>154</v>
      </c>
      <c r="C638">
        <v>138</v>
      </c>
      <c r="D638" t="str">
        <f t="shared" si="120"/>
        <v>Kumite</v>
      </c>
      <c r="E638" t="str">
        <f>"Kumite, -, 55-60 kg, Ifjúsági (15-16"</f>
        <v>Kumite, -, 55-60 kg, Ifjúsági (15-16</v>
      </c>
      <c r="F638" s="83" t="s">
        <v>544</v>
      </c>
      <c r="G638" s="50" t="str">
        <f>"9"</f>
        <v>9</v>
      </c>
      <c r="H638" t="str">
        <f>"16 fős egyenes kiesés"</f>
        <v>16 fős egyenes kiesés</v>
      </c>
      <c r="I638" s="50" t="str">
        <f>"3"</f>
        <v>3</v>
      </c>
      <c r="J638" t="str">
        <f>"Fazakas Áprád"</f>
        <v>Fazakas Áprád</v>
      </c>
      <c r="K638" t="str">
        <f>"HARCOSOK KLUBJA"</f>
        <v>HARCOSOK KLUBJA</v>
      </c>
      <c r="L638" t="str">
        <f t="shared" si="112"/>
        <v>HUN</v>
      </c>
      <c r="M638">
        <v>6</v>
      </c>
      <c r="O638" s="83" t="s">
        <v>410</v>
      </c>
      <c r="P638" s="78">
        <v>45395</v>
      </c>
      <c r="Q638" t="str">
        <f t="shared" si="103"/>
        <v>Fazakas Áprád - HARCOSOK KLUBJA</v>
      </c>
      <c r="R638" t="s">
        <v>636</v>
      </c>
      <c r="S638" t="s">
        <v>636</v>
      </c>
      <c r="T638" t="s">
        <v>645</v>
      </c>
    </row>
    <row r="639" spans="1:20" x14ac:dyDescent="0.3">
      <c r="A639" s="2" t="s">
        <v>409</v>
      </c>
      <c r="B639" s="50" t="s">
        <v>154</v>
      </c>
      <c r="C639">
        <v>139</v>
      </c>
      <c r="D639" t="str">
        <f t="shared" si="120"/>
        <v>Kumite</v>
      </c>
      <c r="E639" t="str">
        <f>"Kumite, -, 55-60 kg, Ifjúsági (15-16"</f>
        <v>Kumite, -, 55-60 kg, Ifjúsági (15-16</v>
      </c>
      <c r="F639" s="83" t="s">
        <v>544</v>
      </c>
      <c r="G639" s="50" t="str">
        <f>"9"</f>
        <v>9</v>
      </c>
      <c r="H639" t="str">
        <f>"16 fős egyenes kiesés"</f>
        <v>16 fős egyenes kiesés</v>
      </c>
      <c r="I639" s="50" t="str">
        <f>"3"</f>
        <v>3</v>
      </c>
      <c r="J639" t="str">
        <f>"Lukács Botond"</f>
        <v>Lukács Botond</v>
      </c>
      <c r="K639" t="str">
        <f>"KyoDabas SE."</f>
        <v>KyoDabas SE.</v>
      </c>
      <c r="L639" t="str">
        <f t="shared" si="112"/>
        <v>HUN</v>
      </c>
      <c r="M639">
        <v>6</v>
      </c>
      <c r="O639" s="83" t="s">
        <v>410</v>
      </c>
      <c r="P639" s="78">
        <v>45395</v>
      </c>
      <c r="Q639" t="str">
        <f t="shared" si="103"/>
        <v>Lukács Botond - KyoDabas SE.</v>
      </c>
      <c r="R639" t="s">
        <v>636</v>
      </c>
      <c r="S639" t="s">
        <v>636</v>
      </c>
      <c r="T639" t="s">
        <v>645</v>
      </c>
    </row>
    <row r="640" spans="1:20" x14ac:dyDescent="0.3">
      <c r="A640" s="2" t="s">
        <v>409</v>
      </c>
      <c r="B640" s="50" t="s">
        <v>154</v>
      </c>
      <c r="C640">
        <v>140</v>
      </c>
      <c r="D640" t="str">
        <f t="shared" si="120"/>
        <v>Kumite</v>
      </c>
      <c r="E640" t="str">
        <f>"Kumite, -, 60-65 kg, Ifjúsági (15-16"</f>
        <v>Kumite, -, 60-65 kg, Ifjúsági (15-16</v>
      </c>
      <c r="F640" s="83" t="s">
        <v>555</v>
      </c>
      <c r="G640" s="50" t="str">
        <f>"4"</f>
        <v>4</v>
      </c>
      <c r="H640" t="str">
        <f>"4 fős körmérkőzés"</f>
        <v>4 fős körmérkőzés</v>
      </c>
      <c r="I640" s="50" t="str">
        <f>"1"</f>
        <v>1</v>
      </c>
      <c r="J640" t="str">
        <f>"Szabó Ákos Roland"</f>
        <v>Szabó Ákos Roland</v>
      </c>
      <c r="K640" t="str">
        <f>"KHSE"</f>
        <v>KHSE</v>
      </c>
      <c r="L640" t="str">
        <f t="shared" si="112"/>
        <v>HUN</v>
      </c>
      <c r="M640">
        <v>8</v>
      </c>
      <c r="O640" s="83" t="s">
        <v>410</v>
      </c>
      <c r="P640" s="78">
        <v>45395</v>
      </c>
      <c r="Q640" t="str">
        <f t="shared" si="103"/>
        <v>Szabó Ákos Roland - KHSE</v>
      </c>
      <c r="R640" t="s">
        <v>636</v>
      </c>
      <c r="S640" t="s">
        <v>636</v>
      </c>
      <c r="T640" t="s">
        <v>645</v>
      </c>
    </row>
    <row r="641" spans="1:20" x14ac:dyDescent="0.3">
      <c r="A641" s="2" t="s">
        <v>409</v>
      </c>
      <c r="B641" s="50" t="s">
        <v>154</v>
      </c>
      <c r="C641">
        <v>141</v>
      </c>
      <c r="D641" t="str">
        <f t="shared" si="120"/>
        <v>Kumite</v>
      </c>
      <c r="E641" t="str">
        <f>"Kumite, -, 60-65 kg, Ifjúsági (15-16"</f>
        <v>Kumite, -, 60-65 kg, Ifjúsági (15-16</v>
      </c>
      <c r="F641" s="83" t="s">
        <v>555</v>
      </c>
      <c r="G641" s="50" t="str">
        <f>"4"</f>
        <v>4</v>
      </c>
      <c r="H641" t="str">
        <f>"4 fős körmérkőzés"</f>
        <v>4 fős körmérkőzés</v>
      </c>
      <c r="I641" s="50" t="str">
        <f>"2"</f>
        <v>2</v>
      </c>
      <c r="J641" t="str">
        <f>"Jónás Bence"</f>
        <v>Jónás Bence</v>
      </c>
      <c r="K641" t="str">
        <f>"Victory"</f>
        <v>Victory</v>
      </c>
      <c r="L641" t="str">
        <f t="shared" si="112"/>
        <v>HUN</v>
      </c>
      <c r="M641">
        <v>6</v>
      </c>
      <c r="O641" s="83" t="s">
        <v>410</v>
      </c>
      <c r="P641" s="78">
        <v>45395</v>
      </c>
      <c r="Q641" t="str">
        <f t="shared" si="103"/>
        <v>Jónás Bence - Victory</v>
      </c>
      <c r="R641" t="s">
        <v>636</v>
      </c>
      <c r="S641" t="s">
        <v>636</v>
      </c>
      <c r="T641" t="s">
        <v>645</v>
      </c>
    </row>
    <row r="642" spans="1:20" x14ac:dyDescent="0.3">
      <c r="A642" s="2" t="s">
        <v>409</v>
      </c>
      <c r="B642" s="50" t="s">
        <v>154</v>
      </c>
      <c r="C642">
        <v>142</v>
      </c>
      <c r="D642" t="str">
        <f t="shared" si="120"/>
        <v>Kumite</v>
      </c>
      <c r="E642" t="str">
        <f>"Kumite, -, 60-65 kg, Ifjúsági (15-16"</f>
        <v>Kumite, -, 60-65 kg, Ifjúsági (15-16</v>
      </c>
      <c r="F642" s="83" t="s">
        <v>555</v>
      </c>
      <c r="G642" s="50" t="str">
        <f>"4"</f>
        <v>4</v>
      </c>
      <c r="H642" t="str">
        <f>"4 fős körmérkőzés"</f>
        <v>4 fős körmérkőzés</v>
      </c>
      <c r="I642" s="50" t="str">
        <f>"3"</f>
        <v>3</v>
      </c>
      <c r="J642" t="str">
        <f>"Gál Márk"</f>
        <v>Gál Márk</v>
      </c>
      <c r="K642" t="str">
        <f>"BHMSE"</f>
        <v>BHMSE</v>
      </c>
      <c r="L642" t="str">
        <f t="shared" si="112"/>
        <v>HUN</v>
      </c>
      <c r="M642">
        <v>4</v>
      </c>
      <c r="O642" s="83" t="s">
        <v>410</v>
      </c>
      <c r="P642" s="78">
        <v>45395</v>
      </c>
      <c r="Q642" t="str">
        <f t="shared" si="103"/>
        <v>Gál Márk - BHMSE</v>
      </c>
      <c r="R642" t="s">
        <v>636</v>
      </c>
      <c r="S642" t="s">
        <v>636</v>
      </c>
      <c r="T642" t="s">
        <v>645</v>
      </c>
    </row>
    <row r="643" spans="1:20" x14ac:dyDescent="0.3">
      <c r="A643" s="2" t="s">
        <v>409</v>
      </c>
      <c r="B643" s="50" t="s">
        <v>154</v>
      </c>
      <c r="C643">
        <v>143</v>
      </c>
      <c r="D643" t="str">
        <f t="shared" si="120"/>
        <v>Kumite</v>
      </c>
      <c r="E643" t="str">
        <f>"Kumite, -, 65-70 kg, Ifjúsági (15-16"</f>
        <v>Kumite, -, 65-70 kg, Ifjúsági (15-16</v>
      </c>
      <c r="F643" s="83" t="s">
        <v>545</v>
      </c>
      <c r="G643" s="50" t="str">
        <f>"7"</f>
        <v>7</v>
      </c>
      <c r="H643" t="str">
        <f>"8 fős egyenes kiesés"</f>
        <v>8 fős egyenes kiesés</v>
      </c>
      <c r="I643" s="50" t="str">
        <f>"1"</f>
        <v>1</v>
      </c>
      <c r="J643" t="str">
        <f>"Semsey Marcell"</f>
        <v>Semsey Marcell</v>
      </c>
      <c r="K643" t="str">
        <f>"BHMSE"</f>
        <v>BHMSE</v>
      </c>
      <c r="L643" t="str">
        <f t="shared" si="112"/>
        <v>HUN</v>
      </c>
      <c r="M643">
        <v>8</v>
      </c>
      <c r="O643" s="83" t="s">
        <v>410</v>
      </c>
      <c r="P643" s="78">
        <v>45395</v>
      </c>
      <c r="Q643" t="str">
        <f t="shared" ref="Q643:Q706" si="123">J643&amp;" - "&amp;K643</f>
        <v>Semsey Marcell - BHMSE</v>
      </c>
      <c r="R643" t="s">
        <v>636</v>
      </c>
      <c r="S643" t="s">
        <v>636</v>
      </c>
      <c r="T643" t="s">
        <v>645</v>
      </c>
    </row>
    <row r="644" spans="1:20" x14ac:dyDescent="0.3">
      <c r="A644" s="2" t="s">
        <v>409</v>
      </c>
      <c r="B644" s="50" t="s">
        <v>154</v>
      </c>
      <c r="C644">
        <v>144</v>
      </c>
      <c r="D644" t="str">
        <f t="shared" si="120"/>
        <v>Kumite</v>
      </c>
      <c r="E644" t="str">
        <f>"Kumite, -, 65-70 kg, Ifjúsági (15-16"</f>
        <v>Kumite, -, 65-70 kg, Ifjúsági (15-16</v>
      </c>
      <c r="F644" s="83" t="s">
        <v>545</v>
      </c>
      <c r="G644" s="50" t="str">
        <f>"7"</f>
        <v>7</v>
      </c>
      <c r="H644" t="str">
        <f>"8 fős egyenes kiesés"</f>
        <v>8 fős egyenes kiesés</v>
      </c>
      <c r="I644" s="50" t="str">
        <f>"2"</f>
        <v>2</v>
      </c>
      <c r="J644" t="str">
        <f>"Kiss Gábor"</f>
        <v>Kiss Gábor</v>
      </c>
      <c r="K644" t="str">
        <f>"Victory"</f>
        <v>Victory</v>
      </c>
      <c r="L644" t="str">
        <f t="shared" si="112"/>
        <v>HUN</v>
      </c>
      <c r="M644">
        <v>6</v>
      </c>
      <c r="O644" s="83" t="s">
        <v>410</v>
      </c>
      <c r="P644" s="78">
        <v>45395</v>
      </c>
      <c r="Q644" t="str">
        <f t="shared" si="123"/>
        <v>Kiss Gábor - Victory</v>
      </c>
      <c r="R644" t="s">
        <v>636</v>
      </c>
      <c r="S644" t="s">
        <v>636</v>
      </c>
      <c r="T644" t="s">
        <v>645</v>
      </c>
    </row>
    <row r="645" spans="1:20" x14ac:dyDescent="0.3">
      <c r="A645" s="2" t="s">
        <v>409</v>
      </c>
      <c r="B645" s="50" t="s">
        <v>154</v>
      </c>
      <c r="C645">
        <v>145</v>
      </c>
      <c r="D645" t="str">
        <f t="shared" si="120"/>
        <v>Kumite</v>
      </c>
      <c r="E645" t="str">
        <f>"Kumite, -, 65-70 kg, Ifjúsági (15-16"</f>
        <v>Kumite, -, 65-70 kg, Ifjúsági (15-16</v>
      </c>
      <c r="F645" s="83" t="s">
        <v>545</v>
      </c>
      <c r="G645" s="50" t="str">
        <f>"7"</f>
        <v>7</v>
      </c>
      <c r="H645" t="str">
        <f>"8 fős egyenes kiesés"</f>
        <v>8 fős egyenes kiesés</v>
      </c>
      <c r="I645" s="50" t="str">
        <f>"3"</f>
        <v>3</v>
      </c>
      <c r="J645" t="str">
        <f>"Flaisz Róbert"</f>
        <v>Flaisz Róbert</v>
      </c>
      <c r="K645" t="str">
        <f>"TADASHII "</f>
        <v xml:space="preserve">TADASHII </v>
      </c>
      <c r="L645" t="str">
        <f t="shared" si="112"/>
        <v>HUN</v>
      </c>
      <c r="M645">
        <v>4</v>
      </c>
      <c r="O645" s="83" t="s">
        <v>410</v>
      </c>
      <c r="P645" s="78">
        <v>45395</v>
      </c>
      <c r="Q645" t="str">
        <f t="shared" si="123"/>
        <v xml:space="preserve">Flaisz Róbert - TADASHII </v>
      </c>
      <c r="R645" t="s">
        <v>637</v>
      </c>
      <c r="S645" t="s">
        <v>170</v>
      </c>
      <c r="T645" t="s">
        <v>645</v>
      </c>
    </row>
    <row r="646" spans="1:20" x14ac:dyDescent="0.3">
      <c r="A646" s="2" t="s">
        <v>409</v>
      </c>
      <c r="B646" s="50" t="s">
        <v>154</v>
      </c>
      <c r="C646">
        <v>146</v>
      </c>
      <c r="D646" t="str">
        <f t="shared" si="120"/>
        <v>Kumite</v>
      </c>
      <c r="E646" t="str">
        <f>"Kumite, -, 65-70 kg, Ifjúsági (15-16"</f>
        <v>Kumite, -, 65-70 kg, Ifjúsági (15-16</v>
      </c>
      <c r="F646" s="83" t="s">
        <v>545</v>
      </c>
      <c r="G646" s="50" t="str">
        <f>"7"</f>
        <v>7</v>
      </c>
      <c r="H646" t="str">
        <f>"8 fős egyenes kiesés"</f>
        <v>8 fős egyenes kiesés</v>
      </c>
      <c r="I646" s="50" t="str">
        <f>"3"</f>
        <v>3</v>
      </c>
      <c r="J646" t="str">
        <f>"Benedek Tamás"</f>
        <v>Benedek Tamás</v>
      </c>
      <c r="K646" t="str">
        <f>"Ippon KKSE"</f>
        <v>Ippon KKSE</v>
      </c>
      <c r="L646" t="str">
        <f t="shared" si="112"/>
        <v>HUN</v>
      </c>
      <c r="M646">
        <v>4</v>
      </c>
      <c r="O646" s="83" t="s">
        <v>410</v>
      </c>
      <c r="P646" s="78">
        <v>45395</v>
      </c>
      <c r="Q646" t="str">
        <f t="shared" si="123"/>
        <v>Benedek Tamás - Ippon KKSE</v>
      </c>
      <c r="R646" t="s">
        <v>636</v>
      </c>
      <c r="S646" t="s">
        <v>636</v>
      </c>
      <c r="T646" t="s">
        <v>645</v>
      </c>
    </row>
    <row r="647" spans="1:20" x14ac:dyDescent="0.3">
      <c r="A647" s="2" t="s">
        <v>409</v>
      </c>
      <c r="B647" s="50" t="s">
        <v>154</v>
      </c>
      <c r="C647">
        <v>147</v>
      </c>
      <c r="D647" t="str">
        <f t="shared" si="120"/>
        <v>Kumite</v>
      </c>
      <c r="E647" t="str">
        <f>"Kumite, -, 70-75 kg, Ifjúsági (15-16"</f>
        <v>Kumite, -, 70-75 kg, Ifjúsági (15-16</v>
      </c>
      <c r="F647" s="83" t="s">
        <v>556</v>
      </c>
      <c r="G647" s="50" t="str">
        <f>"5"</f>
        <v>5</v>
      </c>
      <c r="H647" t="str">
        <f>"5 fős körmérkőzés"</f>
        <v>5 fős körmérkőzés</v>
      </c>
      <c r="I647" s="50" t="str">
        <f>"1"</f>
        <v>1</v>
      </c>
      <c r="J647" t="str">
        <f>"Boruzs Richárd"</f>
        <v>Boruzs Richárd</v>
      </c>
      <c r="K647" t="str">
        <f>"KHSE"</f>
        <v>KHSE</v>
      </c>
      <c r="L647" t="str">
        <f t="shared" si="112"/>
        <v>HUN</v>
      </c>
      <c r="M647">
        <v>10</v>
      </c>
      <c r="O647" s="83" t="s">
        <v>410</v>
      </c>
      <c r="P647" s="78">
        <v>45395</v>
      </c>
      <c r="Q647" t="str">
        <f t="shared" si="123"/>
        <v>Boruzs Richárd - KHSE</v>
      </c>
      <c r="R647" t="s">
        <v>636</v>
      </c>
      <c r="S647" t="s">
        <v>636</v>
      </c>
      <c r="T647" t="s">
        <v>645</v>
      </c>
    </row>
    <row r="648" spans="1:20" x14ac:dyDescent="0.3">
      <c r="A648" s="2" t="s">
        <v>409</v>
      </c>
      <c r="B648" s="50" t="s">
        <v>154</v>
      </c>
      <c r="C648">
        <v>148</v>
      </c>
      <c r="D648" t="str">
        <f t="shared" si="120"/>
        <v>Kumite</v>
      </c>
      <c r="E648" t="str">
        <f>"Kumite, -, 70-75 kg, Ifjúsági (15-16"</f>
        <v>Kumite, -, 70-75 kg, Ifjúsági (15-16</v>
      </c>
      <c r="F648" s="83" t="s">
        <v>556</v>
      </c>
      <c r="G648" s="50" t="str">
        <f>"5"</f>
        <v>5</v>
      </c>
      <c r="H648" t="str">
        <f>"5 fős körmérkőzés"</f>
        <v>5 fős körmérkőzés</v>
      </c>
      <c r="I648" s="50" t="str">
        <f>"2"</f>
        <v>2</v>
      </c>
      <c r="J648" t="str">
        <f>"Tóth Kálmán"</f>
        <v>Tóth Kálmán</v>
      </c>
      <c r="K648" t="str">
        <f>"Shogun"</f>
        <v>Shogun</v>
      </c>
      <c r="L648" t="str">
        <f t="shared" si="112"/>
        <v>HUN</v>
      </c>
      <c r="M648">
        <v>8</v>
      </c>
      <c r="O648" s="83" t="s">
        <v>410</v>
      </c>
      <c r="P648" s="78">
        <v>45395</v>
      </c>
      <c r="Q648" t="str">
        <f t="shared" si="123"/>
        <v>Tóth Kálmán - Shogun</v>
      </c>
      <c r="R648" t="s">
        <v>636</v>
      </c>
      <c r="S648" t="s">
        <v>636</v>
      </c>
      <c r="T648" t="s">
        <v>645</v>
      </c>
    </row>
    <row r="649" spans="1:20" x14ac:dyDescent="0.3">
      <c r="A649" s="2" t="s">
        <v>409</v>
      </c>
      <c r="B649" s="50" t="s">
        <v>154</v>
      </c>
      <c r="C649">
        <v>149</v>
      </c>
      <c r="D649" t="str">
        <f t="shared" si="120"/>
        <v>Kumite</v>
      </c>
      <c r="E649" t="str">
        <f>"Kumite, -, 70-75 kg, Ifjúsági (15-16"</f>
        <v>Kumite, -, 70-75 kg, Ifjúsági (15-16</v>
      </c>
      <c r="F649" s="83" t="s">
        <v>556</v>
      </c>
      <c r="G649" s="50" t="str">
        <f>"5"</f>
        <v>5</v>
      </c>
      <c r="H649" t="str">
        <f>"5 fős körmérkőzés"</f>
        <v>5 fős körmérkőzés</v>
      </c>
      <c r="I649" s="50" t="str">
        <f>"3"</f>
        <v>3</v>
      </c>
      <c r="J649" t="str">
        <f>"Breznyiczki Barnabás"</f>
        <v>Breznyiczki Barnabás</v>
      </c>
      <c r="K649" t="str">
        <f>"Nozomu Dojo"</f>
        <v>Nozomu Dojo</v>
      </c>
      <c r="L649" t="str">
        <f t="shared" si="112"/>
        <v>HUN</v>
      </c>
      <c r="M649">
        <v>6</v>
      </c>
      <c r="O649" s="83" t="s">
        <v>410</v>
      </c>
      <c r="P649" s="78">
        <v>45395</v>
      </c>
      <c r="Q649" t="str">
        <f t="shared" si="123"/>
        <v>Breznyiczki Barnabás - Nozomu Dojo</v>
      </c>
      <c r="R649" t="s">
        <v>636</v>
      </c>
      <c r="S649" t="s">
        <v>636</v>
      </c>
      <c r="T649" t="s">
        <v>645</v>
      </c>
    </row>
    <row r="650" spans="1:20" x14ac:dyDescent="0.3">
      <c r="A650" s="2" t="s">
        <v>409</v>
      </c>
      <c r="B650" s="50" t="s">
        <v>154</v>
      </c>
      <c r="C650">
        <v>149</v>
      </c>
      <c r="D650" t="str">
        <f t="shared" si="120"/>
        <v>Kumite</v>
      </c>
      <c r="E650" t="str">
        <f>"Kumite, -, 70-75 kg, Ifjúsági (15-16"</f>
        <v>Kumite, -, 70-75 kg, Ifjúsági (15-16</v>
      </c>
      <c r="F650" s="83" t="s">
        <v>556</v>
      </c>
      <c r="G650" s="50" t="str">
        <f>"5"</f>
        <v>5</v>
      </c>
      <c r="H650" t="str">
        <f>"5 fős körmérkőzés"</f>
        <v>5 fős körmérkőzés</v>
      </c>
      <c r="I650" s="50">
        <v>4</v>
      </c>
      <c r="J650" t="s">
        <v>415</v>
      </c>
      <c r="K650" t="s">
        <v>87</v>
      </c>
      <c r="L650" t="str">
        <f t="shared" si="112"/>
        <v>HUN</v>
      </c>
      <c r="M650">
        <v>4</v>
      </c>
      <c r="O650" s="83" t="s">
        <v>410</v>
      </c>
      <c r="P650" s="78">
        <v>45395</v>
      </c>
      <c r="Q650" t="str">
        <f t="shared" si="123"/>
        <v>Joób-Fancsaly András - Victory</v>
      </c>
      <c r="R650" t="s">
        <v>636</v>
      </c>
      <c r="S650" t="s">
        <v>636</v>
      </c>
      <c r="T650" t="s">
        <v>645</v>
      </c>
    </row>
    <row r="651" spans="1:20" x14ac:dyDescent="0.3">
      <c r="A651" s="2" t="s">
        <v>409</v>
      </c>
      <c r="B651" s="50" t="s">
        <v>154</v>
      </c>
      <c r="C651">
        <v>150</v>
      </c>
      <c r="D651" t="str">
        <f t="shared" si="120"/>
        <v>Kumite</v>
      </c>
      <c r="E651" t="str">
        <f>"Kumite, -, 75-200 kg, Ifjúsági (15-16"</f>
        <v>Kumite, -, 75-200 kg, Ifjúsági (15-16</v>
      </c>
      <c r="F651" s="83" t="s">
        <v>547</v>
      </c>
      <c r="G651" s="50" t="str">
        <f>"9"</f>
        <v>9</v>
      </c>
      <c r="H651" t="str">
        <f>"16 fős egyenes kiesés"</f>
        <v>16 fős egyenes kiesés</v>
      </c>
      <c r="I651" s="50" t="str">
        <f>"1"</f>
        <v>1</v>
      </c>
      <c r="J651" t="str">
        <f>"Bede Szabolcs"</f>
        <v>Bede Szabolcs</v>
      </c>
      <c r="K651" t="str">
        <f>"Ippon KKSE"</f>
        <v>Ippon KKSE</v>
      </c>
      <c r="L651" t="str">
        <f t="shared" si="112"/>
        <v>HUN</v>
      </c>
      <c r="M651">
        <v>10</v>
      </c>
      <c r="O651" s="83" t="s">
        <v>410</v>
      </c>
      <c r="P651" s="78">
        <v>45395</v>
      </c>
      <c r="Q651" t="str">
        <f t="shared" si="123"/>
        <v>Bede Szabolcs - Ippon KKSE</v>
      </c>
      <c r="R651" t="s">
        <v>636</v>
      </c>
      <c r="S651" t="s">
        <v>636</v>
      </c>
      <c r="T651" t="s">
        <v>645</v>
      </c>
    </row>
    <row r="652" spans="1:20" x14ac:dyDescent="0.3">
      <c r="A652" s="2" t="s">
        <v>409</v>
      </c>
      <c r="B652" s="50" t="s">
        <v>154</v>
      </c>
      <c r="C652">
        <v>151</v>
      </c>
      <c r="D652" t="str">
        <f t="shared" si="120"/>
        <v>Kumite</v>
      </c>
      <c r="E652" t="str">
        <f>"Kumite, -, 75-200 kg, Ifjúsági (15-16"</f>
        <v>Kumite, -, 75-200 kg, Ifjúsági (15-16</v>
      </c>
      <c r="F652" s="83" t="s">
        <v>547</v>
      </c>
      <c r="G652" s="50" t="str">
        <f>"9"</f>
        <v>9</v>
      </c>
      <c r="H652" t="str">
        <f>"16 fős egyenes kiesés"</f>
        <v>16 fős egyenes kiesés</v>
      </c>
      <c r="I652" s="50" t="str">
        <f>"2"</f>
        <v>2</v>
      </c>
      <c r="J652" t="str">
        <f>"Molnár Benő"</f>
        <v>Molnár Benő</v>
      </c>
      <c r="K652" t="str">
        <f>"Griff SE"</f>
        <v>Griff SE</v>
      </c>
      <c r="L652" t="str">
        <f t="shared" si="112"/>
        <v>HUN</v>
      </c>
      <c r="M652">
        <v>8</v>
      </c>
      <c r="O652" s="83" t="s">
        <v>410</v>
      </c>
      <c r="P652" s="78">
        <v>45395</v>
      </c>
      <c r="Q652" t="str">
        <f t="shared" si="123"/>
        <v>Molnár Benő - Griff SE</v>
      </c>
      <c r="R652" t="s">
        <v>636</v>
      </c>
      <c r="S652" t="s">
        <v>636</v>
      </c>
      <c r="T652" t="s">
        <v>645</v>
      </c>
    </row>
    <row r="653" spans="1:20" x14ac:dyDescent="0.3">
      <c r="A653" s="2" t="s">
        <v>409</v>
      </c>
      <c r="B653" s="50" t="s">
        <v>154</v>
      </c>
      <c r="C653">
        <v>152</v>
      </c>
      <c r="D653" t="str">
        <f t="shared" si="120"/>
        <v>Kumite</v>
      </c>
      <c r="E653" t="str">
        <f>"Kumite, -, 75-200 kg, Ifjúsági (15-16"</f>
        <v>Kumite, -, 75-200 kg, Ifjúsági (15-16</v>
      </c>
      <c r="F653" s="83" t="s">
        <v>547</v>
      </c>
      <c r="G653" s="50" t="str">
        <f>"9"</f>
        <v>9</v>
      </c>
      <c r="H653" t="str">
        <f>"16 fős egyenes kiesés"</f>
        <v>16 fős egyenes kiesés</v>
      </c>
      <c r="I653" s="50" t="str">
        <f>"3"</f>
        <v>3</v>
      </c>
      <c r="J653" t="str">
        <f>"Csorba Kristóf"</f>
        <v>Csorba Kristóf</v>
      </c>
      <c r="K653" t="str">
        <f>"Shogun"</f>
        <v>Shogun</v>
      </c>
      <c r="L653" t="str">
        <f t="shared" si="112"/>
        <v>HUN</v>
      </c>
      <c r="M653">
        <v>6</v>
      </c>
      <c r="O653" s="83" t="s">
        <v>410</v>
      </c>
      <c r="P653" s="78">
        <v>45395</v>
      </c>
      <c r="Q653" t="str">
        <f t="shared" si="123"/>
        <v>Csorba Kristóf - Shogun</v>
      </c>
      <c r="R653" t="s">
        <v>636</v>
      </c>
      <c r="S653" t="s">
        <v>636</v>
      </c>
      <c r="T653" t="s">
        <v>645</v>
      </c>
    </row>
    <row r="654" spans="1:20" x14ac:dyDescent="0.3">
      <c r="A654" s="2" t="s">
        <v>409</v>
      </c>
      <c r="B654" s="50" t="s">
        <v>154</v>
      </c>
      <c r="C654">
        <v>153</v>
      </c>
      <c r="D654" t="str">
        <f t="shared" si="120"/>
        <v>Kumite</v>
      </c>
      <c r="E654" t="str">
        <f>"Kumite, -, 75-200 kg, Ifjúsági (15-16"</f>
        <v>Kumite, -, 75-200 kg, Ifjúsági (15-16</v>
      </c>
      <c r="F654" s="83" t="s">
        <v>547</v>
      </c>
      <c r="G654" s="50" t="str">
        <f>"9"</f>
        <v>9</v>
      </c>
      <c r="H654" t="str">
        <f>"16 fős egyenes kiesés"</f>
        <v>16 fős egyenes kiesés</v>
      </c>
      <c r="I654" s="50" t="str">
        <f>"3"</f>
        <v>3</v>
      </c>
      <c r="J654" t="str">
        <f>"Maklári Balázs"</f>
        <v>Maklári Balázs</v>
      </c>
      <c r="K654" t="str">
        <f>"Kisvárda KKDOSC"</f>
        <v>Kisvárda KKDOSC</v>
      </c>
      <c r="L654" t="str">
        <f t="shared" si="112"/>
        <v>HUN</v>
      </c>
      <c r="M654">
        <v>6</v>
      </c>
      <c r="O654" s="83" t="s">
        <v>410</v>
      </c>
      <c r="P654" s="78">
        <v>45395</v>
      </c>
      <c r="Q654" t="str">
        <f t="shared" si="123"/>
        <v>Maklári Balázs - Kisvárda KKDOSC</v>
      </c>
      <c r="R654" t="s">
        <v>636</v>
      </c>
      <c r="S654" t="s">
        <v>636</v>
      </c>
      <c r="T654" t="s">
        <v>645</v>
      </c>
    </row>
    <row r="655" spans="1:20" x14ac:dyDescent="0.3">
      <c r="A655" s="2" t="s">
        <v>409</v>
      </c>
      <c r="B655" s="50" t="s">
        <v>154</v>
      </c>
      <c r="C655">
        <v>153</v>
      </c>
      <c r="D655" t="str">
        <f t="shared" si="120"/>
        <v>Kumite</v>
      </c>
      <c r="E655" t="str">
        <f>"Kumite, -, 75-200 kg, Ifjúsági (15-16"</f>
        <v>Kumite, -, 75-200 kg, Ifjúsági (15-16</v>
      </c>
      <c r="F655" s="83" t="s">
        <v>547</v>
      </c>
      <c r="G655" s="50" t="str">
        <f>"9"</f>
        <v>9</v>
      </c>
      <c r="H655" t="str">
        <f>"16 fős egyenes kiesés"</f>
        <v>16 fős egyenes kiesés</v>
      </c>
      <c r="I655" s="67" t="s">
        <v>302</v>
      </c>
      <c r="J655" t="s">
        <v>437</v>
      </c>
      <c r="K655" t="s">
        <v>98</v>
      </c>
      <c r="L655" t="str">
        <f t="shared" si="112"/>
        <v>HUN</v>
      </c>
      <c r="M655">
        <v>3</v>
      </c>
      <c r="O655" s="83" t="s">
        <v>410</v>
      </c>
      <c r="P655" s="78">
        <v>45395</v>
      </c>
      <c r="Q655" t="str">
        <f t="shared" si="123"/>
        <v xml:space="preserve">Hiezl Barnabás - TADASHII </v>
      </c>
      <c r="R655" t="s">
        <v>637</v>
      </c>
      <c r="S655" t="s">
        <v>170</v>
      </c>
      <c r="T655" t="s">
        <v>645</v>
      </c>
    </row>
    <row r="656" spans="1:20" s="83" customFormat="1" x14ac:dyDescent="0.3">
      <c r="A656" s="91" t="s">
        <v>409</v>
      </c>
      <c r="B656" s="92" t="s">
        <v>154</v>
      </c>
      <c r="C656" s="83">
        <v>154</v>
      </c>
      <c r="D656" s="83" t="str">
        <f>"Kata"</f>
        <v>Kata</v>
      </c>
      <c r="E656" s="83" t="str">
        <f>"Kata, -, 0-160 kg, Ifjúsági (15-16"</f>
        <v>Kata, -, 0-160 kg, Ifjúsági (15-16</v>
      </c>
      <c r="F656" s="83" t="s">
        <v>548</v>
      </c>
      <c r="G656" s="92" t="str">
        <f>"8"</f>
        <v>8</v>
      </c>
      <c r="H656" s="83" t="str">
        <f>"8 fős egyenes kiesés + 3. hely"</f>
        <v>8 fős egyenes kiesés + 3. hely</v>
      </c>
      <c r="I656" s="92" t="str">
        <f>"1"</f>
        <v>1</v>
      </c>
      <c r="J656" s="83" t="str">
        <f>"Terbócs Roland"</f>
        <v>Terbócs Roland</v>
      </c>
      <c r="K656" s="83" t="str">
        <f>"Shogun"</f>
        <v>Shogun</v>
      </c>
      <c r="L656" s="83" t="str">
        <f t="shared" si="112"/>
        <v>HUN</v>
      </c>
      <c r="M656" s="83">
        <v>5</v>
      </c>
      <c r="O656" s="83" t="s">
        <v>410</v>
      </c>
      <c r="P656" s="93">
        <v>45395</v>
      </c>
      <c r="Q656" t="str">
        <f t="shared" si="123"/>
        <v>Terbócs Roland - Shogun</v>
      </c>
      <c r="R656" t="s">
        <v>636</v>
      </c>
      <c r="S656" t="s">
        <v>636</v>
      </c>
      <c r="T656" t="s">
        <v>645</v>
      </c>
    </row>
    <row r="657" spans="1:20" s="83" customFormat="1" x14ac:dyDescent="0.3">
      <c r="A657" s="91" t="s">
        <v>409</v>
      </c>
      <c r="B657" s="92" t="s">
        <v>154</v>
      </c>
      <c r="C657" s="83">
        <v>155</v>
      </c>
      <c r="D657" s="83" t="str">
        <f>"Kata"</f>
        <v>Kata</v>
      </c>
      <c r="E657" s="83" t="str">
        <f>"Kata, -, 0-160 kg, Ifjúsági (15-16"</f>
        <v>Kata, -, 0-160 kg, Ifjúsági (15-16</v>
      </c>
      <c r="F657" s="83" t="s">
        <v>548</v>
      </c>
      <c r="G657" s="92" t="str">
        <f>"8"</f>
        <v>8</v>
      </c>
      <c r="H657" s="83" t="str">
        <f>"8 fős egyenes kiesés + 3. hely"</f>
        <v>8 fős egyenes kiesés + 3. hely</v>
      </c>
      <c r="I657" s="92" t="str">
        <f>"2"</f>
        <v>2</v>
      </c>
      <c r="J657" s="83" t="str">
        <f>"Bűdy Sándor"</f>
        <v>Bűdy Sándor</v>
      </c>
      <c r="K657" s="83" t="str">
        <f>"BHMSE"</f>
        <v>BHMSE</v>
      </c>
      <c r="L657" s="83" t="str">
        <f t="shared" si="112"/>
        <v>HUN</v>
      </c>
      <c r="M657" s="83">
        <v>6</v>
      </c>
      <c r="O657" s="83" t="s">
        <v>410</v>
      </c>
      <c r="P657" s="93">
        <v>45395</v>
      </c>
      <c r="Q657" t="str">
        <f t="shared" si="123"/>
        <v>Bűdy Sándor - BHMSE</v>
      </c>
      <c r="R657" t="s">
        <v>636</v>
      </c>
      <c r="S657" t="s">
        <v>636</v>
      </c>
      <c r="T657" t="s">
        <v>645</v>
      </c>
    </row>
    <row r="658" spans="1:20" s="83" customFormat="1" x14ac:dyDescent="0.3">
      <c r="A658" s="91" t="s">
        <v>409</v>
      </c>
      <c r="B658" s="92" t="s">
        <v>154</v>
      </c>
      <c r="C658" s="83">
        <v>156</v>
      </c>
      <c r="D658" s="83" t="str">
        <f>"Kata"</f>
        <v>Kata</v>
      </c>
      <c r="E658" s="83" t="str">
        <f>"Kata, -, 0-160 kg, Ifjúsági (15-16"</f>
        <v>Kata, -, 0-160 kg, Ifjúsági (15-16</v>
      </c>
      <c r="F658" s="83" t="s">
        <v>548</v>
      </c>
      <c r="G658" s="92" t="str">
        <f>"8"</f>
        <v>8</v>
      </c>
      <c r="H658" s="83" t="str">
        <f>"8 fős egyenes kiesés + 3. hely"</f>
        <v>8 fős egyenes kiesés + 3. hely</v>
      </c>
      <c r="I658" s="92" t="str">
        <f>"3"</f>
        <v>3</v>
      </c>
      <c r="J658" s="83" t="str">
        <f>"Tóth Zoltán"</f>
        <v>Tóth Zoltán</v>
      </c>
      <c r="K658" s="83" t="str">
        <f>"Derecske BUDO"</f>
        <v>Derecske BUDO</v>
      </c>
      <c r="L658" s="83" t="str">
        <f t="shared" si="112"/>
        <v>HUN</v>
      </c>
      <c r="M658" s="83">
        <v>3</v>
      </c>
      <c r="O658" s="83" t="s">
        <v>410</v>
      </c>
      <c r="P658" s="93">
        <v>45395</v>
      </c>
      <c r="Q658" t="str">
        <f t="shared" si="123"/>
        <v>Tóth Zoltán - Derecske BUDO</v>
      </c>
      <c r="R658" t="s">
        <v>636</v>
      </c>
      <c r="S658" t="s">
        <v>636</v>
      </c>
      <c r="T658" t="s">
        <v>645</v>
      </c>
    </row>
    <row r="659" spans="1:20" s="83" customFormat="1" x14ac:dyDescent="0.3">
      <c r="A659" s="91" t="s">
        <v>409</v>
      </c>
      <c r="B659" s="92" t="s">
        <v>154</v>
      </c>
      <c r="C659" s="83">
        <v>157</v>
      </c>
      <c r="D659" s="83" t="str">
        <f>"Kata"</f>
        <v>Kata</v>
      </c>
      <c r="E659" s="83" t="str">
        <f>"Kata, -, 0-160 kg, Ifjúsági (15-16"</f>
        <v>Kata, -, 0-160 kg, Ifjúsági (15-16</v>
      </c>
      <c r="F659" s="83" t="s">
        <v>548</v>
      </c>
      <c r="G659" s="92" t="str">
        <f>"8"</f>
        <v>8</v>
      </c>
      <c r="H659" s="83" t="str">
        <f>"8 fős egyenes kiesés + 3. hely"</f>
        <v>8 fős egyenes kiesés + 3. hely</v>
      </c>
      <c r="I659" s="92" t="str">
        <f>"4"</f>
        <v>4</v>
      </c>
      <c r="J659" s="83" t="str">
        <f>"Kolonics Márk"</f>
        <v>Kolonics Márk</v>
      </c>
      <c r="K659" s="83" t="str">
        <f>"TADASHII "</f>
        <v xml:space="preserve">TADASHII </v>
      </c>
      <c r="L659" s="83" t="str">
        <f t="shared" si="112"/>
        <v>HUN</v>
      </c>
      <c r="M659" s="97">
        <v>2</v>
      </c>
      <c r="N659" s="83" t="s">
        <v>476</v>
      </c>
      <c r="O659" s="83" t="s">
        <v>410</v>
      </c>
      <c r="P659" s="93">
        <v>45395</v>
      </c>
      <c r="Q659" t="str">
        <f t="shared" si="123"/>
        <v xml:space="preserve">Kolonics Márk - TADASHII </v>
      </c>
      <c r="R659" t="s">
        <v>637</v>
      </c>
      <c r="S659" t="s">
        <v>170</v>
      </c>
      <c r="T659" t="s">
        <v>645</v>
      </c>
    </row>
    <row r="660" spans="1:20" x14ac:dyDescent="0.3">
      <c r="A660" s="2" t="s">
        <v>409</v>
      </c>
      <c r="B660" s="50" t="s">
        <v>154</v>
      </c>
      <c r="C660">
        <v>158</v>
      </c>
      <c r="D660" t="str">
        <f t="shared" ref="D660:D677" si="124">"Kumite"</f>
        <v>Kumite</v>
      </c>
      <c r="E660" t="str">
        <f>"Kumite, -, 0-50 kg, Ifjúsági (15-16"</f>
        <v>Kumite, -, 0-50 kg, Ifjúsági (15-16</v>
      </c>
      <c r="F660" s="83" t="s">
        <v>546</v>
      </c>
      <c r="G660" s="50" t="str">
        <f>"7"</f>
        <v>7</v>
      </c>
      <c r="H660" t="str">
        <f>"8 fős egyenes kiesés"</f>
        <v>8 fős egyenes kiesés</v>
      </c>
      <c r="I660" s="50" t="str">
        <f>"1"</f>
        <v>1</v>
      </c>
      <c r="J660" t="str">
        <f>"Finta Zelma"</f>
        <v>Finta Zelma</v>
      </c>
      <c r="K660" t="str">
        <f>"Rakurai"</f>
        <v>Rakurai</v>
      </c>
      <c r="L660" t="str">
        <f t="shared" si="112"/>
        <v>HUN</v>
      </c>
      <c r="M660">
        <v>8</v>
      </c>
      <c r="O660" s="83" t="s">
        <v>410</v>
      </c>
      <c r="P660" s="78">
        <v>45395</v>
      </c>
      <c r="Q660" t="str">
        <f t="shared" si="123"/>
        <v>Finta Zelma - Rakurai</v>
      </c>
      <c r="R660" t="s">
        <v>636</v>
      </c>
      <c r="S660" t="s">
        <v>636</v>
      </c>
      <c r="T660" t="s">
        <v>645</v>
      </c>
    </row>
    <row r="661" spans="1:20" x14ac:dyDescent="0.3">
      <c r="A661" s="2" t="s">
        <v>409</v>
      </c>
      <c r="B661" s="50" t="s">
        <v>154</v>
      </c>
      <c r="C661">
        <v>159</v>
      </c>
      <c r="D661" t="str">
        <f t="shared" si="124"/>
        <v>Kumite</v>
      </c>
      <c r="E661" t="str">
        <f>"Kumite, -, 0-50 kg, Ifjúsági (15-16"</f>
        <v>Kumite, -, 0-50 kg, Ifjúsági (15-16</v>
      </c>
      <c r="F661" s="83" t="s">
        <v>546</v>
      </c>
      <c r="G661" s="50" t="str">
        <f>"7"</f>
        <v>7</v>
      </c>
      <c r="H661" t="str">
        <f>"8 fős egyenes kiesés"</f>
        <v>8 fős egyenes kiesés</v>
      </c>
      <c r="I661" s="50" t="str">
        <f>"2"</f>
        <v>2</v>
      </c>
      <c r="J661" t="str">
        <f>"Németh Virág"</f>
        <v>Németh Virág</v>
      </c>
      <c r="K661" t="str">
        <f>"Castrum"</f>
        <v>Castrum</v>
      </c>
      <c r="L661" t="str">
        <f t="shared" si="112"/>
        <v>HUN</v>
      </c>
      <c r="M661">
        <v>6</v>
      </c>
      <c r="O661" s="83" t="s">
        <v>410</v>
      </c>
      <c r="P661" s="78">
        <v>45395</v>
      </c>
      <c r="Q661" t="str">
        <f t="shared" si="123"/>
        <v>Németh Virág - Castrum</v>
      </c>
      <c r="R661" t="s">
        <v>636</v>
      </c>
      <c r="S661" t="s">
        <v>636</v>
      </c>
      <c r="T661" t="s">
        <v>645</v>
      </c>
    </row>
    <row r="662" spans="1:20" x14ac:dyDescent="0.3">
      <c r="A662" s="2" t="s">
        <v>409</v>
      </c>
      <c r="B662" s="50" t="s">
        <v>154</v>
      </c>
      <c r="C662">
        <v>160</v>
      </c>
      <c r="D662" t="str">
        <f t="shared" si="124"/>
        <v>Kumite</v>
      </c>
      <c r="E662" t="str">
        <f>"Kumite, -, 0-50 kg, Ifjúsági (15-16"</f>
        <v>Kumite, -, 0-50 kg, Ifjúsági (15-16</v>
      </c>
      <c r="F662" s="83" t="s">
        <v>546</v>
      </c>
      <c r="G662" s="50" t="str">
        <f>"7"</f>
        <v>7</v>
      </c>
      <c r="H662" t="str">
        <f>"8 fős egyenes kiesés"</f>
        <v>8 fős egyenes kiesés</v>
      </c>
      <c r="I662" s="50" t="str">
        <f>"3"</f>
        <v>3</v>
      </c>
      <c r="J662" t="str">
        <f>"Fekete Csenge"</f>
        <v>Fekete Csenge</v>
      </c>
      <c r="K662" t="str">
        <f>"Nozomu Dojo"</f>
        <v>Nozomu Dojo</v>
      </c>
      <c r="L662" t="str">
        <f t="shared" si="112"/>
        <v>HUN</v>
      </c>
      <c r="M662">
        <v>0</v>
      </c>
      <c r="N662" t="s">
        <v>444</v>
      </c>
      <c r="O662" s="83" t="s">
        <v>410</v>
      </c>
      <c r="P662" s="78">
        <v>45395</v>
      </c>
      <c r="Q662" t="str">
        <f t="shared" si="123"/>
        <v>Fekete Csenge - Nozomu Dojo</v>
      </c>
      <c r="R662" t="s">
        <v>636</v>
      </c>
      <c r="S662" t="s">
        <v>636</v>
      </c>
      <c r="T662" t="s">
        <v>645</v>
      </c>
    </row>
    <row r="663" spans="1:20" x14ac:dyDescent="0.3">
      <c r="A663" s="2" t="s">
        <v>409</v>
      </c>
      <c r="B663" s="50" t="s">
        <v>154</v>
      </c>
      <c r="C663">
        <v>161</v>
      </c>
      <c r="D663" t="str">
        <f t="shared" si="124"/>
        <v>Kumite</v>
      </c>
      <c r="E663" t="str">
        <f>"Kumite, -, 0-50 kg, Ifjúsági (15-16"</f>
        <v>Kumite, -, 0-50 kg, Ifjúsági (15-16</v>
      </c>
      <c r="F663" s="83" t="s">
        <v>546</v>
      </c>
      <c r="G663" s="50" t="str">
        <f>"7"</f>
        <v>7</v>
      </c>
      <c r="H663" t="str">
        <f>"8 fős egyenes kiesés"</f>
        <v>8 fős egyenes kiesés</v>
      </c>
      <c r="I663" s="50" t="str">
        <f>"3"</f>
        <v>3</v>
      </c>
      <c r="J663" t="str">
        <f>"Benkő Sára"</f>
        <v>Benkő Sára</v>
      </c>
      <c r="K663" t="str">
        <f>"Ippon KKSE"</f>
        <v>Ippon KKSE</v>
      </c>
      <c r="L663" t="str">
        <f t="shared" si="112"/>
        <v>HUN</v>
      </c>
      <c r="M663">
        <v>4</v>
      </c>
      <c r="O663" s="83" t="s">
        <v>410</v>
      </c>
      <c r="P663" s="78">
        <v>45395</v>
      </c>
      <c r="Q663" t="str">
        <f t="shared" si="123"/>
        <v>Benkő Sára - Ippon KKSE</v>
      </c>
      <c r="R663" t="s">
        <v>636</v>
      </c>
      <c r="S663" t="s">
        <v>636</v>
      </c>
      <c r="T663" t="s">
        <v>645</v>
      </c>
    </row>
    <row r="664" spans="1:20" x14ac:dyDescent="0.3">
      <c r="A664" s="2" t="s">
        <v>409</v>
      </c>
      <c r="B664" s="50" t="s">
        <v>154</v>
      </c>
      <c r="C664">
        <v>162</v>
      </c>
      <c r="D664" t="str">
        <f t="shared" si="124"/>
        <v>Kumite</v>
      </c>
      <c r="E664" t="str">
        <f>"Kumite, -, 50-55 kg, Ifjúsági (15-16"</f>
        <v>Kumite, -, 50-55 kg, Ifjúsági (15-16</v>
      </c>
      <c r="F664" s="83" t="s">
        <v>550</v>
      </c>
      <c r="G664" s="50" t="str">
        <f>"3"</f>
        <v>3</v>
      </c>
      <c r="H664" t="str">
        <f>"3 fős körmérkőzés"</f>
        <v>3 fős körmérkőzés</v>
      </c>
      <c r="I664" s="50" t="str">
        <f>"1"</f>
        <v>1</v>
      </c>
      <c r="J664" t="str">
        <f>"Lukács Kamilla"</f>
        <v>Lukács Kamilla</v>
      </c>
      <c r="K664" t="str">
        <f>"BHMSE"</f>
        <v>BHMSE</v>
      </c>
      <c r="L664" t="str">
        <f t="shared" si="112"/>
        <v>HUN</v>
      </c>
      <c r="M664">
        <v>6</v>
      </c>
      <c r="O664" s="83" t="s">
        <v>410</v>
      </c>
      <c r="P664" s="78">
        <v>45395</v>
      </c>
      <c r="Q664" t="str">
        <f t="shared" si="123"/>
        <v>Lukács Kamilla - BHMSE</v>
      </c>
      <c r="R664" t="s">
        <v>636</v>
      </c>
      <c r="S664" t="s">
        <v>636</v>
      </c>
      <c r="T664" t="s">
        <v>645</v>
      </c>
    </row>
    <row r="665" spans="1:20" x14ac:dyDescent="0.3">
      <c r="A665" s="2" t="s">
        <v>409</v>
      </c>
      <c r="B665" s="50" t="s">
        <v>154</v>
      </c>
      <c r="C665">
        <v>163</v>
      </c>
      <c r="D665" t="str">
        <f t="shared" si="124"/>
        <v>Kumite</v>
      </c>
      <c r="E665" t="str">
        <f>"Kumite, -, 50-55 kg, Ifjúsági (15-16"</f>
        <v>Kumite, -, 50-55 kg, Ifjúsági (15-16</v>
      </c>
      <c r="F665" s="83" t="s">
        <v>550</v>
      </c>
      <c r="G665" s="50" t="str">
        <f>"3"</f>
        <v>3</v>
      </c>
      <c r="H665" t="str">
        <f>"3 fős körmérkőzés"</f>
        <v>3 fős körmérkőzés</v>
      </c>
      <c r="I665" s="50" t="str">
        <f>"2"</f>
        <v>2</v>
      </c>
      <c r="J665" t="str">
        <f>"Szabó Lara"</f>
        <v>Szabó Lara</v>
      </c>
      <c r="K665" t="str">
        <f>"Victory"</f>
        <v>Victory</v>
      </c>
      <c r="L665" t="str">
        <f t="shared" si="112"/>
        <v>HUN</v>
      </c>
      <c r="M665">
        <v>4</v>
      </c>
      <c r="O665" s="83" t="s">
        <v>410</v>
      </c>
      <c r="P665" s="78">
        <v>45395</v>
      </c>
      <c r="Q665" t="str">
        <f t="shared" si="123"/>
        <v>Szabó Lara - Victory</v>
      </c>
      <c r="R665" t="s">
        <v>636</v>
      </c>
      <c r="S665" t="s">
        <v>636</v>
      </c>
      <c r="T665" t="s">
        <v>645</v>
      </c>
    </row>
    <row r="666" spans="1:20" x14ac:dyDescent="0.3">
      <c r="A666" s="2" t="s">
        <v>409</v>
      </c>
      <c r="B666" s="50" t="s">
        <v>154</v>
      </c>
      <c r="C666">
        <v>164</v>
      </c>
      <c r="D666" t="str">
        <f t="shared" si="124"/>
        <v>Kumite</v>
      </c>
      <c r="E666" t="str">
        <f>"Kumite, -, 50-55 kg, Ifjúsági (15-16"</f>
        <v>Kumite, -, 50-55 kg, Ifjúsági (15-16</v>
      </c>
      <c r="F666" s="83" t="s">
        <v>550</v>
      </c>
      <c r="G666" s="50" t="str">
        <f>"3"</f>
        <v>3</v>
      </c>
      <c r="H666" t="str">
        <f>"3 fős körmérkőzés"</f>
        <v>3 fős körmérkőzés</v>
      </c>
      <c r="I666" s="50" t="str">
        <f>"3"</f>
        <v>3</v>
      </c>
      <c r="J666" t="str">
        <f>"Bognár Luca"</f>
        <v>Bognár Luca</v>
      </c>
      <c r="K666" t="str">
        <f>"Rakurai"</f>
        <v>Rakurai</v>
      </c>
      <c r="L666" t="str">
        <f t="shared" si="112"/>
        <v>HUN</v>
      </c>
      <c r="M666">
        <v>0</v>
      </c>
      <c r="N666" t="s">
        <v>158</v>
      </c>
      <c r="O666" s="83" t="s">
        <v>410</v>
      </c>
      <c r="P666" s="78">
        <v>45395</v>
      </c>
      <c r="Q666" t="str">
        <f t="shared" si="123"/>
        <v>Bognár Luca - Rakurai</v>
      </c>
      <c r="R666" t="s">
        <v>636</v>
      </c>
      <c r="S666" t="s">
        <v>636</v>
      </c>
      <c r="T666" t="s">
        <v>645</v>
      </c>
    </row>
    <row r="667" spans="1:20" x14ac:dyDescent="0.3">
      <c r="A667" s="2" t="s">
        <v>409</v>
      </c>
      <c r="B667" s="50" t="s">
        <v>154</v>
      </c>
      <c r="C667">
        <v>165</v>
      </c>
      <c r="D667" t="str">
        <f t="shared" si="124"/>
        <v>Kumite</v>
      </c>
      <c r="E667" t="str">
        <f>"Kumite, -, 55-60 kg, Ifjúsági (15-16"</f>
        <v>Kumite, -, 55-60 kg, Ifjúsági (15-16</v>
      </c>
      <c r="F667" s="83" t="s">
        <v>551</v>
      </c>
      <c r="G667" s="50" t="str">
        <f>"8"</f>
        <v>8</v>
      </c>
      <c r="H667" t="str">
        <f>"8 fős egyenes kiesés"</f>
        <v>8 fős egyenes kiesés</v>
      </c>
      <c r="I667" s="50" t="str">
        <f>"1"</f>
        <v>1</v>
      </c>
      <c r="J667" t="str">
        <f>"Orosz Dorina"</f>
        <v>Orosz Dorina</v>
      </c>
      <c r="K667" t="str">
        <f>"Kemecse SE"</f>
        <v>Kemecse SE</v>
      </c>
      <c r="L667" t="str">
        <f t="shared" si="112"/>
        <v>HUN</v>
      </c>
      <c r="M667">
        <v>8</v>
      </c>
      <c r="O667" s="83" t="s">
        <v>410</v>
      </c>
      <c r="P667" s="78">
        <v>45395</v>
      </c>
      <c r="Q667" t="str">
        <f t="shared" si="123"/>
        <v>Orosz Dorina - Kemecse SE</v>
      </c>
      <c r="R667" t="s">
        <v>636</v>
      </c>
      <c r="S667" t="s">
        <v>636</v>
      </c>
      <c r="T667" t="s">
        <v>645</v>
      </c>
    </row>
    <row r="668" spans="1:20" x14ac:dyDescent="0.3">
      <c r="A668" s="2" t="s">
        <v>409</v>
      </c>
      <c r="B668" s="50" t="s">
        <v>154</v>
      </c>
      <c r="C668">
        <v>166</v>
      </c>
      <c r="D668" t="str">
        <f t="shared" si="124"/>
        <v>Kumite</v>
      </c>
      <c r="E668" t="str">
        <f>"Kumite, -, 55-60 kg, Ifjúsági (15-16"</f>
        <v>Kumite, -, 55-60 kg, Ifjúsági (15-16</v>
      </c>
      <c r="F668" s="83" t="s">
        <v>551</v>
      </c>
      <c r="G668" s="50" t="str">
        <f>"8"</f>
        <v>8</v>
      </c>
      <c r="H668" t="str">
        <f>"8 fős egyenes kiesés"</f>
        <v>8 fős egyenes kiesés</v>
      </c>
      <c r="I668" s="50" t="str">
        <f>"2"</f>
        <v>2</v>
      </c>
      <c r="J668" t="str">
        <f>"Szücs Hanna"</f>
        <v>Szücs Hanna</v>
      </c>
      <c r="K668" t="str">
        <f>"Castrum"</f>
        <v>Castrum</v>
      </c>
      <c r="L668" t="str">
        <f t="shared" si="112"/>
        <v>HUN</v>
      </c>
      <c r="M668">
        <v>6</v>
      </c>
      <c r="O668" s="83" t="s">
        <v>410</v>
      </c>
      <c r="P668" s="78">
        <v>45395</v>
      </c>
      <c r="Q668" t="str">
        <f t="shared" si="123"/>
        <v>Szücs Hanna - Castrum</v>
      </c>
      <c r="R668" t="s">
        <v>636</v>
      </c>
      <c r="S668" t="s">
        <v>636</v>
      </c>
      <c r="T668" t="s">
        <v>645</v>
      </c>
    </row>
    <row r="669" spans="1:20" x14ac:dyDescent="0.3">
      <c r="A669" s="2" t="s">
        <v>409</v>
      </c>
      <c r="B669" s="50" t="s">
        <v>154</v>
      </c>
      <c r="C669">
        <v>167</v>
      </c>
      <c r="D669" t="str">
        <f t="shared" si="124"/>
        <v>Kumite</v>
      </c>
      <c r="E669" t="str">
        <f>"Kumite, -, 55-60 kg, Ifjúsági (15-16"</f>
        <v>Kumite, -, 55-60 kg, Ifjúsági (15-16</v>
      </c>
      <c r="F669" s="83" t="s">
        <v>551</v>
      </c>
      <c r="G669" s="50" t="str">
        <f>"8"</f>
        <v>8</v>
      </c>
      <c r="H669" t="str">
        <f>"8 fős egyenes kiesés"</f>
        <v>8 fős egyenes kiesés</v>
      </c>
      <c r="I669" s="50" t="str">
        <f>"3"</f>
        <v>3</v>
      </c>
      <c r="J669" t="str">
        <f>"Ágoston Sára"</f>
        <v>Ágoston Sára</v>
      </c>
      <c r="K669" t="str">
        <f>"KHSE"</f>
        <v>KHSE</v>
      </c>
      <c r="L669" t="str">
        <f t="shared" si="112"/>
        <v>HUN</v>
      </c>
      <c r="M669">
        <v>4</v>
      </c>
      <c r="O669" s="83" t="s">
        <v>410</v>
      </c>
      <c r="P669" s="78">
        <v>45395</v>
      </c>
      <c r="Q669" t="str">
        <f t="shared" si="123"/>
        <v>Ágoston Sára - KHSE</v>
      </c>
      <c r="R669" t="s">
        <v>636</v>
      </c>
      <c r="S669" t="s">
        <v>636</v>
      </c>
      <c r="T669" t="s">
        <v>645</v>
      </c>
    </row>
    <row r="670" spans="1:20" x14ac:dyDescent="0.3">
      <c r="A670" s="2" t="s">
        <v>409</v>
      </c>
      <c r="B670" s="50" t="s">
        <v>154</v>
      </c>
      <c r="C670">
        <v>168</v>
      </c>
      <c r="D670" t="str">
        <f t="shared" si="124"/>
        <v>Kumite</v>
      </c>
      <c r="E670" t="str">
        <f>"Kumite, -, 55-60 kg, Ifjúsági (15-16"</f>
        <v>Kumite, -, 55-60 kg, Ifjúsági (15-16</v>
      </c>
      <c r="F670" s="83" t="s">
        <v>551</v>
      </c>
      <c r="G670" s="50" t="str">
        <f>"8"</f>
        <v>8</v>
      </c>
      <c r="H670" t="str">
        <f>"8 fős egyenes kiesés"</f>
        <v>8 fős egyenes kiesés</v>
      </c>
      <c r="I670" s="50" t="str">
        <f>"3"</f>
        <v>3</v>
      </c>
      <c r="J670" t="str">
        <f>"Éles Léna"</f>
        <v>Éles Léna</v>
      </c>
      <c r="K670" t="str">
        <f>"BHMSE"</f>
        <v>BHMSE</v>
      </c>
      <c r="L670" t="str">
        <f t="shared" si="112"/>
        <v>HUN</v>
      </c>
      <c r="M670">
        <v>4</v>
      </c>
      <c r="O670" s="83" t="s">
        <v>410</v>
      </c>
      <c r="P670" s="78">
        <v>45395</v>
      </c>
      <c r="Q670" t="str">
        <f t="shared" si="123"/>
        <v>Éles Léna - BHMSE</v>
      </c>
      <c r="R670" t="s">
        <v>636</v>
      </c>
      <c r="S670" t="s">
        <v>636</v>
      </c>
      <c r="T670" t="s">
        <v>645</v>
      </c>
    </row>
    <row r="671" spans="1:20" x14ac:dyDescent="0.3">
      <c r="A671" s="2" t="s">
        <v>409</v>
      </c>
      <c r="B671" s="50" t="s">
        <v>154</v>
      </c>
      <c r="C671">
        <v>169</v>
      </c>
      <c r="D671" t="str">
        <f t="shared" si="124"/>
        <v>Kumite</v>
      </c>
      <c r="E671" t="str">
        <f>"Kumite, -, 60-65 kg, Ifjúsági (15-16"</f>
        <v>Kumite, -, 60-65 kg, Ifjúsági (15-16</v>
      </c>
      <c r="F671" s="83" t="s">
        <v>552</v>
      </c>
      <c r="G671" s="50" t="str">
        <f>"5"</f>
        <v>5</v>
      </c>
      <c r="H671" t="str">
        <f>"5 fős körmérkőzés"</f>
        <v>5 fős körmérkőzés</v>
      </c>
      <c r="I671" s="50" t="str">
        <f>"1"</f>
        <v>1</v>
      </c>
      <c r="J671" t="str">
        <f>"Gerő Hanna Gréta"</f>
        <v>Gerő Hanna Gréta</v>
      </c>
      <c r="K671" t="str">
        <f>"Kagami"</f>
        <v>Kagami</v>
      </c>
      <c r="L671" t="str">
        <f t="shared" si="112"/>
        <v>HUN</v>
      </c>
      <c r="M671">
        <v>10</v>
      </c>
      <c r="O671" s="83" t="s">
        <v>410</v>
      </c>
      <c r="P671" s="78">
        <v>45395</v>
      </c>
      <c r="Q671" t="str">
        <f t="shared" si="123"/>
        <v>Gerő Hanna Gréta - Kagami</v>
      </c>
      <c r="R671" t="s">
        <v>636</v>
      </c>
      <c r="S671" t="s">
        <v>636</v>
      </c>
      <c r="T671" t="s">
        <v>645</v>
      </c>
    </row>
    <row r="672" spans="1:20" x14ac:dyDescent="0.3">
      <c r="A672" s="2" t="s">
        <v>409</v>
      </c>
      <c r="B672" s="50" t="s">
        <v>154</v>
      </c>
      <c r="C672">
        <v>170</v>
      </c>
      <c r="D672" t="str">
        <f t="shared" si="124"/>
        <v>Kumite</v>
      </c>
      <c r="E672" t="str">
        <f>"Kumite, -, 60-65 kg, Ifjúsági (15-16"</f>
        <v>Kumite, -, 60-65 kg, Ifjúsági (15-16</v>
      </c>
      <c r="F672" s="83" t="s">
        <v>552</v>
      </c>
      <c r="G672" s="50" t="str">
        <f>"5"</f>
        <v>5</v>
      </c>
      <c r="H672" t="str">
        <f>"5 fős körmérkőzés"</f>
        <v>5 fős körmérkőzés</v>
      </c>
      <c r="I672" s="50" t="str">
        <f>"2"</f>
        <v>2</v>
      </c>
      <c r="J672" t="str">
        <f>"Szabó Petra"</f>
        <v>Szabó Petra</v>
      </c>
      <c r="K672" t="str">
        <f>"Shogun"</f>
        <v>Shogun</v>
      </c>
      <c r="L672" t="str">
        <f t="shared" si="112"/>
        <v>HUN</v>
      </c>
      <c r="M672">
        <v>8</v>
      </c>
      <c r="O672" s="83" t="s">
        <v>410</v>
      </c>
      <c r="P672" s="78">
        <v>45395</v>
      </c>
      <c r="Q672" t="str">
        <f t="shared" si="123"/>
        <v>Szabó Petra - Shogun</v>
      </c>
      <c r="R672" t="s">
        <v>636</v>
      </c>
      <c r="S672" t="s">
        <v>636</v>
      </c>
      <c r="T672" t="s">
        <v>645</v>
      </c>
    </row>
    <row r="673" spans="1:20" x14ac:dyDescent="0.3">
      <c r="A673" s="2" t="s">
        <v>409</v>
      </c>
      <c r="B673" s="50" t="s">
        <v>154</v>
      </c>
      <c r="C673">
        <v>171</v>
      </c>
      <c r="D673" t="str">
        <f t="shared" si="124"/>
        <v>Kumite</v>
      </c>
      <c r="E673" t="str">
        <f>"Kumite, -, 60-65 kg, Ifjúsági (15-16"</f>
        <v>Kumite, -, 60-65 kg, Ifjúsági (15-16</v>
      </c>
      <c r="F673" s="83" t="s">
        <v>552</v>
      </c>
      <c r="G673" s="50" t="str">
        <f>"5"</f>
        <v>5</v>
      </c>
      <c r="H673" t="str">
        <f>"5 fős körmérkőzés"</f>
        <v>5 fős körmérkőzés</v>
      </c>
      <c r="I673" s="50" t="str">
        <f>"3"</f>
        <v>3</v>
      </c>
      <c r="J673" t="str">
        <f>"Szutor Anna"</f>
        <v>Szutor Anna</v>
      </c>
      <c r="K673" t="str">
        <f>"Shogun"</f>
        <v>Shogun</v>
      </c>
      <c r="L673" t="str">
        <f t="shared" ref="L673:L736" si="125">"HUN"</f>
        <v>HUN</v>
      </c>
      <c r="M673">
        <v>6</v>
      </c>
      <c r="O673" s="83" t="s">
        <v>410</v>
      </c>
      <c r="P673" s="78">
        <v>45395</v>
      </c>
      <c r="Q673" t="str">
        <f t="shared" si="123"/>
        <v>Szutor Anna - Shogun</v>
      </c>
      <c r="R673" t="s">
        <v>636</v>
      </c>
      <c r="S673" t="s">
        <v>636</v>
      </c>
      <c r="T673" t="s">
        <v>645</v>
      </c>
    </row>
    <row r="674" spans="1:20" x14ac:dyDescent="0.3">
      <c r="A674" s="2" t="s">
        <v>409</v>
      </c>
      <c r="B674" s="50" t="s">
        <v>154</v>
      </c>
      <c r="C674">
        <v>171</v>
      </c>
      <c r="D674" t="str">
        <f t="shared" si="124"/>
        <v>Kumite</v>
      </c>
      <c r="E674" t="str">
        <f>"Kumite, -, 60-65 kg, Ifjúsági (15-16"</f>
        <v>Kumite, -, 60-65 kg, Ifjúsági (15-16</v>
      </c>
      <c r="F674" s="83" t="s">
        <v>552</v>
      </c>
      <c r="G674" s="50" t="str">
        <f>"5"</f>
        <v>5</v>
      </c>
      <c r="H674" t="str">
        <f>"5 fős körmérkőzés"</f>
        <v>5 fős körmérkőzés</v>
      </c>
      <c r="I674" s="50">
        <v>4</v>
      </c>
      <c r="J674" t="s">
        <v>414</v>
      </c>
      <c r="K674" t="s">
        <v>333</v>
      </c>
      <c r="L674" t="str">
        <f t="shared" si="125"/>
        <v>HUN</v>
      </c>
      <c r="M674">
        <v>4</v>
      </c>
      <c r="O674" s="83" t="s">
        <v>410</v>
      </c>
      <c r="P674" s="78">
        <v>45395</v>
      </c>
      <c r="Q674" t="str">
        <f t="shared" si="123"/>
        <v xml:space="preserve">Kiss Aliz - Renmei se </v>
      </c>
      <c r="R674" t="s">
        <v>636</v>
      </c>
      <c r="S674" t="s">
        <v>636</v>
      </c>
      <c r="T674" t="s">
        <v>645</v>
      </c>
    </row>
    <row r="675" spans="1:20" x14ac:dyDescent="0.3">
      <c r="A675" s="2" t="s">
        <v>409</v>
      </c>
      <c r="B675" s="50" t="s">
        <v>154</v>
      </c>
      <c r="C675">
        <v>172</v>
      </c>
      <c r="D675" t="str">
        <f t="shared" si="124"/>
        <v>Kumite</v>
      </c>
      <c r="E675" t="str">
        <f>"Kumite, -, 65-200 kg, Ifjúsági (15-16"</f>
        <v>Kumite, -, 65-200 kg, Ifjúsági (15-16</v>
      </c>
      <c r="F675" s="83" t="s">
        <v>553</v>
      </c>
      <c r="G675" s="50" t="str">
        <f>"4"</f>
        <v>4</v>
      </c>
      <c r="H675" t="str">
        <f>"4 fős körmérkőzés"</f>
        <v>4 fős körmérkőzés</v>
      </c>
      <c r="I675" s="50" t="str">
        <f>"1"</f>
        <v>1</v>
      </c>
      <c r="J675" t="str">
        <f>"Vórincsák Vivien"</f>
        <v>Vórincsák Vivien</v>
      </c>
      <c r="K675" t="str">
        <f>"KHSE"</f>
        <v>KHSE</v>
      </c>
      <c r="L675" t="str">
        <f t="shared" si="125"/>
        <v>HUN</v>
      </c>
      <c r="M675">
        <v>8</v>
      </c>
      <c r="O675" s="83" t="s">
        <v>410</v>
      </c>
      <c r="P675" s="78">
        <v>45395</v>
      </c>
      <c r="Q675" t="str">
        <f t="shared" si="123"/>
        <v>Vórincsák Vivien - KHSE</v>
      </c>
      <c r="R675" t="s">
        <v>636</v>
      </c>
      <c r="S675" t="s">
        <v>636</v>
      </c>
      <c r="T675" t="s">
        <v>645</v>
      </c>
    </row>
    <row r="676" spans="1:20" x14ac:dyDescent="0.3">
      <c r="A676" s="2" t="s">
        <v>409</v>
      </c>
      <c r="B676" s="50" t="s">
        <v>154</v>
      </c>
      <c r="C676">
        <v>173</v>
      </c>
      <c r="D676" t="str">
        <f t="shared" si="124"/>
        <v>Kumite</v>
      </c>
      <c r="E676" t="str">
        <f>"Kumite, -, 65-200 kg, Ifjúsági (15-16"</f>
        <v>Kumite, -, 65-200 kg, Ifjúsági (15-16</v>
      </c>
      <c r="F676" s="83" t="s">
        <v>553</v>
      </c>
      <c r="G676" s="50" t="str">
        <f>"4"</f>
        <v>4</v>
      </c>
      <c r="H676" t="str">
        <f>"4 fős körmérkőzés"</f>
        <v>4 fős körmérkőzés</v>
      </c>
      <c r="I676" s="50" t="str">
        <f>"2"</f>
        <v>2</v>
      </c>
      <c r="J676" t="str">
        <f>"Ecsedi Réka"</f>
        <v>Ecsedi Réka</v>
      </c>
      <c r="K676" t="str">
        <f>"KHSE"</f>
        <v>KHSE</v>
      </c>
      <c r="L676" t="str">
        <f t="shared" si="125"/>
        <v>HUN</v>
      </c>
      <c r="M676">
        <v>6</v>
      </c>
      <c r="O676" s="83" t="s">
        <v>410</v>
      </c>
      <c r="P676" s="78">
        <v>45395</v>
      </c>
      <c r="Q676" t="str">
        <f t="shared" si="123"/>
        <v>Ecsedi Réka - KHSE</v>
      </c>
      <c r="R676" t="s">
        <v>636</v>
      </c>
      <c r="S676" t="s">
        <v>636</v>
      </c>
      <c r="T676" t="s">
        <v>645</v>
      </c>
    </row>
    <row r="677" spans="1:20" x14ac:dyDescent="0.3">
      <c r="A677" s="2" t="s">
        <v>409</v>
      </c>
      <c r="B677" s="50" t="s">
        <v>154</v>
      </c>
      <c r="C677">
        <v>174</v>
      </c>
      <c r="D677" t="str">
        <f t="shared" si="124"/>
        <v>Kumite</v>
      </c>
      <c r="E677" t="str">
        <f>"Kumite, -, 65-200 kg, Ifjúsági (15-16"</f>
        <v>Kumite, -, 65-200 kg, Ifjúsági (15-16</v>
      </c>
      <c r="F677" s="83" t="s">
        <v>553</v>
      </c>
      <c r="G677" s="50" t="str">
        <f>"4"</f>
        <v>4</v>
      </c>
      <c r="H677" t="str">
        <f>"4 fős körmérkőzés"</f>
        <v>4 fős körmérkőzés</v>
      </c>
      <c r="I677" s="50" t="str">
        <f>"3"</f>
        <v>3</v>
      </c>
      <c r="J677" t="str">
        <f>"Németh-Lakos Zolna"</f>
        <v>Németh-Lakos Zolna</v>
      </c>
      <c r="K677" t="str">
        <f>"Kamikaze S"</f>
        <v>Kamikaze S</v>
      </c>
      <c r="L677" t="str">
        <f t="shared" si="125"/>
        <v>HUN</v>
      </c>
      <c r="M677">
        <v>4</v>
      </c>
      <c r="O677" s="83" t="s">
        <v>410</v>
      </c>
      <c r="P677" s="78">
        <v>45395</v>
      </c>
      <c r="Q677" t="str">
        <f t="shared" si="123"/>
        <v>Németh-Lakos Zolna - Kamikaze S</v>
      </c>
      <c r="R677" t="s">
        <v>636</v>
      </c>
      <c r="S677" t="s">
        <v>636</v>
      </c>
      <c r="T677" t="s">
        <v>645</v>
      </c>
    </row>
    <row r="678" spans="1:20" s="83" customFormat="1" x14ac:dyDescent="0.3">
      <c r="A678" s="91" t="s">
        <v>409</v>
      </c>
      <c r="B678" s="92" t="s">
        <v>154</v>
      </c>
      <c r="C678" s="83">
        <v>175</v>
      </c>
      <c r="D678" s="83" t="str">
        <f t="shared" ref="D678:D685" si="126">"Kata"</f>
        <v>Kata</v>
      </c>
      <c r="E678" s="83" t="str">
        <f t="shared" ref="E678:E685" si="127">"Kata, -, 0-160 kg, Ifjúsági (15-16"</f>
        <v>Kata, -, 0-160 kg, Ifjúsági (15-16</v>
      </c>
      <c r="F678" s="83" t="s">
        <v>549</v>
      </c>
      <c r="G678" s="92" t="str">
        <f t="shared" ref="G678:G685" si="128">"12"</f>
        <v>12</v>
      </c>
      <c r="H678" s="83" t="str">
        <f t="shared" ref="H678:H685" si="129">"16 fős egyenes kiesés + 3. hely"</f>
        <v>16 fős egyenes kiesés + 3. hely</v>
      </c>
      <c r="I678" s="92" t="str">
        <f>"1"</f>
        <v>1</v>
      </c>
      <c r="J678" s="83" t="str">
        <f>"Gerő Hanna Gréta"</f>
        <v>Gerő Hanna Gréta</v>
      </c>
      <c r="K678" s="83" t="str">
        <f>"Kagami"</f>
        <v>Kagami</v>
      </c>
      <c r="L678" s="83" t="str">
        <f t="shared" si="125"/>
        <v>HUN</v>
      </c>
      <c r="M678" s="83">
        <v>8</v>
      </c>
      <c r="N678" s="83" t="s">
        <v>480</v>
      </c>
      <c r="O678" s="83" t="s">
        <v>410</v>
      </c>
      <c r="P678" s="93">
        <v>45395</v>
      </c>
      <c r="Q678" t="str">
        <f t="shared" si="123"/>
        <v>Gerő Hanna Gréta - Kagami</v>
      </c>
      <c r="R678" t="s">
        <v>636</v>
      </c>
      <c r="S678" t="s">
        <v>636</v>
      </c>
      <c r="T678" t="s">
        <v>645</v>
      </c>
    </row>
    <row r="679" spans="1:20" s="83" customFormat="1" x14ac:dyDescent="0.3">
      <c r="A679" s="91" t="s">
        <v>409</v>
      </c>
      <c r="B679" s="92" t="s">
        <v>154</v>
      </c>
      <c r="C679" s="83">
        <v>176</v>
      </c>
      <c r="D679" s="83" t="str">
        <f t="shared" si="126"/>
        <v>Kata</v>
      </c>
      <c r="E679" s="83" t="str">
        <f t="shared" si="127"/>
        <v>Kata, -, 0-160 kg, Ifjúsági (15-16</v>
      </c>
      <c r="F679" s="83" t="s">
        <v>549</v>
      </c>
      <c r="G679" s="92" t="str">
        <f t="shared" si="128"/>
        <v>12</v>
      </c>
      <c r="H679" s="83" t="str">
        <f t="shared" si="129"/>
        <v>16 fős egyenes kiesés + 3. hely</v>
      </c>
      <c r="I679" s="92" t="str">
        <f>"2"</f>
        <v>2</v>
      </c>
      <c r="J679" s="83" t="str">
        <f>"Kiss Aliz"</f>
        <v>Kiss Aliz</v>
      </c>
      <c r="K679" s="83" t="str">
        <f>"Renmei se "</f>
        <v xml:space="preserve">Renmei se </v>
      </c>
      <c r="L679" s="83" t="str">
        <f t="shared" si="125"/>
        <v>HUN</v>
      </c>
      <c r="M679" s="83">
        <v>6</v>
      </c>
      <c r="N679" s="83" t="s">
        <v>480</v>
      </c>
      <c r="O679" s="83" t="s">
        <v>410</v>
      </c>
      <c r="P679" s="93">
        <v>45395</v>
      </c>
      <c r="Q679" t="str">
        <f t="shared" si="123"/>
        <v xml:space="preserve">Kiss Aliz - Renmei se </v>
      </c>
      <c r="R679" t="s">
        <v>636</v>
      </c>
      <c r="S679" t="s">
        <v>636</v>
      </c>
      <c r="T679" t="s">
        <v>645</v>
      </c>
    </row>
    <row r="680" spans="1:20" s="83" customFormat="1" x14ac:dyDescent="0.3">
      <c r="A680" s="91" t="s">
        <v>409</v>
      </c>
      <c r="B680" s="92" t="s">
        <v>154</v>
      </c>
      <c r="C680" s="83">
        <v>177</v>
      </c>
      <c r="D680" s="83" t="str">
        <f t="shared" si="126"/>
        <v>Kata</v>
      </c>
      <c r="E680" s="83" t="str">
        <f t="shared" si="127"/>
        <v>Kata, -, 0-160 kg, Ifjúsági (15-16</v>
      </c>
      <c r="F680" s="83" t="s">
        <v>549</v>
      </c>
      <c r="G680" s="92" t="str">
        <f t="shared" si="128"/>
        <v>12</v>
      </c>
      <c r="H680" s="83" t="str">
        <f t="shared" si="129"/>
        <v>16 fős egyenes kiesés + 3. hely</v>
      </c>
      <c r="I680" s="92" t="str">
        <f>"3"</f>
        <v>3</v>
      </c>
      <c r="J680" s="83" t="str">
        <f>"Bognár Luca"</f>
        <v>Bognár Luca</v>
      </c>
      <c r="K680" s="83" t="str">
        <f>"Rakurai"</f>
        <v>Rakurai</v>
      </c>
      <c r="L680" s="83" t="str">
        <f t="shared" si="125"/>
        <v>HUN</v>
      </c>
      <c r="M680" s="83">
        <v>4</v>
      </c>
      <c r="N680" s="83" t="s">
        <v>480</v>
      </c>
      <c r="O680" s="83" t="s">
        <v>410</v>
      </c>
      <c r="P680" s="93">
        <v>45395</v>
      </c>
      <c r="Q680" t="str">
        <f t="shared" si="123"/>
        <v>Bognár Luca - Rakurai</v>
      </c>
      <c r="R680" t="s">
        <v>636</v>
      </c>
      <c r="S680" t="s">
        <v>636</v>
      </c>
      <c r="T680" t="s">
        <v>645</v>
      </c>
    </row>
    <row r="681" spans="1:20" s="83" customFormat="1" x14ac:dyDescent="0.3">
      <c r="A681" s="91" t="s">
        <v>409</v>
      </c>
      <c r="B681" s="92" t="s">
        <v>154</v>
      </c>
      <c r="C681" s="83">
        <v>178</v>
      </c>
      <c r="D681" s="83" t="str">
        <f t="shared" si="126"/>
        <v>Kata</v>
      </c>
      <c r="E681" s="83" t="str">
        <f t="shared" si="127"/>
        <v>Kata, -, 0-160 kg, Ifjúsági (15-16</v>
      </c>
      <c r="F681" s="83" t="s">
        <v>549</v>
      </c>
      <c r="G681" s="92" t="str">
        <f t="shared" si="128"/>
        <v>12</v>
      </c>
      <c r="H681" s="83" t="str">
        <f t="shared" si="129"/>
        <v>16 fős egyenes kiesés + 3. hely</v>
      </c>
      <c r="I681" s="92" t="str">
        <f>"4"</f>
        <v>4</v>
      </c>
      <c r="J681" s="83" t="str">
        <f>"Németh Panka"</f>
        <v>Németh Panka</v>
      </c>
      <c r="K681" s="83" t="str">
        <f>"Cs.S.E."</f>
        <v>Cs.S.E.</v>
      </c>
      <c r="L681" s="83" t="str">
        <f t="shared" si="125"/>
        <v>HUN</v>
      </c>
      <c r="M681" s="83">
        <v>3</v>
      </c>
      <c r="N681" s="83" t="s">
        <v>480</v>
      </c>
      <c r="O681" s="83" t="s">
        <v>410</v>
      </c>
      <c r="P681" s="93">
        <v>45395</v>
      </c>
      <c r="Q681" t="str">
        <f t="shared" si="123"/>
        <v>Németh Panka - Cs.S.E.</v>
      </c>
      <c r="R681" t="s">
        <v>636</v>
      </c>
      <c r="S681" t="s">
        <v>636</v>
      </c>
      <c r="T681" t="s">
        <v>645</v>
      </c>
    </row>
    <row r="682" spans="1:20" s="83" customFormat="1" x14ac:dyDescent="0.3">
      <c r="A682" s="91" t="s">
        <v>409</v>
      </c>
      <c r="B682" s="92" t="s">
        <v>154</v>
      </c>
      <c r="C682" s="83">
        <v>178</v>
      </c>
      <c r="D682" s="83" t="str">
        <f t="shared" si="126"/>
        <v>Kata</v>
      </c>
      <c r="E682" s="83" t="str">
        <f t="shared" si="127"/>
        <v>Kata, -, 0-160 kg, Ifjúsági (15-16</v>
      </c>
      <c r="F682" s="83" t="s">
        <v>549</v>
      </c>
      <c r="G682" s="92" t="str">
        <f t="shared" si="128"/>
        <v>12</v>
      </c>
      <c r="H682" s="83" t="str">
        <f t="shared" si="129"/>
        <v>16 fős egyenes kiesés + 3. hely</v>
      </c>
      <c r="I682" s="98" t="s">
        <v>302</v>
      </c>
      <c r="J682" s="83" t="s">
        <v>477</v>
      </c>
      <c r="K682" s="83" t="s">
        <v>23</v>
      </c>
      <c r="L682" s="83" t="str">
        <f t="shared" si="125"/>
        <v>HUN</v>
      </c>
      <c r="M682" s="83">
        <v>2</v>
      </c>
      <c r="N682" s="83" t="s">
        <v>479</v>
      </c>
      <c r="O682" s="83" t="s">
        <v>410</v>
      </c>
      <c r="P682" s="93">
        <v>45395</v>
      </c>
      <c r="Q682" t="str">
        <f t="shared" si="123"/>
        <v>Orosz Dorina - Kemecse SE</v>
      </c>
      <c r="R682" t="s">
        <v>636</v>
      </c>
      <c r="S682" t="s">
        <v>636</v>
      </c>
      <c r="T682" t="s">
        <v>645</v>
      </c>
    </row>
    <row r="683" spans="1:20" s="83" customFormat="1" x14ac:dyDescent="0.3">
      <c r="A683" s="91" t="s">
        <v>409</v>
      </c>
      <c r="B683" s="92" t="s">
        <v>154</v>
      </c>
      <c r="C683" s="83">
        <v>178</v>
      </c>
      <c r="D683" s="83" t="str">
        <f t="shared" si="126"/>
        <v>Kata</v>
      </c>
      <c r="E683" s="83" t="str">
        <f t="shared" si="127"/>
        <v>Kata, -, 0-160 kg, Ifjúsági (15-16</v>
      </c>
      <c r="F683" s="83" t="s">
        <v>549</v>
      </c>
      <c r="G683" s="92" t="str">
        <f t="shared" si="128"/>
        <v>12</v>
      </c>
      <c r="H683" s="83" t="str">
        <f t="shared" si="129"/>
        <v>16 fős egyenes kiesés + 3. hely</v>
      </c>
      <c r="I683" s="98" t="s">
        <v>302</v>
      </c>
      <c r="J683" s="83" t="s">
        <v>461</v>
      </c>
      <c r="K683" s="83" t="s">
        <v>14</v>
      </c>
      <c r="L683" s="83" t="str">
        <f t="shared" si="125"/>
        <v>HUN</v>
      </c>
      <c r="M683" s="83">
        <v>2</v>
      </c>
      <c r="N683" s="83" t="s">
        <v>479</v>
      </c>
      <c r="O683" s="83" t="s">
        <v>410</v>
      </c>
      <c r="P683" s="93">
        <v>45395</v>
      </c>
      <c r="Q683" t="str">
        <f t="shared" si="123"/>
        <v>Szabó Petra - Shogun</v>
      </c>
      <c r="R683" t="s">
        <v>636</v>
      </c>
      <c r="S683" t="s">
        <v>636</v>
      </c>
      <c r="T683" t="s">
        <v>645</v>
      </c>
    </row>
    <row r="684" spans="1:20" s="83" customFormat="1" x14ac:dyDescent="0.3">
      <c r="A684" s="91" t="s">
        <v>409</v>
      </c>
      <c r="B684" s="92" t="s">
        <v>154</v>
      </c>
      <c r="C684" s="83">
        <v>178</v>
      </c>
      <c r="D684" s="83" t="str">
        <f t="shared" si="126"/>
        <v>Kata</v>
      </c>
      <c r="E684" s="83" t="str">
        <f t="shared" si="127"/>
        <v>Kata, -, 0-160 kg, Ifjúsági (15-16</v>
      </c>
      <c r="F684" s="83" t="s">
        <v>549</v>
      </c>
      <c r="G684" s="92" t="str">
        <f t="shared" si="128"/>
        <v>12</v>
      </c>
      <c r="H684" s="83" t="str">
        <f t="shared" si="129"/>
        <v>16 fős egyenes kiesés + 3. hely</v>
      </c>
      <c r="I684" s="98" t="s">
        <v>302</v>
      </c>
      <c r="J684" s="83" t="s">
        <v>478</v>
      </c>
      <c r="K684" s="83" t="s">
        <v>14</v>
      </c>
      <c r="L684" s="83" t="str">
        <f t="shared" si="125"/>
        <v>HUN</v>
      </c>
      <c r="M684" s="83">
        <v>2</v>
      </c>
      <c r="N684" s="83" t="s">
        <v>479</v>
      </c>
      <c r="O684" s="83" t="s">
        <v>410</v>
      </c>
      <c r="P684" s="93">
        <v>45395</v>
      </c>
      <c r="Q684" t="str">
        <f t="shared" si="123"/>
        <v>Szutor Anna - Shogun</v>
      </c>
      <c r="R684" t="s">
        <v>636</v>
      </c>
      <c r="S684" t="s">
        <v>636</v>
      </c>
      <c r="T684" t="s">
        <v>645</v>
      </c>
    </row>
    <row r="685" spans="1:20" s="83" customFormat="1" x14ac:dyDescent="0.3">
      <c r="A685" s="91" t="s">
        <v>409</v>
      </c>
      <c r="B685" s="92" t="s">
        <v>154</v>
      </c>
      <c r="C685" s="83">
        <v>178</v>
      </c>
      <c r="D685" s="83" t="str">
        <f t="shared" si="126"/>
        <v>Kata</v>
      </c>
      <c r="E685" s="83" t="str">
        <f t="shared" si="127"/>
        <v>Kata, -, 0-160 kg, Ifjúsági (15-16</v>
      </c>
      <c r="F685" s="83" t="s">
        <v>549</v>
      </c>
      <c r="G685" s="92" t="str">
        <f t="shared" si="128"/>
        <v>12</v>
      </c>
      <c r="H685" s="83" t="str">
        <f t="shared" si="129"/>
        <v>16 fős egyenes kiesés + 3. hely</v>
      </c>
      <c r="I685" s="98" t="s">
        <v>302</v>
      </c>
      <c r="J685" s="83" t="s">
        <v>460</v>
      </c>
      <c r="K685" s="83" t="s">
        <v>333</v>
      </c>
      <c r="L685" s="83" t="str">
        <f t="shared" si="125"/>
        <v>HUN</v>
      </c>
      <c r="M685" s="83">
        <v>2</v>
      </c>
      <c r="N685" s="83" t="s">
        <v>479</v>
      </c>
      <c r="O685" s="83" t="s">
        <v>410</v>
      </c>
      <c r="P685" s="93">
        <v>45395</v>
      </c>
      <c r="Q685" t="str">
        <f t="shared" si="123"/>
        <v xml:space="preserve">Sümegh Anna - Renmei se </v>
      </c>
      <c r="R685" t="s">
        <v>636</v>
      </c>
      <c r="S685" t="s">
        <v>636</v>
      </c>
      <c r="T685" t="s">
        <v>645</v>
      </c>
    </row>
    <row r="686" spans="1:20" x14ac:dyDescent="0.3">
      <c r="A686" s="2" t="s">
        <v>409</v>
      </c>
      <c r="B686" s="50" t="s">
        <v>154</v>
      </c>
      <c r="C686">
        <v>179</v>
      </c>
      <c r="D686" t="str">
        <f t="shared" ref="D686:D705" si="130">"Kumite"</f>
        <v>Kumite</v>
      </c>
      <c r="E686" t="str">
        <f>"Kumite, -, 0-60 kg, Junior DOL (17-19"</f>
        <v>Kumite, -, 0-60 kg, Junior DOL (17-19</v>
      </c>
      <c r="F686" s="83" t="s">
        <v>496</v>
      </c>
      <c r="G686" s="50" t="str">
        <f>"11"</f>
        <v>11</v>
      </c>
      <c r="H686" t="str">
        <f>"16 fős egyenes kiesés"</f>
        <v>16 fős egyenes kiesés</v>
      </c>
      <c r="I686" s="50" t="str">
        <f>"1"</f>
        <v>1</v>
      </c>
      <c r="J686" t="str">
        <f>"Pető Zsombor Tamás"</f>
        <v>Pető Zsombor Tamás</v>
      </c>
      <c r="K686" t="str">
        <f>"Spirit SE."</f>
        <v>Spirit SE.</v>
      </c>
      <c r="L686" t="str">
        <f t="shared" si="125"/>
        <v>HUN</v>
      </c>
      <c r="M686" s="83">
        <v>10</v>
      </c>
      <c r="O686" s="83" t="s">
        <v>410</v>
      </c>
      <c r="P686" s="78">
        <v>45395</v>
      </c>
      <c r="Q686" t="str">
        <f t="shared" si="123"/>
        <v>Pető Zsombor Tamás - Spirit SE.</v>
      </c>
      <c r="R686" t="s">
        <v>636</v>
      </c>
      <c r="S686" t="s">
        <v>636</v>
      </c>
      <c r="T686" t="s">
        <v>645</v>
      </c>
    </row>
    <row r="687" spans="1:20" x14ac:dyDescent="0.3">
      <c r="A687" s="2" t="s">
        <v>409</v>
      </c>
      <c r="B687" s="50" t="s">
        <v>154</v>
      </c>
      <c r="C687">
        <v>215</v>
      </c>
      <c r="D687" t="str">
        <f t="shared" si="130"/>
        <v>Kumite</v>
      </c>
      <c r="E687" t="str">
        <f>"Kumite, -, 0-60 kg, Junior DOL (17-19"</f>
        <v>Kumite, -, 0-60 kg, Junior DOL (17-19</v>
      </c>
      <c r="F687" s="83" t="s">
        <v>496</v>
      </c>
      <c r="G687" s="50" t="str">
        <f>"11"</f>
        <v>11</v>
      </c>
      <c r="H687" t="str">
        <f>"16 fős egyenes kiesés"</f>
        <v>16 fős egyenes kiesés</v>
      </c>
      <c r="I687" s="50" t="str">
        <f>"2"</f>
        <v>2</v>
      </c>
      <c r="J687" t="str">
        <f>"Soltész Szabolcs"</f>
        <v>Soltész Szabolcs</v>
      </c>
      <c r="K687" t="str">
        <f>"Kisvárda KKDOSC"</f>
        <v>Kisvárda KKDOSC</v>
      </c>
      <c r="L687" t="str">
        <f t="shared" si="125"/>
        <v>HUN</v>
      </c>
      <c r="M687" s="83">
        <v>8</v>
      </c>
      <c r="O687" s="83" t="s">
        <v>410</v>
      </c>
      <c r="P687" s="78">
        <v>45395</v>
      </c>
      <c r="Q687" t="str">
        <f t="shared" si="123"/>
        <v>Soltész Szabolcs - Kisvárda KKDOSC</v>
      </c>
      <c r="R687" t="s">
        <v>636</v>
      </c>
      <c r="S687" t="s">
        <v>636</v>
      </c>
      <c r="T687" t="s">
        <v>645</v>
      </c>
    </row>
    <row r="688" spans="1:20" x14ac:dyDescent="0.3">
      <c r="A688" s="2" t="s">
        <v>409</v>
      </c>
      <c r="B688" s="50" t="s">
        <v>154</v>
      </c>
      <c r="C688">
        <v>180</v>
      </c>
      <c r="D688" t="str">
        <f t="shared" si="130"/>
        <v>Kumite</v>
      </c>
      <c r="E688" t="str">
        <f>"Kumite, -, 0-60 kg, Junior DOL (17-19"</f>
        <v>Kumite, -, 0-60 kg, Junior DOL (17-19</v>
      </c>
      <c r="F688" s="83" t="s">
        <v>496</v>
      </c>
      <c r="G688" s="50" t="str">
        <f>"11"</f>
        <v>11</v>
      </c>
      <c r="H688" t="str">
        <f>"16 fős egyenes kiesés"</f>
        <v>16 fős egyenes kiesés</v>
      </c>
      <c r="I688" s="50" t="str">
        <f>"3"</f>
        <v>3</v>
      </c>
      <c r="J688" t="str">
        <f>"Horváth László"</f>
        <v>Horváth László</v>
      </c>
      <c r="K688" t="str">
        <f>"Magna Dojo"</f>
        <v>Magna Dojo</v>
      </c>
      <c r="L688" t="str">
        <f t="shared" si="125"/>
        <v>HUN</v>
      </c>
      <c r="M688" s="83">
        <v>6</v>
      </c>
      <c r="O688" s="83" t="s">
        <v>410</v>
      </c>
      <c r="P688" s="78">
        <v>45395</v>
      </c>
      <c r="Q688" t="str">
        <f t="shared" si="123"/>
        <v>Horváth László - Magna Dojo</v>
      </c>
      <c r="R688" t="s">
        <v>636</v>
      </c>
      <c r="S688" t="s">
        <v>636</v>
      </c>
      <c r="T688" t="s">
        <v>645</v>
      </c>
    </row>
    <row r="689" spans="1:20" x14ac:dyDescent="0.3">
      <c r="A689" s="2" t="s">
        <v>409</v>
      </c>
      <c r="B689" s="50" t="s">
        <v>154</v>
      </c>
      <c r="C689">
        <v>181</v>
      </c>
      <c r="D689" t="str">
        <f t="shared" si="130"/>
        <v>Kumite</v>
      </c>
      <c r="E689" t="str">
        <f>"Kumite, -, 0-60 kg, Junior DOL (17-19"</f>
        <v>Kumite, -, 0-60 kg, Junior DOL (17-19</v>
      </c>
      <c r="F689" s="83" t="s">
        <v>496</v>
      </c>
      <c r="G689" s="50" t="str">
        <f>"11"</f>
        <v>11</v>
      </c>
      <c r="H689" t="str">
        <f>"16 fős egyenes kiesés"</f>
        <v>16 fős egyenes kiesés</v>
      </c>
      <c r="I689" s="50" t="str">
        <f>"3"</f>
        <v>3</v>
      </c>
      <c r="J689" t="str">
        <f>"Breznyiczki Benedek"</f>
        <v>Breznyiczki Benedek</v>
      </c>
      <c r="K689" t="str">
        <f>"Nozomu Dojo"</f>
        <v>Nozomu Dojo</v>
      </c>
      <c r="L689" t="str">
        <f t="shared" si="125"/>
        <v>HUN</v>
      </c>
      <c r="M689" s="83">
        <v>6</v>
      </c>
      <c r="O689" s="83" t="s">
        <v>410</v>
      </c>
      <c r="P689" s="78">
        <v>45395</v>
      </c>
      <c r="Q689" t="str">
        <f t="shared" si="123"/>
        <v>Breznyiczki Benedek - Nozomu Dojo</v>
      </c>
      <c r="R689" t="s">
        <v>636</v>
      </c>
      <c r="S689" t="s">
        <v>636</v>
      </c>
      <c r="T689" t="s">
        <v>645</v>
      </c>
    </row>
    <row r="690" spans="1:20" x14ac:dyDescent="0.3">
      <c r="A690" s="2" t="s">
        <v>409</v>
      </c>
      <c r="B690" s="50" t="s">
        <v>154</v>
      </c>
      <c r="C690">
        <v>181</v>
      </c>
      <c r="D690" t="str">
        <f t="shared" si="130"/>
        <v>Kumite</v>
      </c>
      <c r="E690" t="str">
        <f>"Kumite, -, 0-60 kg, Junior DOL (17-19"</f>
        <v>Kumite, -, 0-60 kg, Junior DOL (17-19</v>
      </c>
      <c r="F690" s="83" t="s">
        <v>496</v>
      </c>
      <c r="G690" s="50" t="str">
        <f>"11"</f>
        <v>11</v>
      </c>
      <c r="H690" t="str">
        <f>"16 fős egyenes kiesés"</f>
        <v>16 fős egyenes kiesés</v>
      </c>
      <c r="I690" s="67" t="s">
        <v>302</v>
      </c>
      <c r="J690" t="s">
        <v>462</v>
      </c>
      <c r="K690" t="s">
        <v>61</v>
      </c>
      <c r="L690" t="str">
        <f t="shared" si="125"/>
        <v>HUN</v>
      </c>
      <c r="M690" s="83">
        <v>3</v>
      </c>
      <c r="O690" s="83" t="s">
        <v>410</v>
      </c>
      <c r="P690" s="78">
        <v>45395</v>
      </c>
      <c r="Q690" t="str">
        <f t="shared" si="123"/>
        <v>Kun Dániel - Magna Dojo</v>
      </c>
      <c r="R690" t="s">
        <v>636</v>
      </c>
      <c r="S690" t="s">
        <v>636</v>
      </c>
      <c r="T690" t="s">
        <v>645</v>
      </c>
    </row>
    <row r="691" spans="1:20" x14ac:dyDescent="0.3">
      <c r="A691" s="2" t="s">
        <v>409</v>
      </c>
      <c r="B691" s="50" t="s">
        <v>154</v>
      </c>
      <c r="C691">
        <v>182</v>
      </c>
      <c r="D691" t="str">
        <f t="shared" si="130"/>
        <v>Kumite</v>
      </c>
      <c r="E691" t="str">
        <f>"Kumite, -, 60-65 kg, Junior DOL (17-19"</f>
        <v>Kumite, -, 60-65 kg, Junior DOL (17-19</v>
      </c>
      <c r="F691" s="83" t="s">
        <v>497</v>
      </c>
      <c r="G691" s="50" t="str">
        <f>"5"</f>
        <v>5</v>
      </c>
      <c r="H691" t="str">
        <f>"5 fős körmérkőzés"</f>
        <v>5 fős körmérkőzés</v>
      </c>
      <c r="I691" s="50" t="str">
        <f>"1"</f>
        <v>1</v>
      </c>
      <c r="J691" t="str">
        <f>"Pósán Zétény"</f>
        <v>Pósán Zétény</v>
      </c>
      <c r="K691" t="str">
        <f>"Shogun"</f>
        <v>Shogun</v>
      </c>
      <c r="L691" t="str">
        <f t="shared" si="125"/>
        <v>HUN</v>
      </c>
      <c r="M691">
        <v>10</v>
      </c>
      <c r="O691" s="83" t="s">
        <v>410</v>
      </c>
      <c r="P691" s="78">
        <v>45395</v>
      </c>
      <c r="Q691" t="str">
        <f t="shared" si="123"/>
        <v>Pósán Zétény - Shogun</v>
      </c>
      <c r="R691" t="s">
        <v>636</v>
      </c>
      <c r="S691" t="s">
        <v>636</v>
      </c>
      <c r="T691" t="s">
        <v>645</v>
      </c>
    </row>
    <row r="692" spans="1:20" x14ac:dyDescent="0.3">
      <c r="A692" s="2" t="s">
        <v>409</v>
      </c>
      <c r="B692" s="50" t="s">
        <v>154</v>
      </c>
      <c r="C692">
        <v>183</v>
      </c>
      <c r="D692" t="str">
        <f t="shared" si="130"/>
        <v>Kumite</v>
      </c>
      <c r="E692" t="str">
        <f>"Kumite, -, 60-65 kg, Junior DOL (17-19"</f>
        <v>Kumite, -, 60-65 kg, Junior DOL (17-19</v>
      </c>
      <c r="F692" s="83" t="s">
        <v>497</v>
      </c>
      <c r="G692" s="50" t="str">
        <f>"5"</f>
        <v>5</v>
      </c>
      <c r="H692" t="str">
        <f>"5 fős körmérkőzés"</f>
        <v>5 fős körmérkőzés</v>
      </c>
      <c r="I692" s="50" t="str">
        <f>"2"</f>
        <v>2</v>
      </c>
      <c r="J692" t="str">
        <f>"Makay Zétény"</f>
        <v>Makay Zétény</v>
      </c>
      <c r="K692" t="str">
        <f>"Shogun"</f>
        <v>Shogun</v>
      </c>
      <c r="L692" t="str">
        <f t="shared" si="125"/>
        <v>HUN</v>
      </c>
      <c r="M692">
        <v>8</v>
      </c>
      <c r="O692" s="83" t="s">
        <v>410</v>
      </c>
      <c r="P692" s="78">
        <v>45395</v>
      </c>
      <c r="Q692" t="str">
        <f t="shared" si="123"/>
        <v>Makay Zétény - Shogun</v>
      </c>
      <c r="R692" t="s">
        <v>636</v>
      </c>
      <c r="S692" t="s">
        <v>636</v>
      </c>
      <c r="T692" t="s">
        <v>645</v>
      </c>
    </row>
    <row r="693" spans="1:20" x14ac:dyDescent="0.3">
      <c r="A693" s="2" t="s">
        <v>409</v>
      </c>
      <c r="B693" s="50" t="s">
        <v>154</v>
      </c>
      <c r="C693">
        <v>184</v>
      </c>
      <c r="D693" t="str">
        <f t="shared" si="130"/>
        <v>Kumite</v>
      </c>
      <c r="E693" t="str">
        <f>"Kumite, -, 60-65 kg, Junior DOL (17-19"</f>
        <v>Kumite, -, 60-65 kg, Junior DOL (17-19</v>
      </c>
      <c r="F693" s="83" t="s">
        <v>497</v>
      </c>
      <c r="G693" s="50" t="str">
        <f>"5"</f>
        <v>5</v>
      </c>
      <c r="H693" t="str">
        <f>"5 fős körmérkőzés"</f>
        <v>5 fős körmérkőzés</v>
      </c>
      <c r="I693" s="50" t="str">
        <f>"3"</f>
        <v>3</v>
      </c>
      <c r="J693" t="str">
        <f>"Szabó Bence"</f>
        <v>Szabó Bence</v>
      </c>
      <c r="K693" t="str">
        <f>"Shogun"</f>
        <v>Shogun</v>
      </c>
      <c r="L693" t="str">
        <f t="shared" si="125"/>
        <v>HUN</v>
      </c>
      <c r="M693">
        <v>6</v>
      </c>
      <c r="O693" s="83" t="s">
        <v>410</v>
      </c>
      <c r="P693" s="78">
        <v>45395</v>
      </c>
      <c r="Q693" t="str">
        <f t="shared" si="123"/>
        <v>Szabó Bence - Shogun</v>
      </c>
      <c r="R693" t="s">
        <v>636</v>
      </c>
      <c r="S693" t="s">
        <v>636</v>
      </c>
      <c r="T693" t="s">
        <v>645</v>
      </c>
    </row>
    <row r="694" spans="1:20" x14ac:dyDescent="0.3">
      <c r="A694" s="2" t="s">
        <v>409</v>
      </c>
      <c r="B694" s="50" t="s">
        <v>154</v>
      </c>
      <c r="C694">
        <v>185</v>
      </c>
      <c r="D694" t="str">
        <f t="shared" si="130"/>
        <v>Kumite</v>
      </c>
      <c r="E694" t="str">
        <f>"Kumite, -, 65-70 kg, Junior DOL (17-19"</f>
        <v>Kumite, -, 65-70 kg, Junior DOL (17-19</v>
      </c>
      <c r="F694" s="83" t="s">
        <v>498</v>
      </c>
      <c r="G694" s="50" t="str">
        <f>"9"</f>
        <v>9</v>
      </c>
      <c r="H694" t="str">
        <f>"16 fős egyenes kiesés"</f>
        <v>16 fős egyenes kiesés</v>
      </c>
      <c r="I694" s="50" t="str">
        <f>"1"</f>
        <v>1</v>
      </c>
      <c r="J694" t="str">
        <f>"Hardi Balázs"</f>
        <v>Hardi Balázs</v>
      </c>
      <c r="K694" t="str">
        <f>"Siófok KSE"</f>
        <v>Siófok KSE</v>
      </c>
      <c r="L694" t="str">
        <f t="shared" si="125"/>
        <v>HUN</v>
      </c>
      <c r="M694">
        <v>10</v>
      </c>
      <c r="O694" s="83" t="s">
        <v>410</v>
      </c>
      <c r="P694" s="78">
        <v>45395</v>
      </c>
      <c r="Q694" t="str">
        <f t="shared" si="123"/>
        <v>Hardi Balázs - Siófok KSE</v>
      </c>
      <c r="R694" t="s">
        <v>636</v>
      </c>
      <c r="S694" t="s">
        <v>636</v>
      </c>
      <c r="T694" t="s">
        <v>645</v>
      </c>
    </row>
    <row r="695" spans="1:20" x14ac:dyDescent="0.3">
      <c r="A695" s="2" t="s">
        <v>409</v>
      </c>
      <c r="B695" s="50" t="s">
        <v>154</v>
      </c>
      <c r="C695">
        <v>186</v>
      </c>
      <c r="D695" t="str">
        <f t="shared" si="130"/>
        <v>Kumite</v>
      </c>
      <c r="E695" t="str">
        <f>"Kumite, -, 65-70 kg, Junior DOL (17-19"</f>
        <v>Kumite, -, 65-70 kg, Junior DOL (17-19</v>
      </c>
      <c r="F695" s="83" t="s">
        <v>498</v>
      </c>
      <c r="G695" s="50" t="str">
        <f>"9"</f>
        <v>9</v>
      </c>
      <c r="H695" t="str">
        <f>"16 fős egyenes kiesés"</f>
        <v>16 fős egyenes kiesés</v>
      </c>
      <c r="I695" s="50" t="str">
        <f>"2"</f>
        <v>2</v>
      </c>
      <c r="J695" t="str">
        <f>"Horváth Levente András"</f>
        <v>Horváth Levente András</v>
      </c>
      <c r="K695" t="str">
        <f>"SMAFC"</f>
        <v>SMAFC</v>
      </c>
      <c r="L695" t="str">
        <f t="shared" si="125"/>
        <v>HUN</v>
      </c>
      <c r="M695">
        <v>8</v>
      </c>
      <c r="O695" s="83" t="s">
        <v>410</v>
      </c>
      <c r="P695" s="78">
        <v>45395</v>
      </c>
      <c r="Q695" t="str">
        <f t="shared" si="123"/>
        <v>Horváth Levente András - SMAFC</v>
      </c>
      <c r="R695" t="s">
        <v>636</v>
      </c>
      <c r="S695" t="s">
        <v>636</v>
      </c>
      <c r="T695" t="s">
        <v>645</v>
      </c>
    </row>
    <row r="696" spans="1:20" x14ac:dyDescent="0.3">
      <c r="A696" s="2" t="s">
        <v>409</v>
      </c>
      <c r="B696" s="50" t="s">
        <v>154</v>
      </c>
      <c r="C696">
        <v>187</v>
      </c>
      <c r="D696" t="str">
        <f t="shared" si="130"/>
        <v>Kumite</v>
      </c>
      <c r="E696" t="str">
        <f>"Kumite, -, 65-70 kg, Junior DOL (17-19"</f>
        <v>Kumite, -, 65-70 kg, Junior DOL (17-19</v>
      </c>
      <c r="F696" s="83" t="s">
        <v>498</v>
      </c>
      <c r="G696" s="50" t="str">
        <f>"9"</f>
        <v>9</v>
      </c>
      <c r="H696" t="str">
        <f>"16 fős egyenes kiesés"</f>
        <v>16 fős egyenes kiesés</v>
      </c>
      <c r="I696" s="50" t="str">
        <f>"3"</f>
        <v>3</v>
      </c>
      <c r="J696" t="str">
        <f>"Gáspár Botond"</f>
        <v>Gáspár Botond</v>
      </c>
      <c r="K696" t="str">
        <f>"Főnix Dojo"</f>
        <v>Főnix Dojo</v>
      </c>
      <c r="L696" t="str">
        <f t="shared" si="125"/>
        <v>HUN</v>
      </c>
      <c r="M696">
        <v>6</v>
      </c>
      <c r="O696" s="83" t="s">
        <v>410</v>
      </c>
      <c r="P696" s="78">
        <v>45395</v>
      </c>
      <c r="Q696" t="str">
        <f t="shared" si="123"/>
        <v>Gáspár Botond - Főnix Dojo</v>
      </c>
      <c r="R696" t="s">
        <v>636</v>
      </c>
      <c r="S696" t="s">
        <v>636</v>
      </c>
      <c r="T696" t="s">
        <v>645</v>
      </c>
    </row>
    <row r="697" spans="1:20" x14ac:dyDescent="0.3">
      <c r="A697" s="2" t="s">
        <v>409</v>
      </c>
      <c r="B697" s="50" t="s">
        <v>154</v>
      </c>
      <c r="C697">
        <v>216</v>
      </c>
      <c r="D697" t="str">
        <f t="shared" si="130"/>
        <v>Kumite</v>
      </c>
      <c r="E697" t="str">
        <f>"Kumite, -, 65-70 kg, Junior DOL (17-19"</f>
        <v>Kumite, -, 65-70 kg, Junior DOL (17-19</v>
      </c>
      <c r="F697" s="83" t="s">
        <v>498</v>
      </c>
      <c r="G697" s="50" t="str">
        <f>"9"</f>
        <v>9</v>
      </c>
      <c r="H697" t="str">
        <f>"16 fős egyenes kiesés"</f>
        <v>16 fős egyenes kiesés</v>
      </c>
      <c r="I697" s="50" t="str">
        <f>"3"</f>
        <v>3</v>
      </c>
      <c r="J697" t="str">
        <f>"Balázs Ákos"</f>
        <v>Balázs Ákos</v>
      </c>
      <c r="K697" t="str">
        <f>"Shogun"</f>
        <v>Shogun</v>
      </c>
      <c r="L697" t="str">
        <f t="shared" si="125"/>
        <v>HUN</v>
      </c>
      <c r="M697">
        <v>6</v>
      </c>
      <c r="O697" s="83" t="s">
        <v>410</v>
      </c>
      <c r="P697" s="78">
        <v>45395</v>
      </c>
      <c r="Q697" t="str">
        <f t="shared" si="123"/>
        <v>Balázs Ákos - Shogun</v>
      </c>
      <c r="R697" t="s">
        <v>636</v>
      </c>
      <c r="S697" t="s">
        <v>636</v>
      </c>
      <c r="T697" t="s">
        <v>645</v>
      </c>
    </row>
    <row r="698" spans="1:20" x14ac:dyDescent="0.3">
      <c r="A698" s="2" t="s">
        <v>409</v>
      </c>
      <c r="B698" s="50" t="s">
        <v>154</v>
      </c>
      <c r="C698">
        <v>188</v>
      </c>
      <c r="D698" t="str">
        <f t="shared" si="130"/>
        <v>Kumite</v>
      </c>
      <c r="E698" t="str">
        <f>"Kumite, -, 70-75 kg, Junior DOL (17-19"</f>
        <v>Kumite, -, 70-75 kg, Junior DOL (17-19</v>
      </c>
      <c r="F698" s="83" t="s">
        <v>499</v>
      </c>
      <c r="G698" s="50" t="str">
        <f>"7"</f>
        <v>7</v>
      </c>
      <c r="H698" t="str">
        <f>"8 fős egyenes kiesés"</f>
        <v>8 fős egyenes kiesés</v>
      </c>
      <c r="I698" s="50" t="str">
        <f>"1"</f>
        <v>1</v>
      </c>
      <c r="J698" t="str">
        <f>"Orbán Balázs"</f>
        <v>Orbán Balázs</v>
      </c>
      <c r="K698" t="str">
        <f>"KKE - Spartacus"</f>
        <v>KKE - Spartacus</v>
      </c>
      <c r="L698" t="str">
        <f t="shared" si="125"/>
        <v>HUN</v>
      </c>
      <c r="M698">
        <v>8</v>
      </c>
      <c r="O698" s="83" t="s">
        <v>410</v>
      </c>
      <c r="P698" s="78">
        <v>45395</v>
      </c>
      <c r="Q698" t="str">
        <f t="shared" si="123"/>
        <v>Orbán Balázs - KKE - Spartacus</v>
      </c>
      <c r="R698" t="s">
        <v>636</v>
      </c>
      <c r="S698" t="s">
        <v>636</v>
      </c>
      <c r="T698" t="s">
        <v>645</v>
      </c>
    </row>
    <row r="699" spans="1:20" x14ac:dyDescent="0.3">
      <c r="A699" s="2" t="s">
        <v>409</v>
      </c>
      <c r="B699" s="50" t="s">
        <v>154</v>
      </c>
      <c r="C699">
        <v>217</v>
      </c>
      <c r="D699" t="str">
        <f t="shared" si="130"/>
        <v>Kumite</v>
      </c>
      <c r="E699" t="str">
        <f>"Kumite, -, 70-75 kg, Junior DOL (17-19"</f>
        <v>Kumite, -, 70-75 kg, Junior DOL (17-19</v>
      </c>
      <c r="F699" s="83" t="s">
        <v>499</v>
      </c>
      <c r="G699" s="50" t="str">
        <f>"7"</f>
        <v>7</v>
      </c>
      <c r="H699" t="str">
        <f>"8 fős egyenes kiesés"</f>
        <v>8 fős egyenes kiesés</v>
      </c>
      <c r="I699" s="50" t="str">
        <f>"2"</f>
        <v>2</v>
      </c>
      <c r="J699" t="str">
        <f>"Ludszky Tamás"</f>
        <v>Ludszky Tamás</v>
      </c>
      <c r="K699" t="str">
        <f>"Főnix Dojo"</f>
        <v>Főnix Dojo</v>
      </c>
      <c r="L699" t="str">
        <f t="shared" si="125"/>
        <v>HUN</v>
      </c>
      <c r="M699">
        <v>6</v>
      </c>
      <c r="O699" s="83" t="s">
        <v>410</v>
      </c>
      <c r="P699" s="78">
        <v>45395</v>
      </c>
      <c r="Q699" t="str">
        <f t="shared" si="123"/>
        <v>Ludszky Tamás - Főnix Dojo</v>
      </c>
      <c r="R699" t="s">
        <v>636</v>
      </c>
      <c r="S699" t="s">
        <v>636</v>
      </c>
      <c r="T699" t="s">
        <v>645</v>
      </c>
    </row>
    <row r="700" spans="1:20" x14ac:dyDescent="0.3">
      <c r="A700" s="2" t="s">
        <v>409</v>
      </c>
      <c r="B700" s="50" t="s">
        <v>154</v>
      </c>
      <c r="C700">
        <v>189</v>
      </c>
      <c r="D700" t="str">
        <f t="shared" si="130"/>
        <v>Kumite</v>
      </c>
      <c r="E700" t="str">
        <f>"Kumite, -, 70-75 kg, Junior DOL (17-19"</f>
        <v>Kumite, -, 70-75 kg, Junior DOL (17-19</v>
      </c>
      <c r="F700" s="83" t="s">
        <v>499</v>
      </c>
      <c r="G700" s="50" t="str">
        <f>"7"</f>
        <v>7</v>
      </c>
      <c r="H700" t="str">
        <f>"8 fős egyenes kiesés"</f>
        <v>8 fős egyenes kiesés</v>
      </c>
      <c r="I700" s="50" t="str">
        <f>"3"</f>
        <v>3</v>
      </c>
      <c r="J700" t="str">
        <f>"Bukta Erik"</f>
        <v>Bukta Erik</v>
      </c>
      <c r="K700" t="str">
        <f>"Magna Dojo"</f>
        <v>Magna Dojo</v>
      </c>
      <c r="L700" t="str">
        <f t="shared" si="125"/>
        <v>HUN</v>
      </c>
      <c r="M700">
        <v>4</v>
      </c>
      <c r="O700" s="83" t="s">
        <v>410</v>
      </c>
      <c r="P700" s="78">
        <v>45395</v>
      </c>
      <c r="Q700" t="str">
        <f t="shared" si="123"/>
        <v>Bukta Erik - Magna Dojo</v>
      </c>
      <c r="R700" t="s">
        <v>636</v>
      </c>
      <c r="S700" t="s">
        <v>636</v>
      </c>
      <c r="T700" t="s">
        <v>645</v>
      </c>
    </row>
    <row r="701" spans="1:20" x14ac:dyDescent="0.3">
      <c r="A701" s="2" t="s">
        <v>409</v>
      </c>
      <c r="B701" s="50" t="s">
        <v>154</v>
      </c>
      <c r="C701">
        <v>190</v>
      </c>
      <c r="D701" t="str">
        <f t="shared" si="130"/>
        <v>Kumite</v>
      </c>
      <c r="E701" t="str">
        <f>"Kumite, -, 70-75 kg, Junior DOL (17-19"</f>
        <v>Kumite, -, 70-75 kg, Junior DOL (17-19</v>
      </c>
      <c r="F701" s="83" t="s">
        <v>499</v>
      </c>
      <c r="G701" s="50" t="str">
        <f>"7"</f>
        <v>7</v>
      </c>
      <c r="H701" t="str">
        <f>"8 fős egyenes kiesés"</f>
        <v>8 fős egyenes kiesés</v>
      </c>
      <c r="I701" s="50" t="str">
        <f>"3"</f>
        <v>3</v>
      </c>
      <c r="J701" t="str">
        <f>"Bede Zsombor"</f>
        <v>Bede Zsombor</v>
      </c>
      <c r="K701" t="str">
        <f>"Ippon KKSE"</f>
        <v>Ippon KKSE</v>
      </c>
      <c r="L701" t="str">
        <f t="shared" si="125"/>
        <v>HUN</v>
      </c>
      <c r="M701">
        <v>4</v>
      </c>
      <c r="O701" s="83" t="s">
        <v>410</v>
      </c>
      <c r="P701" s="78">
        <v>45395</v>
      </c>
      <c r="Q701" t="str">
        <f t="shared" si="123"/>
        <v>Bede Zsombor - Ippon KKSE</v>
      </c>
      <c r="R701" t="s">
        <v>636</v>
      </c>
      <c r="S701" t="s">
        <v>636</v>
      </c>
      <c r="T701" t="s">
        <v>645</v>
      </c>
    </row>
    <row r="702" spans="1:20" x14ac:dyDescent="0.3">
      <c r="A702" s="2" t="s">
        <v>409</v>
      </c>
      <c r="B702" s="50" t="s">
        <v>154</v>
      </c>
      <c r="C702">
        <v>218</v>
      </c>
      <c r="D702" t="str">
        <f t="shared" si="130"/>
        <v>Kumite</v>
      </c>
      <c r="E702" t="str">
        <f>"Kumite, -, 75-80 kg, Junior DOL (17-19"</f>
        <v>Kumite, -, 75-80 kg, Junior DOL (17-19</v>
      </c>
      <c r="F702" s="83" t="s">
        <v>500</v>
      </c>
      <c r="G702" s="50" t="str">
        <f>"5"</f>
        <v>5</v>
      </c>
      <c r="H702" t="str">
        <f>"5 fős körmérkőzés"</f>
        <v>5 fős körmérkőzés</v>
      </c>
      <c r="I702" s="50" t="str">
        <f>"1"</f>
        <v>1</v>
      </c>
      <c r="J702" t="str">
        <f>"Kátay Bulcsú"</f>
        <v>Kátay Bulcsú</v>
      </c>
      <c r="K702" t="str">
        <f>"BHMSE"</f>
        <v>BHMSE</v>
      </c>
      <c r="L702" t="str">
        <f t="shared" si="125"/>
        <v>HUN</v>
      </c>
      <c r="M702">
        <v>10</v>
      </c>
      <c r="O702" s="83" t="s">
        <v>410</v>
      </c>
      <c r="P702" s="78">
        <v>45395</v>
      </c>
      <c r="Q702" t="str">
        <f t="shared" si="123"/>
        <v>Kátay Bulcsú - BHMSE</v>
      </c>
      <c r="R702" t="s">
        <v>636</v>
      </c>
      <c r="S702" t="s">
        <v>636</v>
      </c>
      <c r="T702" t="s">
        <v>645</v>
      </c>
    </row>
    <row r="703" spans="1:20" x14ac:dyDescent="0.3">
      <c r="A703" s="2" t="s">
        <v>409</v>
      </c>
      <c r="B703" s="50" t="s">
        <v>154</v>
      </c>
      <c r="C703">
        <v>191</v>
      </c>
      <c r="D703" t="str">
        <f t="shared" si="130"/>
        <v>Kumite</v>
      </c>
      <c r="E703" t="str">
        <f>"Kumite, -, 75-80 kg, Junior DOL (17-19"</f>
        <v>Kumite, -, 75-80 kg, Junior DOL (17-19</v>
      </c>
      <c r="F703" s="83" t="s">
        <v>500</v>
      </c>
      <c r="G703" s="50" t="str">
        <f>"5"</f>
        <v>5</v>
      </c>
      <c r="H703" t="str">
        <f>"5 fős körmérkőzés"</f>
        <v>5 fős körmérkőzés</v>
      </c>
      <c r="I703" s="50" t="str">
        <f>"2"</f>
        <v>2</v>
      </c>
      <c r="J703" t="str">
        <f>"Simon Boldizsár"</f>
        <v>Simon Boldizsár</v>
      </c>
      <c r="K703" t="str">
        <f>"Kiai Dojo "</f>
        <v xml:space="preserve">Kiai Dojo </v>
      </c>
      <c r="L703" t="str">
        <f t="shared" si="125"/>
        <v>HUN</v>
      </c>
      <c r="M703">
        <v>8</v>
      </c>
      <c r="O703" s="83" t="s">
        <v>410</v>
      </c>
      <c r="P703" s="78">
        <v>45395</v>
      </c>
      <c r="Q703" t="str">
        <f t="shared" si="123"/>
        <v xml:space="preserve">Simon Boldizsár - Kiai Dojo </v>
      </c>
      <c r="R703" t="s">
        <v>636</v>
      </c>
      <c r="S703" t="s">
        <v>636</v>
      </c>
      <c r="T703" t="s">
        <v>645</v>
      </c>
    </row>
    <row r="704" spans="1:20" x14ac:dyDescent="0.3">
      <c r="A704" s="2" t="s">
        <v>409</v>
      </c>
      <c r="B704" s="50" t="s">
        <v>154</v>
      </c>
      <c r="C704">
        <v>192</v>
      </c>
      <c r="D704" t="str">
        <f t="shared" si="130"/>
        <v>Kumite</v>
      </c>
      <c r="E704" t="str">
        <f>"Kumite, -, 75-80 kg, Junior DOL (17-19"</f>
        <v>Kumite, -, 75-80 kg, Junior DOL (17-19</v>
      </c>
      <c r="F704" s="83" t="s">
        <v>500</v>
      </c>
      <c r="G704" s="50" t="str">
        <f>"5"</f>
        <v>5</v>
      </c>
      <c r="H704" t="str">
        <f>"5 fős körmérkőzés"</f>
        <v>5 fős körmérkőzés</v>
      </c>
      <c r="I704" s="50" t="str">
        <f>"3"</f>
        <v>3</v>
      </c>
      <c r="J704" t="str">
        <f>"Spanjevic Dániel"</f>
        <v>Spanjevic Dániel</v>
      </c>
      <c r="K704" t="str">
        <f>"BHMSE"</f>
        <v>BHMSE</v>
      </c>
      <c r="L704" t="str">
        <f t="shared" si="125"/>
        <v>HUN</v>
      </c>
      <c r="M704">
        <v>6</v>
      </c>
      <c r="O704" s="83" t="s">
        <v>410</v>
      </c>
      <c r="P704" s="78">
        <v>45395</v>
      </c>
      <c r="Q704" t="str">
        <f t="shared" si="123"/>
        <v>Spanjevic Dániel - BHMSE</v>
      </c>
      <c r="R704" t="s">
        <v>636</v>
      </c>
      <c r="S704" t="s">
        <v>636</v>
      </c>
      <c r="T704" t="s">
        <v>645</v>
      </c>
    </row>
    <row r="705" spans="1:20" x14ac:dyDescent="0.3">
      <c r="A705" s="2" t="s">
        <v>409</v>
      </c>
      <c r="B705" s="50" t="s">
        <v>154</v>
      </c>
      <c r="C705">
        <v>192</v>
      </c>
      <c r="D705" t="str">
        <f t="shared" si="130"/>
        <v>Kumite</v>
      </c>
      <c r="E705" t="str">
        <f>"Kumite, -, 75-80 kg, Junior DOL (17-19"</f>
        <v>Kumite, -, 75-80 kg, Junior DOL (17-19</v>
      </c>
      <c r="F705" s="83" t="s">
        <v>500</v>
      </c>
      <c r="G705" s="50" t="str">
        <f>"5"</f>
        <v>5</v>
      </c>
      <c r="H705" t="str">
        <f>"5 fős körmérkőzés"</f>
        <v>5 fős körmérkőzés</v>
      </c>
      <c r="I705" s="50">
        <v>4</v>
      </c>
      <c r="J705" t="s">
        <v>416</v>
      </c>
      <c r="K705" t="s">
        <v>313</v>
      </c>
      <c r="L705" t="str">
        <f t="shared" si="125"/>
        <v>HUN</v>
      </c>
      <c r="M705">
        <v>4</v>
      </c>
      <c r="O705" s="83" t="s">
        <v>410</v>
      </c>
      <c r="P705" s="78">
        <v>45395</v>
      </c>
      <c r="Q705" t="str">
        <f t="shared" si="123"/>
        <v>Vati András - Bushido Kaposvár</v>
      </c>
      <c r="R705" t="s">
        <v>636</v>
      </c>
      <c r="S705" t="s">
        <v>636</v>
      </c>
      <c r="T705" t="s">
        <v>645</v>
      </c>
    </row>
    <row r="706" spans="1:20" s="83" customFormat="1" x14ac:dyDescent="0.3">
      <c r="A706" s="91" t="s">
        <v>409</v>
      </c>
      <c r="B706" s="92" t="s">
        <v>154</v>
      </c>
      <c r="C706" s="83">
        <v>222</v>
      </c>
      <c r="D706" s="83" t="str">
        <f>"Kata"</f>
        <v>Kata</v>
      </c>
      <c r="E706" s="83" t="str">
        <f>"Kata, -, 0-170 kg, Junior (17-18"</f>
        <v>Kata, -, 0-170 kg, Junior (17-18</v>
      </c>
      <c r="F706" s="83" t="s">
        <v>502</v>
      </c>
      <c r="G706" s="92" t="str">
        <f>"7"</f>
        <v>7</v>
      </c>
      <c r="H706" s="83" t="str">
        <f>"8 fős egyenes kiesés + 3. hely"</f>
        <v>8 fős egyenes kiesés + 3. hely</v>
      </c>
      <c r="I706" s="92" t="str">
        <f>"1"</f>
        <v>1</v>
      </c>
      <c r="J706" s="83" t="str">
        <f>"Soltész Szabolcs"</f>
        <v>Soltész Szabolcs</v>
      </c>
      <c r="K706" s="83" t="str">
        <f>"Kisvárda KKDOSC"</f>
        <v>Kisvárda KKDOSC</v>
      </c>
      <c r="L706" s="83" t="str">
        <f t="shared" si="125"/>
        <v>HUN</v>
      </c>
      <c r="M706" s="83">
        <v>6</v>
      </c>
      <c r="N706" s="83" t="s">
        <v>481</v>
      </c>
      <c r="O706" s="83" t="s">
        <v>410</v>
      </c>
      <c r="P706" s="93">
        <v>45395</v>
      </c>
      <c r="Q706" t="str">
        <f t="shared" si="123"/>
        <v>Soltész Szabolcs - Kisvárda KKDOSC</v>
      </c>
      <c r="R706" t="s">
        <v>636</v>
      </c>
      <c r="S706" t="s">
        <v>636</v>
      </c>
      <c r="T706" t="s">
        <v>645</v>
      </c>
    </row>
    <row r="707" spans="1:20" s="83" customFormat="1" x14ac:dyDescent="0.3">
      <c r="A707" s="91" t="s">
        <v>409</v>
      </c>
      <c r="B707" s="92" t="s">
        <v>154</v>
      </c>
      <c r="C707" s="83">
        <v>194</v>
      </c>
      <c r="D707" s="83" t="str">
        <f>"Kata"</f>
        <v>Kata</v>
      </c>
      <c r="E707" s="83" t="str">
        <f>"Kata, -, 0-170 kg, Junior (17-18"</f>
        <v>Kata, -, 0-170 kg, Junior (17-18</v>
      </c>
      <c r="F707" s="83" t="s">
        <v>502</v>
      </c>
      <c r="G707" s="92" t="str">
        <f>"7"</f>
        <v>7</v>
      </c>
      <c r="H707" s="83" t="str">
        <f>"8 fős egyenes kiesés + 3. hely"</f>
        <v>8 fős egyenes kiesés + 3. hely</v>
      </c>
      <c r="I707" s="92" t="str">
        <f>"2"</f>
        <v>2</v>
      </c>
      <c r="J707" s="83" t="str">
        <f>"Hardi Balázs"</f>
        <v>Hardi Balázs</v>
      </c>
      <c r="K707" s="83" t="str">
        <f>"Siófok KSE"</f>
        <v>Siófok KSE</v>
      </c>
      <c r="L707" s="83" t="str">
        <f t="shared" si="125"/>
        <v>HUN</v>
      </c>
      <c r="M707" s="83">
        <v>5</v>
      </c>
      <c r="N707" s="83" t="s">
        <v>481</v>
      </c>
      <c r="O707" s="83" t="s">
        <v>410</v>
      </c>
      <c r="P707" s="93">
        <v>45395</v>
      </c>
      <c r="Q707" t="str">
        <f t="shared" ref="Q707:Q770" si="131">J707&amp;" - "&amp;K707</f>
        <v>Hardi Balázs - Siófok KSE</v>
      </c>
      <c r="R707" t="s">
        <v>636</v>
      </c>
      <c r="S707" t="s">
        <v>636</v>
      </c>
      <c r="T707" t="s">
        <v>645</v>
      </c>
    </row>
    <row r="708" spans="1:20" s="83" customFormat="1" x14ac:dyDescent="0.3">
      <c r="A708" s="91" t="s">
        <v>409</v>
      </c>
      <c r="B708" s="92" t="s">
        <v>154</v>
      </c>
      <c r="C708" s="83">
        <v>195</v>
      </c>
      <c r="D708" s="83" t="str">
        <f>"Kata"</f>
        <v>Kata</v>
      </c>
      <c r="E708" s="83" t="str">
        <f>"Kata, -, 0-170 kg, Junior (17-18"</f>
        <v>Kata, -, 0-170 kg, Junior (17-18</v>
      </c>
      <c r="F708" s="83" t="s">
        <v>502</v>
      </c>
      <c r="G708" s="92" t="str">
        <f>"7"</f>
        <v>7</v>
      </c>
      <c r="H708" s="83" t="str">
        <f>"8 fős egyenes kiesés + 3. hely"</f>
        <v>8 fős egyenes kiesés + 3. hely</v>
      </c>
      <c r="I708" s="92" t="str">
        <f>"3"</f>
        <v>3</v>
      </c>
      <c r="J708" s="83" t="str">
        <f>"Szabó Bence"</f>
        <v>Szabó Bence</v>
      </c>
      <c r="K708" s="83" t="str">
        <f>"Shogun"</f>
        <v>Shogun</v>
      </c>
      <c r="L708" s="83" t="str">
        <f t="shared" si="125"/>
        <v>HUN</v>
      </c>
      <c r="M708" s="83">
        <v>3</v>
      </c>
      <c r="N708" s="83" t="s">
        <v>481</v>
      </c>
      <c r="O708" s="83" t="s">
        <v>410</v>
      </c>
      <c r="P708" s="93">
        <v>45395</v>
      </c>
      <c r="Q708" t="str">
        <f t="shared" si="131"/>
        <v>Szabó Bence - Shogun</v>
      </c>
      <c r="R708" t="s">
        <v>636</v>
      </c>
      <c r="S708" t="s">
        <v>636</v>
      </c>
      <c r="T708" t="s">
        <v>645</v>
      </c>
    </row>
    <row r="709" spans="1:20" s="83" customFormat="1" x14ac:dyDescent="0.3">
      <c r="A709" s="91" t="s">
        <v>409</v>
      </c>
      <c r="B709" s="92" t="s">
        <v>154</v>
      </c>
      <c r="C709" s="83">
        <v>196</v>
      </c>
      <c r="D709" s="83" t="str">
        <f>"Kata"</f>
        <v>Kata</v>
      </c>
      <c r="E709" s="83" t="str">
        <f>"Kata, -, 0-170 kg, Junior (17-18"</f>
        <v>Kata, -, 0-170 kg, Junior (17-18</v>
      </c>
      <c r="F709" s="83" t="s">
        <v>502</v>
      </c>
      <c r="G709" s="92" t="str">
        <f>"7"</f>
        <v>7</v>
      </c>
      <c r="H709" s="83" t="str">
        <f>"8 fős egyenes kiesés + 3. hely"</f>
        <v>8 fős egyenes kiesés + 3. hely</v>
      </c>
      <c r="I709" s="92" t="str">
        <f>"4"</f>
        <v>4</v>
      </c>
      <c r="J709" s="83" t="str">
        <f>"Kis Benedek Ernő"</f>
        <v>Kis Benedek Ernő</v>
      </c>
      <c r="K709" s="83" t="str">
        <f>"Kagami"</f>
        <v>Kagami</v>
      </c>
      <c r="L709" s="83" t="str">
        <f t="shared" si="125"/>
        <v>HUN</v>
      </c>
      <c r="M709" s="83">
        <v>2</v>
      </c>
      <c r="N709" s="83" t="s">
        <v>481</v>
      </c>
      <c r="O709" s="83" t="s">
        <v>410</v>
      </c>
      <c r="P709" s="93">
        <v>45395</v>
      </c>
      <c r="Q709" t="str">
        <f t="shared" si="131"/>
        <v>Kis Benedek Ernő - Kagami</v>
      </c>
      <c r="R709" t="s">
        <v>636</v>
      </c>
      <c r="S709" t="s">
        <v>636</v>
      </c>
      <c r="T709" t="s">
        <v>645</v>
      </c>
    </row>
    <row r="710" spans="1:20" x14ac:dyDescent="0.3">
      <c r="A710" s="2" t="s">
        <v>409</v>
      </c>
      <c r="B710" s="50" t="s">
        <v>154</v>
      </c>
      <c r="C710">
        <v>197</v>
      </c>
      <c r="D710" t="str">
        <f t="shared" ref="D710:D724" si="132">"Kumite"</f>
        <v>Kumite</v>
      </c>
      <c r="E710" t="str">
        <f>"Kumite, -, 0-50 kg, Junior DOL (17-19"</f>
        <v>Kumite, -, 0-50 kg, Junior DOL (17-19</v>
      </c>
      <c r="F710" s="83" t="s">
        <v>504</v>
      </c>
      <c r="G710" s="50" t="str">
        <f>"2"</f>
        <v>2</v>
      </c>
      <c r="H710" t="str">
        <f>"2 fős egyenes kiesés"</f>
        <v>2 fős egyenes kiesés</v>
      </c>
      <c r="I710" s="50" t="str">
        <f>"1"</f>
        <v>1</v>
      </c>
      <c r="J710" t="str">
        <f>"Kiss-Leizer Luca"</f>
        <v>Kiss-Leizer Luca</v>
      </c>
      <c r="K710" t="str">
        <f>"KKE - Spartacus"</f>
        <v>KKE - Spartacus</v>
      </c>
      <c r="L710" t="str">
        <f t="shared" si="125"/>
        <v>HUN</v>
      </c>
      <c r="M710">
        <v>4</v>
      </c>
      <c r="O710" s="83" t="s">
        <v>410</v>
      </c>
      <c r="P710" s="78">
        <v>45395</v>
      </c>
      <c r="Q710" t="str">
        <f t="shared" si="131"/>
        <v>Kiss-Leizer Luca - KKE - Spartacus</v>
      </c>
      <c r="R710" t="s">
        <v>636</v>
      </c>
      <c r="S710" t="s">
        <v>636</v>
      </c>
      <c r="T710" t="s">
        <v>645</v>
      </c>
    </row>
    <row r="711" spans="1:20" x14ac:dyDescent="0.3">
      <c r="A711" s="2" t="s">
        <v>409</v>
      </c>
      <c r="B711" s="50" t="s">
        <v>154</v>
      </c>
      <c r="C711">
        <v>198</v>
      </c>
      <c r="D711" t="str">
        <f t="shared" si="132"/>
        <v>Kumite</v>
      </c>
      <c r="E711" t="str">
        <f>"Kumite, -, 0-50 kg, Junior DOL (17-19"</f>
        <v>Kumite, -, 0-50 kg, Junior DOL (17-19</v>
      </c>
      <c r="F711" s="83" t="s">
        <v>504</v>
      </c>
      <c r="G711" s="50" t="str">
        <f>"2"</f>
        <v>2</v>
      </c>
      <c r="H711" t="str">
        <f>"2 fős egyenes kiesés"</f>
        <v>2 fős egyenes kiesés</v>
      </c>
      <c r="I711" s="50" t="str">
        <f>"2"</f>
        <v>2</v>
      </c>
      <c r="J711" t="str">
        <f>"Bánky Liliána"</f>
        <v>Bánky Liliána</v>
      </c>
      <c r="K711" t="str">
        <f>"BHMSE"</f>
        <v>BHMSE</v>
      </c>
      <c r="L711" t="str">
        <f t="shared" si="125"/>
        <v>HUN</v>
      </c>
      <c r="M711">
        <v>0</v>
      </c>
      <c r="N711" t="s">
        <v>158</v>
      </c>
      <c r="O711" s="83" t="s">
        <v>410</v>
      </c>
      <c r="P711" s="78">
        <v>45395</v>
      </c>
      <c r="Q711" t="str">
        <f t="shared" si="131"/>
        <v>Bánky Liliána - BHMSE</v>
      </c>
      <c r="R711" t="s">
        <v>636</v>
      </c>
      <c r="S711" t="s">
        <v>636</v>
      </c>
      <c r="T711" t="s">
        <v>645</v>
      </c>
    </row>
    <row r="712" spans="1:20" x14ac:dyDescent="0.3">
      <c r="A712" s="2" t="s">
        <v>409</v>
      </c>
      <c r="B712" s="50" t="s">
        <v>154</v>
      </c>
      <c r="C712">
        <v>199</v>
      </c>
      <c r="D712" t="str">
        <f t="shared" si="132"/>
        <v>Kumite</v>
      </c>
      <c r="E712" t="str">
        <f>"Kumite, -, 50-55 kg, Junior DOL (17-19"</f>
        <v>Kumite, -, 50-55 kg, Junior DOL (17-19</v>
      </c>
      <c r="F712" s="83" t="s">
        <v>505</v>
      </c>
      <c r="G712" s="50" t="str">
        <f>"9"</f>
        <v>9</v>
      </c>
      <c r="H712" t="str">
        <f>"16 fős egyenes kiesés"</f>
        <v>16 fős egyenes kiesés</v>
      </c>
      <c r="I712" s="50" t="str">
        <f>"1"</f>
        <v>1</v>
      </c>
      <c r="J712" t="str">
        <f>"Bagdi Alexa Zita"</f>
        <v>Bagdi Alexa Zita</v>
      </c>
      <c r="K712" t="str">
        <f>"BHMSE"</f>
        <v>BHMSE</v>
      </c>
      <c r="L712" t="str">
        <f t="shared" si="125"/>
        <v>HUN</v>
      </c>
      <c r="M712">
        <v>10</v>
      </c>
      <c r="O712" s="83" t="s">
        <v>410</v>
      </c>
      <c r="P712" s="78">
        <v>45395</v>
      </c>
      <c r="Q712" t="str">
        <f t="shared" si="131"/>
        <v>Bagdi Alexa Zita - BHMSE</v>
      </c>
      <c r="R712" t="s">
        <v>636</v>
      </c>
      <c r="S712" t="s">
        <v>636</v>
      </c>
      <c r="T712" t="s">
        <v>645</v>
      </c>
    </row>
    <row r="713" spans="1:20" x14ac:dyDescent="0.3">
      <c r="A713" s="2" t="s">
        <v>409</v>
      </c>
      <c r="B713" s="50" t="s">
        <v>154</v>
      </c>
      <c r="C713">
        <v>223</v>
      </c>
      <c r="D713" t="str">
        <f t="shared" si="132"/>
        <v>Kumite</v>
      </c>
      <c r="E713" t="str">
        <f>"Kumite, -, 50-55 kg, Junior DOL (17-19"</f>
        <v>Kumite, -, 50-55 kg, Junior DOL (17-19</v>
      </c>
      <c r="F713" s="83" t="s">
        <v>505</v>
      </c>
      <c r="G713" s="50" t="str">
        <f>"9"</f>
        <v>9</v>
      </c>
      <c r="H713" t="str">
        <f>"16 fős egyenes kiesés"</f>
        <v>16 fős egyenes kiesés</v>
      </c>
      <c r="I713" s="50" t="str">
        <f>"2"</f>
        <v>2</v>
      </c>
      <c r="J713" t="str">
        <f>"Gyenge Judit"</f>
        <v>Gyenge Judit</v>
      </c>
      <c r="K713" t="str">
        <f>"KHSE"</f>
        <v>KHSE</v>
      </c>
      <c r="L713" t="str">
        <f t="shared" si="125"/>
        <v>HUN</v>
      </c>
      <c r="M713">
        <v>8</v>
      </c>
      <c r="O713" s="83" t="s">
        <v>410</v>
      </c>
      <c r="P713" s="78">
        <v>45395</v>
      </c>
      <c r="Q713" t="str">
        <f t="shared" si="131"/>
        <v>Gyenge Judit - KHSE</v>
      </c>
      <c r="R713" t="s">
        <v>636</v>
      </c>
      <c r="S713" t="s">
        <v>636</v>
      </c>
      <c r="T713" t="s">
        <v>645</v>
      </c>
    </row>
    <row r="714" spans="1:20" x14ac:dyDescent="0.3">
      <c r="A714" s="2" t="s">
        <v>409</v>
      </c>
      <c r="B714" s="50" t="s">
        <v>154</v>
      </c>
      <c r="C714">
        <v>200</v>
      </c>
      <c r="D714" t="str">
        <f t="shared" si="132"/>
        <v>Kumite</v>
      </c>
      <c r="E714" t="str">
        <f>"Kumite, -, 50-55 kg, Junior DOL (17-19"</f>
        <v>Kumite, -, 50-55 kg, Junior DOL (17-19</v>
      </c>
      <c r="F714" s="83" t="s">
        <v>505</v>
      </c>
      <c r="G714" s="50" t="str">
        <f>"9"</f>
        <v>9</v>
      </c>
      <c r="H714" t="str">
        <f>"16 fős egyenes kiesés"</f>
        <v>16 fős egyenes kiesés</v>
      </c>
      <c r="I714" s="50" t="str">
        <f>"3"</f>
        <v>3</v>
      </c>
      <c r="J714" t="str">
        <f>"Szigeti Zsófia"</f>
        <v>Szigeti Zsófia</v>
      </c>
      <c r="K714" t="str">
        <f>"Kemecse SE"</f>
        <v>Kemecse SE</v>
      </c>
      <c r="L714" t="str">
        <f t="shared" si="125"/>
        <v>HUN</v>
      </c>
      <c r="M714">
        <v>6</v>
      </c>
      <c r="O714" s="83" t="s">
        <v>410</v>
      </c>
      <c r="P714" s="78">
        <v>45395</v>
      </c>
      <c r="Q714" t="str">
        <f t="shared" si="131"/>
        <v>Szigeti Zsófia - Kemecse SE</v>
      </c>
      <c r="R714" t="s">
        <v>636</v>
      </c>
      <c r="S714" t="s">
        <v>636</v>
      </c>
      <c r="T714" t="s">
        <v>645</v>
      </c>
    </row>
    <row r="715" spans="1:20" x14ac:dyDescent="0.3">
      <c r="A715" s="2" t="s">
        <v>409</v>
      </c>
      <c r="B715" s="50" t="s">
        <v>154</v>
      </c>
      <c r="C715">
        <v>201</v>
      </c>
      <c r="D715" t="str">
        <f t="shared" si="132"/>
        <v>Kumite</v>
      </c>
      <c r="E715" t="str">
        <f>"Kumite, -, 50-55 kg, Junior DOL (17-19"</f>
        <v>Kumite, -, 50-55 kg, Junior DOL (17-19</v>
      </c>
      <c r="F715" s="83" t="s">
        <v>505</v>
      </c>
      <c r="G715" s="50" t="str">
        <f>"9"</f>
        <v>9</v>
      </c>
      <c r="H715" t="str">
        <f>"16 fős egyenes kiesés"</f>
        <v>16 fős egyenes kiesés</v>
      </c>
      <c r="I715" s="50" t="str">
        <f>"3"</f>
        <v>3</v>
      </c>
      <c r="J715" t="str">
        <f>"Ponyokai Petra"</f>
        <v>Ponyokai Petra</v>
      </c>
      <c r="K715" t="str">
        <f>"Magna Dojo"</f>
        <v>Magna Dojo</v>
      </c>
      <c r="L715" t="str">
        <f t="shared" si="125"/>
        <v>HUN</v>
      </c>
      <c r="M715">
        <v>6</v>
      </c>
      <c r="O715" s="83" t="s">
        <v>410</v>
      </c>
      <c r="P715" s="78">
        <v>45395</v>
      </c>
      <c r="Q715" t="str">
        <f t="shared" si="131"/>
        <v>Ponyokai Petra - Magna Dojo</v>
      </c>
      <c r="R715" t="s">
        <v>636</v>
      </c>
      <c r="S715" t="s">
        <v>636</v>
      </c>
      <c r="T715" t="s">
        <v>645</v>
      </c>
    </row>
    <row r="716" spans="1:20" x14ac:dyDescent="0.3">
      <c r="A716" s="2" t="s">
        <v>409</v>
      </c>
      <c r="B716" s="50" t="s">
        <v>154</v>
      </c>
      <c r="C716">
        <v>202</v>
      </c>
      <c r="D716" t="str">
        <f t="shared" si="132"/>
        <v>Kumite</v>
      </c>
      <c r="E716" t="str">
        <f>"Kumite, -, 55-60 kg, Junior DOL (17-19"</f>
        <v>Kumite, -, 55-60 kg, Junior DOL (17-19</v>
      </c>
      <c r="F716" s="83" t="s">
        <v>506</v>
      </c>
      <c r="G716" s="50" t="str">
        <f>"2"</f>
        <v>2</v>
      </c>
      <c r="H716" t="str">
        <f>"2 fős egyenes kiesés"</f>
        <v>2 fős egyenes kiesés</v>
      </c>
      <c r="I716" s="50" t="str">
        <f>"1"</f>
        <v>1</v>
      </c>
      <c r="J716" t="str">
        <f>"Kis Mónika"</f>
        <v>Kis Mónika</v>
      </c>
      <c r="K716" t="str">
        <f>"Főnix Dojo"</f>
        <v>Főnix Dojo</v>
      </c>
      <c r="L716" t="str">
        <f t="shared" si="125"/>
        <v>HUN</v>
      </c>
      <c r="M716">
        <v>4</v>
      </c>
      <c r="O716" s="83" t="s">
        <v>410</v>
      </c>
      <c r="P716" s="78">
        <v>45395</v>
      </c>
      <c r="Q716" t="str">
        <f t="shared" si="131"/>
        <v>Kis Mónika - Főnix Dojo</v>
      </c>
      <c r="R716" t="s">
        <v>636</v>
      </c>
      <c r="S716" t="s">
        <v>636</v>
      </c>
      <c r="T716" t="s">
        <v>645</v>
      </c>
    </row>
    <row r="717" spans="1:20" x14ac:dyDescent="0.3">
      <c r="A717" s="2" t="s">
        <v>409</v>
      </c>
      <c r="B717" s="50" t="s">
        <v>154</v>
      </c>
      <c r="C717">
        <v>203</v>
      </c>
      <c r="D717" t="str">
        <f t="shared" si="132"/>
        <v>Kumite</v>
      </c>
      <c r="E717" t="str">
        <f>"Kumite, -, 55-60 kg, Junior DOL (17-19"</f>
        <v>Kumite, -, 55-60 kg, Junior DOL (17-19</v>
      </c>
      <c r="F717" s="83" t="s">
        <v>506</v>
      </c>
      <c r="G717" s="50" t="str">
        <f>"2"</f>
        <v>2</v>
      </c>
      <c r="H717" t="str">
        <f>"2 fős egyenes kiesés"</f>
        <v>2 fős egyenes kiesés</v>
      </c>
      <c r="I717" s="50" t="str">
        <f>"2"</f>
        <v>2</v>
      </c>
      <c r="J717" t="str">
        <f>"Bognár Léna"</f>
        <v>Bognár Léna</v>
      </c>
      <c r="K717" t="str">
        <f>"Rakurai"</f>
        <v>Rakurai</v>
      </c>
      <c r="L717" t="str">
        <f t="shared" si="125"/>
        <v>HUN</v>
      </c>
      <c r="M717">
        <v>0</v>
      </c>
      <c r="N717" t="s">
        <v>158</v>
      </c>
      <c r="O717" s="83" t="s">
        <v>410</v>
      </c>
      <c r="P717" s="78">
        <v>45395</v>
      </c>
      <c r="Q717" t="str">
        <f t="shared" si="131"/>
        <v>Bognár Léna - Rakurai</v>
      </c>
      <c r="R717" t="s">
        <v>636</v>
      </c>
      <c r="S717" t="s">
        <v>636</v>
      </c>
      <c r="T717" t="s">
        <v>645</v>
      </c>
    </row>
    <row r="718" spans="1:20" x14ac:dyDescent="0.3">
      <c r="A718" s="2" t="s">
        <v>409</v>
      </c>
      <c r="B718" s="50" t="s">
        <v>154</v>
      </c>
      <c r="C718">
        <v>204</v>
      </c>
      <c r="D718" t="str">
        <f t="shared" si="132"/>
        <v>Kumite</v>
      </c>
      <c r="E718" t="str">
        <f>"Kumite, -, 60-65 kg, Junior DOL (17-19"</f>
        <v>Kumite, -, 60-65 kg, Junior DOL (17-19</v>
      </c>
      <c r="F718" s="83" t="s">
        <v>507</v>
      </c>
      <c r="G718" s="50" t="str">
        <f>"3"</f>
        <v>3</v>
      </c>
      <c r="H718" t="str">
        <f>"3 fős körmérkőzés"</f>
        <v>3 fős körmérkőzés</v>
      </c>
      <c r="I718" s="50" t="str">
        <f>"1"</f>
        <v>1</v>
      </c>
      <c r="J718" t="str">
        <f>"Kozma Rebeka"</f>
        <v>Kozma Rebeka</v>
      </c>
      <c r="K718" t="str">
        <f>"KKE - Spartacus"</f>
        <v>KKE - Spartacus</v>
      </c>
      <c r="L718" t="str">
        <f t="shared" si="125"/>
        <v>HUN</v>
      </c>
      <c r="M718">
        <v>6</v>
      </c>
      <c r="O718" s="83" t="s">
        <v>410</v>
      </c>
      <c r="P718" s="78">
        <v>45395</v>
      </c>
      <c r="Q718" t="str">
        <f t="shared" si="131"/>
        <v>Kozma Rebeka - KKE - Spartacus</v>
      </c>
      <c r="R718" t="s">
        <v>636</v>
      </c>
      <c r="S718" t="s">
        <v>636</v>
      </c>
      <c r="T718" t="s">
        <v>645</v>
      </c>
    </row>
    <row r="719" spans="1:20" x14ac:dyDescent="0.3">
      <c r="A719" s="2" t="s">
        <v>409</v>
      </c>
      <c r="B719" s="50" t="s">
        <v>154</v>
      </c>
      <c r="C719">
        <v>205</v>
      </c>
      <c r="D719" t="str">
        <f t="shared" si="132"/>
        <v>Kumite</v>
      </c>
      <c r="E719" t="str">
        <f>"Kumite, -, 60-65 kg, Junior DOL (17-19"</f>
        <v>Kumite, -, 60-65 kg, Junior DOL (17-19</v>
      </c>
      <c r="F719" s="83" t="s">
        <v>507</v>
      </c>
      <c r="G719" s="50" t="str">
        <f>"3"</f>
        <v>3</v>
      </c>
      <c r="H719" t="str">
        <f>"3 fős körmérkőzés"</f>
        <v>3 fős körmérkőzés</v>
      </c>
      <c r="I719" s="50" t="str">
        <f>"2"</f>
        <v>2</v>
      </c>
      <c r="J719" t="str">
        <f>"Sólyom Gréta"</f>
        <v>Sólyom Gréta</v>
      </c>
      <c r="K719" t="str">
        <f>"Shogun"</f>
        <v>Shogun</v>
      </c>
      <c r="L719" t="str">
        <f t="shared" si="125"/>
        <v>HUN</v>
      </c>
      <c r="M719">
        <v>4</v>
      </c>
      <c r="O719" s="83" t="s">
        <v>410</v>
      </c>
      <c r="P719" s="78">
        <v>45395</v>
      </c>
      <c r="Q719" t="str">
        <f t="shared" si="131"/>
        <v>Sólyom Gréta - Shogun</v>
      </c>
      <c r="R719" t="s">
        <v>636</v>
      </c>
      <c r="S719" t="s">
        <v>636</v>
      </c>
      <c r="T719" t="s">
        <v>645</v>
      </c>
    </row>
    <row r="720" spans="1:20" x14ac:dyDescent="0.3">
      <c r="A720" s="2" t="s">
        <v>409</v>
      </c>
      <c r="B720" s="50" t="s">
        <v>154</v>
      </c>
      <c r="C720">
        <v>206</v>
      </c>
      <c r="D720" t="str">
        <f t="shared" si="132"/>
        <v>Kumite</v>
      </c>
      <c r="E720" t="str">
        <f>"Kumite, -, 60-65 kg, Junior DOL (17-19"</f>
        <v>Kumite, -, 60-65 kg, Junior DOL (17-19</v>
      </c>
      <c r="F720" s="83" t="s">
        <v>507</v>
      </c>
      <c r="G720" s="50" t="str">
        <f>"3"</f>
        <v>3</v>
      </c>
      <c r="H720" t="str">
        <f>"3 fős körmérkőzés"</f>
        <v>3 fős körmérkőzés</v>
      </c>
      <c r="I720" s="50" t="str">
        <f>"3"</f>
        <v>3</v>
      </c>
      <c r="J720" t="str">
        <f>"Rácz Dorottya"</f>
        <v>Rácz Dorottya</v>
      </c>
      <c r="K720" t="str">
        <f>"KHSE"</f>
        <v>KHSE</v>
      </c>
      <c r="L720" t="str">
        <f t="shared" si="125"/>
        <v>HUN</v>
      </c>
      <c r="M720">
        <v>0</v>
      </c>
      <c r="N720" t="s">
        <v>158</v>
      </c>
      <c r="O720" s="83" t="s">
        <v>410</v>
      </c>
      <c r="P720" s="78">
        <v>45395</v>
      </c>
      <c r="Q720" t="str">
        <f t="shared" si="131"/>
        <v>Rácz Dorottya - KHSE</v>
      </c>
      <c r="R720" t="s">
        <v>636</v>
      </c>
      <c r="S720" t="s">
        <v>636</v>
      </c>
      <c r="T720" t="s">
        <v>645</v>
      </c>
    </row>
    <row r="721" spans="1:20" x14ac:dyDescent="0.3">
      <c r="A721" s="2" t="s">
        <v>409</v>
      </c>
      <c r="B721" s="50" t="s">
        <v>154</v>
      </c>
      <c r="C721">
        <v>207</v>
      </c>
      <c r="D721" t="str">
        <f t="shared" si="132"/>
        <v>Kumite</v>
      </c>
      <c r="E721" t="str">
        <f>"Kumite, -, 65-200 kg, Junior DOL (17-19"</f>
        <v>Kumite, -, 65-200 kg, Junior DOL (17-19</v>
      </c>
      <c r="F721" s="83" t="s">
        <v>508</v>
      </c>
      <c r="G721" s="50" t="str">
        <f>"7"</f>
        <v>7</v>
      </c>
      <c r="H721" t="str">
        <f>"8 fős egyenes kiesés"</f>
        <v>8 fős egyenes kiesés</v>
      </c>
      <c r="I721" s="50" t="str">
        <f>"1"</f>
        <v>1</v>
      </c>
      <c r="J721" t="str">
        <f>"Varga Borbála"</f>
        <v>Varga Borbála</v>
      </c>
      <c r="K721" t="str">
        <f>"Kamikaze S"</f>
        <v>Kamikaze S</v>
      </c>
      <c r="L721" t="str">
        <f t="shared" si="125"/>
        <v>HUN</v>
      </c>
      <c r="M721">
        <v>8</v>
      </c>
      <c r="O721" s="83" t="s">
        <v>410</v>
      </c>
      <c r="P721" s="78">
        <v>45395</v>
      </c>
      <c r="Q721" t="str">
        <f t="shared" si="131"/>
        <v>Varga Borbála - Kamikaze S</v>
      </c>
      <c r="R721" t="s">
        <v>636</v>
      </c>
      <c r="S721" t="s">
        <v>636</v>
      </c>
      <c r="T721" t="s">
        <v>645</v>
      </c>
    </row>
    <row r="722" spans="1:20" x14ac:dyDescent="0.3">
      <c r="A722" s="2" t="s">
        <v>409</v>
      </c>
      <c r="B722" s="50" t="s">
        <v>154</v>
      </c>
      <c r="C722">
        <v>208</v>
      </c>
      <c r="D722" t="str">
        <f t="shared" si="132"/>
        <v>Kumite</v>
      </c>
      <c r="E722" t="str">
        <f>"Kumite, -, 65-200 kg, Junior DOL (17-19"</f>
        <v>Kumite, -, 65-200 kg, Junior DOL (17-19</v>
      </c>
      <c r="F722" s="83" t="s">
        <v>508</v>
      </c>
      <c r="G722" s="50" t="str">
        <f>"7"</f>
        <v>7</v>
      </c>
      <c r="H722" t="str">
        <f>"8 fős egyenes kiesés"</f>
        <v>8 fős egyenes kiesés</v>
      </c>
      <c r="I722" s="50" t="str">
        <f>"2"</f>
        <v>2</v>
      </c>
      <c r="J722" t="str">
        <f>"Rácz Viktória"</f>
        <v>Rácz Viktória</v>
      </c>
      <c r="K722" t="str">
        <f>"Shogun"</f>
        <v>Shogun</v>
      </c>
      <c r="L722" t="str">
        <f t="shared" si="125"/>
        <v>HUN</v>
      </c>
      <c r="M722">
        <v>6</v>
      </c>
      <c r="O722" s="83" t="s">
        <v>410</v>
      </c>
      <c r="P722" s="78">
        <v>45395</v>
      </c>
      <c r="Q722" t="str">
        <f t="shared" si="131"/>
        <v>Rácz Viktória - Shogun</v>
      </c>
      <c r="R722" t="s">
        <v>636</v>
      </c>
      <c r="S722" t="s">
        <v>636</v>
      </c>
      <c r="T722" t="s">
        <v>645</v>
      </c>
    </row>
    <row r="723" spans="1:20" x14ac:dyDescent="0.3">
      <c r="A723" s="2" t="s">
        <v>409</v>
      </c>
      <c r="B723" s="50" t="s">
        <v>154</v>
      </c>
      <c r="C723">
        <v>209</v>
      </c>
      <c r="D723" t="str">
        <f t="shared" si="132"/>
        <v>Kumite</v>
      </c>
      <c r="E723" t="str">
        <f>"Kumite, -, 65-200 kg, Junior DOL (17-19"</f>
        <v>Kumite, -, 65-200 kg, Junior DOL (17-19</v>
      </c>
      <c r="F723" s="83" t="s">
        <v>508</v>
      </c>
      <c r="G723" s="50" t="str">
        <f>"7"</f>
        <v>7</v>
      </c>
      <c r="H723" t="str">
        <f>"8 fős egyenes kiesés"</f>
        <v>8 fős egyenes kiesés</v>
      </c>
      <c r="I723" s="50" t="str">
        <f>"3"</f>
        <v>3</v>
      </c>
      <c r="J723" t="str">
        <f>"Molnár Ilona"</f>
        <v>Molnár Ilona</v>
      </c>
      <c r="K723" t="str">
        <f>"Mátészalkai MTK"</f>
        <v>Mátészalkai MTK</v>
      </c>
      <c r="L723" t="str">
        <f t="shared" si="125"/>
        <v>HUN</v>
      </c>
      <c r="M723">
        <v>0</v>
      </c>
      <c r="N723" t="s">
        <v>444</v>
      </c>
      <c r="O723" s="83" t="s">
        <v>410</v>
      </c>
      <c r="P723" s="78">
        <v>45395</v>
      </c>
      <c r="Q723" t="str">
        <f t="shared" si="131"/>
        <v>Molnár Ilona - Mátészalkai MTK</v>
      </c>
      <c r="R723" t="s">
        <v>637</v>
      </c>
      <c r="S723" t="s">
        <v>596</v>
      </c>
      <c r="T723" t="s">
        <v>645</v>
      </c>
    </row>
    <row r="724" spans="1:20" x14ac:dyDescent="0.3">
      <c r="A724" s="2" t="s">
        <v>409</v>
      </c>
      <c r="B724" s="50" t="s">
        <v>154</v>
      </c>
      <c r="C724">
        <v>210</v>
      </c>
      <c r="D724" t="str">
        <f t="shared" si="132"/>
        <v>Kumite</v>
      </c>
      <c r="E724" t="str">
        <f>"Kumite, -, 65-200 kg, Junior DOL (17-19"</f>
        <v>Kumite, -, 65-200 kg, Junior DOL (17-19</v>
      </c>
      <c r="F724" s="83" t="s">
        <v>508</v>
      </c>
      <c r="G724" s="50" t="str">
        <f>"7"</f>
        <v>7</v>
      </c>
      <c r="H724" t="str">
        <f>"8 fős egyenes kiesés"</f>
        <v>8 fős egyenes kiesés</v>
      </c>
      <c r="I724" s="50" t="str">
        <f>"3"</f>
        <v>3</v>
      </c>
      <c r="J724" t="str">
        <f>"Keszte Julia"</f>
        <v>Keszte Julia</v>
      </c>
      <c r="K724" t="str">
        <f>"Kapuvári SE"</f>
        <v>Kapuvári SE</v>
      </c>
      <c r="L724" t="str">
        <f t="shared" si="125"/>
        <v>HUN</v>
      </c>
      <c r="M724">
        <v>4</v>
      </c>
      <c r="O724" s="83" t="s">
        <v>410</v>
      </c>
      <c r="P724" s="78">
        <v>45395</v>
      </c>
      <c r="Q724" t="str">
        <f t="shared" si="131"/>
        <v>Keszte Julia - Kapuvári SE</v>
      </c>
      <c r="R724" t="s">
        <v>636</v>
      </c>
      <c r="S724" t="s">
        <v>636</v>
      </c>
      <c r="T724" t="s">
        <v>645</v>
      </c>
    </row>
    <row r="725" spans="1:20" s="83" customFormat="1" x14ac:dyDescent="0.3">
      <c r="A725" s="91" t="s">
        <v>409</v>
      </c>
      <c r="B725" s="92" t="s">
        <v>154</v>
      </c>
      <c r="C725" s="83">
        <v>211</v>
      </c>
      <c r="D725" s="83" t="str">
        <f t="shared" ref="D725:D732" si="133">"Kata"</f>
        <v>Kata</v>
      </c>
      <c r="E725" s="83" t="str">
        <f t="shared" ref="E725:E732" si="134">"Kata, -, 0-170 kg, Junior (17-18"</f>
        <v>Kata, -, 0-170 kg, Junior (17-18</v>
      </c>
      <c r="F725" s="83" t="s">
        <v>503</v>
      </c>
      <c r="G725" s="92" t="str">
        <f t="shared" ref="G725:G732" si="135">"14"</f>
        <v>14</v>
      </c>
      <c r="H725" s="83" t="str">
        <f t="shared" ref="H725:H732" si="136">"16 fős egyenes kiesés + 3. hely"</f>
        <v>16 fős egyenes kiesés + 3. hely</v>
      </c>
      <c r="I725" s="92" t="str">
        <f>"1"</f>
        <v>1</v>
      </c>
      <c r="J725" s="83" t="str">
        <f>"Arnódi Gréta Bernadette"</f>
        <v>Arnódi Gréta Bernadette</v>
      </c>
      <c r="K725" s="83" t="str">
        <f>"Kagami"</f>
        <v>Kagami</v>
      </c>
      <c r="L725" s="83" t="str">
        <f t="shared" si="125"/>
        <v>HUN</v>
      </c>
      <c r="M725" s="83">
        <v>8</v>
      </c>
      <c r="N725" s="83" t="s">
        <v>482</v>
      </c>
      <c r="O725" s="83" t="s">
        <v>410</v>
      </c>
      <c r="P725" s="93">
        <v>45395</v>
      </c>
      <c r="Q725" t="str">
        <f t="shared" si="131"/>
        <v>Arnódi Gréta Bernadette - Kagami</v>
      </c>
      <c r="R725" t="s">
        <v>636</v>
      </c>
      <c r="S725" t="s">
        <v>636</v>
      </c>
      <c r="T725" t="s">
        <v>645</v>
      </c>
    </row>
    <row r="726" spans="1:20" s="83" customFormat="1" x14ac:dyDescent="0.3">
      <c r="A726" s="91" t="s">
        <v>409</v>
      </c>
      <c r="B726" s="92" t="s">
        <v>154</v>
      </c>
      <c r="C726" s="83">
        <v>212</v>
      </c>
      <c r="D726" s="83" t="str">
        <f t="shared" si="133"/>
        <v>Kata</v>
      </c>
      <c r="E726" s="83" t="str">
        <f t="shared" si="134"/>
        <v>Kata, -, 0-170 kg, Junior (17-18</v>
      </c>
      <c r="F726" s="83" t="s">
        <v>503</v>
      </c>
      <c r="G726" s="92" t="str">
        <f t="shared" si="135"/>
        <v>14</v>
      </c>
      <c r="H726" s="83" t="str">
        <f t="shared" si="136"/>
        <v>16 fős egyenes kiesés + 3. hely</v>
      </c>
      <c r="I726" s="92" t="str">
        <f>"2"</f>
        <v>2</v>
      </c>
      <c r="J726" s="83" t="str">
        <f>"Berényi Lujza Beatrix"</f>
        <v>Berényi Lujza Beatrix</v>
      </c>
      <c r="K726" s="83" t="str">
        <f>"Kagami"</f>
        <v>Kagami</v>
      </c>
      <c r="L726" s="83" t="str">
        <f t="shared" si="125"/>
        <v>HUN</v>
      </c>
      <c r="M726" s="83">
        <v>6</v>
      </c>
      <c r="N726" s="83" t="s">
        <v>482</v>
      </c>
      <c r="O726" s="83" t="s">
        <v>410</v>
      </c>
      <c r="P726" s="93">
        <v>45395</v>
      </c>
      <c r="Q726" t="str">
        <f t="shared" si="131"/>
        <v>Berényi Lujza Beatrix - Kagami</v>
      </c>
      <c r="R726" t="s">
        <v>636</v>
      </c>
      <c r="S726" t="s">
        <v>636</v>
      </c>
      <c r="T726" t="s">
        <v>645</v>
      </c>
    </row>
    <row r="727" spans="1:20" s="83" customFormat="1" x14ac:dyDescent="0.3">
      <c r="A727" s="91" t="s">
        <v>409</v>
      </c>
      <c r="B727" s="92" t="s">
        <v>154</v>
      </c>
      <c r="C727" s="83">
        <v>213</v>
      </c>
      <c r="D727" s="83" t="str">
        <f t="shared" si="133"/>
        <v>Kata</v>
      </c>
      <c r="E727" s="83" t="str">
        <f t="shared" si="134"/>
        <v>Kata, -, 0-170 kg, Junior (17-18</v>
      </c>
      <c r="F727" s="83" t="s">
        <v>503</v>
      </c>
      <c r="G727" s="92" t="str">
        <f t="shared" si="135"/>
        <v>14</v>
      </c>
      <c r="H727" s="83" t="str">
        <f t="shared" si="136"/>
        <v>16 fős egyenes kiesés + 3. hely</v>
      </c>
      <c r="I727" s="92" t="str">
        <f>"3"</f>
        <v>3</v>
      </c>
      <c r="J727" s="83" t="str">
        <f>"Sólyom Gréta"</f>
        <v>Sólyom Gréta</v>
      </c>
      <c r="K727" s="83" t="str">
        <f>"Shogun"</f>
        <v>Shogun</v>
      </c>
      <c r="L727" s="83" t="str">
        <f t="shared" si="125"/>
        <v>HUN</v>
      </c>
      <c r="M727" s="83">
        <v>4</v>
      </c>
      <c r="N727" s="83" t="s">
        <v>482</v>
      </c>
      <c r="O727" s="83" t="s">
        <v>410</v>
      </c>
      <c r="P727" s="93">
        <v>45395</v>
      </c>
      <c r="Q727" t="str">
        <f t="shared" si="131"/>
        <v>Sólyom Gréta - Shogun</v>
      </c>
      <c r="R727" t="s">
        <v>636</v>
      </c>
      <c r="S727" t="s">
        <v>636</v>
      </c>
      <c r="T727" t="s">
        <v>645</v>
      </c>
    </row>
    <row r="728" spans="1:20" s="83" customFormat="1" x14ac:dyDescent="0.3">
      <c r="A728" s="91" t="s">
        <v>409</v>
      </c>
      <c r="B728" s="92" t="s">
        <v>154</v>
      </c>
      <c r="C728" s="83">
        <v>214</v>
      </c>
      <c r="D728" s="83" t="str">
        <f t="shared" si="133"/>
        <v>Kata</v>
      </c>
      <c r="E728" s="83" t="str">
        <f t="shared" si="134"/>
        <v>Kata, -, 0-170 kg, Junior (17-18</v>
      </c>
      <c r="F728" s="83" t="s">
        <v>503</v>
      </c>
      <c r="G728" s="92" t="str">
        <f t="shared" si="135"/>
        <v>14</v>
      </c>
      <c r="H728" s="83" t="str">
        <f t="shared" si="136"/>
        <v>16 fős egyenes kiesés + 3. hely</v>
      </c>
      <c r="I728" s="92" t="str">
        <f>"4"</f>
        <v>4</v>
      </c>
      <c r="J728" s="83" t="str">
        <f>"Rácz Viktória"</f>
        <v>Rácz Viktória</v>
      </c>
      <c r="K728" s="83" t="str">
        <f>"Shogun"</f>
        <v>Shogun</v>
      </c>
      <c r="L728" s="83" t="str">
        <f t="shared" si="125"/>
        <v>HUN</v>
      </c>
      <c r="M728" s="83">
        <v>3</v>
      </c>
      <c r="N728" s="83" t="s">
        <v>482</v>
      </c>
      <c r="O728" s="83" t="s">
        <v>410</v>
      </c>
      <c r="P728" s="93">
        <v>45395</v>
      </c>
      <c r="Q728" t="str">
        <f t="shared" si="131"/>
        <v>Rácz Viktória - Shogun</v>
      </c>
      <c r="R728" t="s">
        <v>636</v>
      </c>
      <c r="S728" t="s">
        <v>636</v>
      </c>
      <c r="T728" t="s">
        <v>645</v>
      </c>
    </row>
    <row r="729" spans="1:20" s="83" customFormat="1" x14ac:dyDescent="0.3">
      <c r="A729" s="91" t="s">
        <v>409</v>
      </c>
      <c r="B729" s="92" t="s">
        <v>154</v>
      </c>
      <c r="C729" s="83">
        <v>214</v>
      </c>
      <c r="D729" s="83" t="str">
        <f t="shared" si="133"/>
        <v>Kata</v>
      </c>
      <c r="E729" s="83" t="str">
        <f t="shared" si="134"/>
        <v>Kata, -, 0-170 kg, Junior (17-18</v>
      </c>
      <c r="F729" s="83" t="s">
        <v>503</v>
      </c>
      <c r="G729" s="92" t="str">
        <f t="shared" si="135"/>
        <v>14</v>
      </c>
      <c r="H729" s="83" t="str">
        <f t="shared" si="136"/>
        <v>16 fős egyenes kiesés + 3. hely</v>
      </c>
      <c r="I729" s="98" t="s">
        <v>302</v>
      </c>
      <c r="J729" s="83" t="s">
        <v>463</v>
      </c>
      <c r="K729" s="83" t="s">
        <v>14</v>
      </c>
      <c r="L729" s="83" t="str">
        <f t="shared" si="125"/>
        <v>HUN</v>
      </c>
      <c r="M729" s="83">
        <v>2</v>
      </c>
      <c r="N729" s="83" t="s">
        <v>482</v>
      </c>
      <c r="O729" s="83" t="s">
        <v>410</v>
      </c>
      <c r="P729" s="93">
        <v>45395</v>
      </c>
      <c r="Q729" t="str">
        <f t="shared" si="131"/>
        <v>Uszkai Janka - Shogun</v>
      </c>
      <c r="R729" t="s">
        <v>636</v>
      </c>
      <c r="S729" t="s">
        <v>636</v>
      </c>
      <c r="T729" t="s">
        <v>645</v>
      </c>
    </row>
    <row r="730" spans="1:20" s="83" customFormat="1" x14ac:dyDescent="0.3">
      <c r="A730" s="91" t="s">
        <v>409</v>
      </c>
      <c r="B730" s="92" t="s">
        <v>154</v>
      </c>
      <c r="C730" s="83">
        <v>214</v>
      </c>
      <c r="D730" s="83" t="str">
        <f t="shared" si="133"/>
        <v>Kata</v>
      </c>
      <c r="E730" s="83" t="str">
        <f t="shared" si="134"/>
        <v>Kata, -, 0-170 kg, Junior (17-18</v>
      </c>
      <c r="F730" s="83" t="s">
        <v>503</v>
      </c>
      <c r="G730" s="92" t="str">
        <f t="shared" si="135"/>
        <v>14</v>
      </c>
      <c r="H730" s="83" t="str">
        <f t="shared" si="136"/>
        <v>16 fős egyenes kiesés + 3. hely</v>
      </c>
      <c r="I730" s="98" t="s">
        <v>302</v>
      </c>
      <c r="J730" s="83" t="s">
        <v>135</v>
      </c>
      <c r="K730" s="83" t="s">
        <v>39</v>
      </c>
      <c r="L730" s="83" t="str">
        <f t="shared" si="125"/>
        <v>HUN</v>
      </c>
      <c r="M730" s="83">
        <v>2</v>
      </c>
      <c r="N730" s="83" t="s">
        <v>482</v>
      </c>
      <c r="O730" s="83" t="s">
        <v>410</v>
      </c>
      <c r="P730" s="93">
        <v>45395</v>
      </c>
      <c r="Q730" t="str">
        <f t="shared" si="131"/>
        <v>Bendiák Barbara - Bendiák Dojo</v>
      </c>
      <c r="R730" t="s">
        <v>636</v>
      </c>
      <c r="S730" t="s">
        <v>636</v>
      </c>
      <c r="T730" t="s">
        <v>645</v>
      </c>
    </row>
    <row r="731" spans="1:20" s="83" customFormat="1" x14ac:dyDescent="0.3">
      <c r="A731" s="91" t="s">
        <v>409</v>
      </c>
      <c r="B731" s="92" t="s">
        <v>154</v>
      </c>
      <c r="C731" s="83">
        <v>214</v>
      </c>
      <c r="D731" s="83" t="str">
        <f t="shared" si="133"/>
        <v>Kata</v>
      </c>
      <c r="E731" s="83" t="str">
        <f t="shared" si="134"/>
        <v>Kata, -, 0-170 kg, Junior (17-18</v>
      </c>
      <c r="F731" s="83" t="s">
        <v>503</v>
      </c>
      <c r="G731" s="92" t="str">
        <f t="shared" si="135"/>
        <v>14</v>
      </c>
      <c r="H731" s="83" t="str">
        <f t="shared" si="136"/>
        <v>16 fős egyenes kiesés + 3. hely</v>
      </c>
      <c r="I731" s="98" t="s">
        <v>302</v>
      </c>
      <c r="J731" s="83" t="s">
        <v>133</v>
      </c>
      <c r="K731" s="83" t="s">
        <v>35</v>
      </c>
      <c r="L731" s="83" t="str">
        <f t="shared" si="125"/>
        <v>HUN</v>
      </c>
      <c r="M731" s="83">
        <v>2</v>
      </c>
      <c r="N731" s="83" t="s">
        <v>482</v>
      </c>
      <c r="O731" s="83" t="s">
        <v>410</v>
      </c>
      <c r="P731" s="93">
        <v>45395</v>
      </c>
      <c r="Q731" t="str">
        <f t="shared" si="131"/>
        <v>Jernyei Nikolett - KHSE</v>
      </c>
      <c r="R731" t="s">
        <v>636</v>
      </c>
      <c r="S731" t="s">
        <v>636</v>
      </c>
      <c r="T731" t="s">
        <v>645</v>
      </c>
    </row>
    <row r="732" spans="1:20" s="83" customFormat="1" x14ac:dyDescent="0.3">
      <c r="A732" s="91" t="s">
        <v>409</v>
      </c>
      <c r="B732" s="92" t="s">
        <v>154</v>
      </c>
      <c r="C732" s="83">
        <v>214</v>
      </c>
      <c r="D732" s="83" t="str">
        <f t="shared" si="133"/>
        <v>Kata</v>
      </c>
      <c r="E732" s="83" t="str">
        <f t="shared" si="134"/>
        <v>Kata, -, 0-170 kg, Junior (17-18</v>
      </c>
      <c r="F732" s="83" t="s">
        <v>503</v>
      </c>
      <c r="G732" s="92" t="str">
        <f t="shared" si="135"/>
        <v>14</v>
      </c>
      <c r="H732" s="83" t="str">
        <f t="shared" si="136"/>
        <v>16 fős egyenes kiesés + 3. hely</v>
      </c>
      <c r="I732" s="98" t="s">
        <v>302</v>
      </c>
      <c r="J732" s="83" t="s">
        <v>71</v>
      </c>
      <c r="K732" s="83" t="s">
        <v>35</v>
      </c>
      <c r="L732" s="83" t="str">
        <f t="shared" si="125"/>
        <v>HUN</v>
      </c>
      <c r="M732" s="83">
        <v>2</v>
      </c>
      <c r="N732" s="83" t="s">
        <v>482</v>
      </c>
      <c r="O732" s="83" t="s">
        <v>410</v>
      </c>
      <c r="P732" s="93">
        <v>45395</v>
      </c>
      <c r="Q732" t="str">
        <f t="shared" si="131"/>
        <v>Rácz Dorottya - KHSE</v>
      </c>
      <c r="R732" t="s">
        <v>636</v>
      </c>
      <c r="S732" t="s">
        <v>636</v>
      </c>
      <c r="T732" t="s">
        <v>645</v>
      </c>
    </row>
    <row r="733" spans="1:20" x14ac:dyDescent="0.3">
      <c r="A733" s="2" t="s">
        <v>409</v>
      </c>
      <c r="B733" s="50" t="s">
        <v>154</v>
      </c>
      <c r="C733">
        <v>219</v>
      </c>
      <c r="D733" t="str">
        <f>"Kumite"</f>
        <v>Kumite</v>
      </c>
      <c r="E733" t="str">
        <f>"Kumite, -, 80-200 kg, Junior DOL (17-19"</f>
        <v>Kumite, -, 80-200 kg, Junior DOL (17-19</v>
      </c>
      <c r="F733" s="83" t="s">
        <v>501</v>
      </c>
      <c r="G733" s="50" t="str">
        <f>"7"</f>
        <v>7</v>
      </c>
      <c r="H733" t="str">
        <f>"8 fős egyenes kiesés"</f>
        <v>8 fős egyenes kiesés</v>
      </c>
      <c r="I733" s="50" t="str">
        <f>"1"</f>
        <v>1</v>
      </c>
      <c r="J733" t="str">
        <f>"Zsin Zsombor"</f>
        <v>Zsin Zsombor</v>
      </c>
      <c r="K733" t="str">
        <f>"BHMSE"</f>
        <v>BHMSE</v>
      </c>
      <c r="L733" t="str">
        <f t="shared" si="125"/>
        <v>HUN</v>
      </c>
      <c r="M733">
        <v>8</v>
      </c>
      <c r="O733" s="83" t="s">
        <v>410</v>
      </c>
      <c r="P733" s="78">
        <v>45395</v>
      </c>
      <c r="Q733" t="str">
        <f t="shared" si="131"/>
        <v>Zsin Zsombor - BHMSE</v>
      </c>
      <c r="R733" t="s">
        <v>636</v>
      </c>
      <c r="S733" t="s">
        <v>636</v>
      </c>
      <c r="T733" t="s">
        <v>645</v>
      </c>
    </row>
    <row r="734" spans="1:20" x14ac:dyDescent="0.3">
      <c r="A734" s="2" t="s">
        <v>409</v>
      </c>
      <c r="B734" s="50" t="s">
        <v>154</v>
      </c>
      <c r="C734">
        <v>220</v>
      </c>
      <c r="D734" t="str">
        <f>"Kumite"</f>
        <v>Kumite</v>
      </c>
      <c r="E734" t="str">
        <f>"Kumite, -, 80-200 kg, Junior DOL (17-19"</f>
        <v>Kumite, -, 80-200 kg, Junior DOL (17-19</v>
      </c>
      <c r="F734" s="83" t="s">
        <v>501</v>
      </c>
      <c r="G734" s="50" t="str">
        <f>"7"</f>
        <v>7</v>
      </c>
      <c r="H734" t="str">
        <f>"8 fős egyenes kiesés"</f>
        <v>8 fős egyenes kiesés</v>
      </c>
      <c r="I734" s="50" t="str">
        <f>"2"</f>
        <v>2</v>
      </c>
      <c r="J734" t="str">
        <f>"Baranyai Máté"</f>
        <v>Baranyai Máté</v>
      </c>
      <c r="K734" t="str">
        <f>"Shogun"</f>
        <v>Shogun</v>
      </c>
      <c r="L734" t="str">
        <f t="shared" si="125"/>
        <v>HUN</v>
      </c>
      <c r="M734">
        <v>6</v>
      </c>
      <c r="O734" s="83" t="s">
        <v>410</v>
      </c>
      <c r="P734" s="78">
        <v>45395</v>
      </c>
      <c r="Q734" t="str">
        <f t="shared" si="131"/>
        <v>Baranyai Máté - Shogun</v>
      </c>
      <c r="R734" t="s">
        <v>636</v>
      </c>
      <c r="S734" t="s">
        <v>636</v>
      </c>
      <c r="T734" t="s">
        <v>645</v>
      </c>
    </row>
    <row r="735" spans="1:20" x14ac:dyDescent="0.3">
      <c r="A735" s="2" t="s">
        <v>409</v>
      </c>
      <c r="B735" s="50" t="s">
        <v>154</v>
      </c>
      <c r="C735">
        <v>221</v>
      </c>
      <c r="D735" t="str">
        <f>"Kumite"</f>
        <v>Kumite</v>
      </c>
      <c r="E735" t="str">
        <f>"Kumite, -, 80-200 kg, Junior DOL (17-19"</f>
        <v>Kumite, -, 80-200 kg, Junior DOL (17-19</v>
      </c>
      <c r="F735" s="83" t="s">
        <v>501</v>
      </c>
      <c r="G735" s="50" t="str">
        <f>"7"</f>
        <v>7</v>
      </c>
      <c r="H735" t="str">
        <f>"8 fős egyenes kiesés"</f>
        <v>8 fős egyenes kiesés</v>
      </c>
      <c r="I735" s="50" t="str">
        <f>"3"</f>
        <v>3</v>
      </c>
      <c r="J735" t="str">
        <f>"Soltész Ádám"</f>
        <v>Soltész Ádám</v>
      </c>
      <c r="K735" t="str">
        <f>"DTKK SE"</f>
        <v>DTKK SE</v>
      </c>
      <c r="L735" t="str">
        <f t="shared" si="125"/>
        <v>HUN</v>
      </c>
      <c r="M735">
        <v>4</v>
      </c>
      <c r="O735" s="83" t="s">
        <v>410</v>
      </c>
      <c r="P735" s="78">
        <v>45395</v>
      </c>
      <c r="Q735" t="str">
        <f t="shared" si="131"/>
        <v>Soltész Ádám - DTKK SE</v>
      </c>
      <c r="R735" t="s">
        <v>637</v>
      </c>
      <c r="S735" t="s">
        <v>170</v>
      </c>
      <c r="T735" t="s">
        <v>645</v>
      </c>
    </row>
    <row r="736" spans="1:20" x14ac:dyDescent="0.3">
      <c r="A736" s="2" t="s">
        <v>409</v>
      </c>
      <c r="B736" s="50" t="s">
        <v>154</v>
      </c>
      <c r="C736">
        <v>193</v>
      </c>
      <c r="D736" t="str">
        <f>"Kumite"</f>
        <v>Kumite</v>
      </c>
      <c r="E736" t="str">
        <f>"Kumite, -, 80-200 kg, Junior DOL (17-19"</f>
        <v>Kumite, -, 80-200 kg, Junior DOL (17-19</v>
      </c>
      <c r="F736" s="83" t="s">
        <v>501</v>
      </c>
      <c r="G736" s="50" t="str">
        <f>"7"</f>
        <v>7</v>
      </c>
      <c r="H736" t="str">
        <f>"8 fős egyenes kiesés"</f>
        <v>8 fős egyenes kiesés</v>
      </c>
      <c r="I736" s="50" t="str">
        <f>"3"</f>
        <v>3</v>
      </c>
      <c r="J736" t="str">
        <f>"Esvég Dominik"</f>
        <v>Esvég Dominik</v>
      </c>
      <c r="K736" t="str">
        <f>"Kisvárda KKDOSC"</f>
        <v>Kisvárda KKDOSC</v>
      </c>
      <c r="L736" t="str">
        <f t="shared" si="125"/>
        <v>HUN</v>
      </c>
      <c r="M736">
        <v>0</v>
      </c>
      <c r="N736" t="s">
        <v>444</v>
      </c>
      <c r="O736" s="83" t="s">
        <v>410</v>
      </c>
      <c r="P736" s="78">
        <v>45395</v>
      </c>
      <c r="Q736" t="str">
        <f t="shared" si="131"/>
        <v>Esvég Dominik - Kisvárda KKDOSC</v>
      </c>
      <c r="R736" t="s">
        <v>636</v>
      </c>
      <c r="S736" t="s">
        <v>636</v>
      </c>
      <c r="T736" t="s">
        <v>645</v>
      </c>
    </row>
    <row r="737" spans="1:20" x14ac:dyDescent="0.3">
      <c r="A737" s="2" t="s">
        <v>582</v>
      </c>
      <c r="B737" s="50">
        <v>2</v>
      </c>
      <c r="C737">
        <v>1</v>
      </c>
      <c r="D737" t="str">
        <f>"Kata"</f>
        <v>Kata</v>
      </c>
      <c r="E737" t="str">
        <f>"Kata, -, 0-100 kg, Gyerek 1. (9-10"</f>
        <v>Kata, -, 0-100 kg, Gyerek 1. (9-10</v>
      </c>
      <c r="F737" t="s">
        <v>514</v>
      </c>
      <c r="G737" s="50" t="str">
        <f>"9"</f>
        <v>9</v>
      </c>
      <c r="H737" t="str">
        <f>"16 fős egyenes kiesés"</f>
        <v>16 fős egyenes kiesés</v>
      </c>
      <c r="I737" s="50" t="str">
        <f>"1"</f>
        <v>1</v>
      </c>
      <c r="J737" t="str">
        <f>"Tarr Bence"</f>
        <v>Tarr Bence</v>
      </c>
      <c r="K737" t="str">
        <f t="shared" ref="K737:K743" si="137">"Shogun"</f>
        <v>Shogun</v>
      </c>
      <c r="L737" t="str">
        <f t="shared" ref="L737:L821" si="138">"HUN"</f>
        <v>HUN</v>
      </c>
      <c r="M737">
        <v>6</v>
      </c>
      <c r="O737" s="83" t="s">
        <v>583</v>
      </c>
      <c r="P737" s="78">
        <v>45416</v>
      </c>
      <c r="Q737" t="str">
        <f t="shared" si="131"/>
        <v>Tarr Bence - Shogun</v>
      </c>
      <c r="R737" t="s">
        <v>636</v>
      </c>
      <c r="S737" t="s">
        <v>636</v>
      </c>
      <c r="T737" t="s">
        <v>645</v>
      </c>
    </row>
    <row r="738" spans="1:20" x14ac:dyDescent="0.3">
      <c r="A738" s="2" t="s">
        <v>582</v>
      </c>
      <c r="B738" s="50">
        <v>2</v>
      </c>
      <c r="C738">
        <v>2</v>
      </c>
      <c r="D738" t="str">
        <f>"Kata"</f>
        <v>Kata</v>
      </c>
      <c r="E738" t="str">
        <f>"Kata, -, 0-100 kg, Gyerek 1. (9-10"</f>
        <v>Kata, -, 0-100 kg, Gyerek 1. (9-10</v>
      </c>
      <c r="F738" t="s">
        <v>514</v>
      </c>
      <c r="G738" s="50" t="str">
        <f>"9"</f>
        <v>9</v>
      </c>
      <c r="H738" t="str">
        <f>"16 fős egyenes kiesés"</f>
        <v>16 fős egyenes kiesés</v>
      </c>
      <c r="I738" s="50" t="str">
        <f>"2"</f>
        <v>2</v>
      </c>
      <c r="J738" t="str">
        <f>"Pajkos Dominik"</f>
        <v>Pajkos Dominik</v>
      </c>
      <c r="K738" t="str">
        <f t="shared" si="137"/>
        <v>Shogun</v>
      </c>
      <c r="L738" t="str">
        <f t="shared" si="138"/>
        <v>HUN</v>
      </c>
      <c r="M738">
        <v>5</v>
      </c>
      <c r="O738" s="83" t="s">
        <v>583</v>
      </c>
      <c r="P738" s="78">
        <v>45416</v>
      </c>
      <c r="Q738" t="str">
        <f t="shared" si="131"/>
        <v>Pajkos Dominik - Shogun</v>
      </c>
      <c r="R738" t="s">
        <v>636</v>
      </c>
      <c r="S738" t="s">
        <v>636</v>
      </c>
      <c r="T738" t="s">
        <v>645</v>
      </c>
    </row>
    <row r="739" spans="1:20" x14ac:dyDescent="0.3">
      <c r="A739" s="2" t="s">
        <v>582</v>
      </c>
      <c r="B739" s="50">
        <v>2</v>
      </c>
      <c r="C739">
        <v>3</v>
      </c>
      <c r="D739" t="str">
        <f>"Kata"</f>
        <v>Kata</v>
      </c>
      <c r="E739" t="str">
        <f>"Kata, -, 0-100 kg, Gyerek 1. (9-10"</f>
        <v>Kata, -, 0-100 kg, Gyerek 1. (9-10</v>
      </c>
      <c r="F739" t="s">
        <v>514</v>
      </c>
      <c r="G739" s="50" t="str">
        <f>"9"</f>
        <v>9</v>
      </c>
      <c r="H739" t="str">
        <f>"16 fős egyenes kiesés"</f>
        <v>16 fős egyenes kiesés</v>
      </c>
      <c r="I739" s="50" t="str">
        <f>"3"</f>
        <v>3</v>
      </c>
      <c r="J739" t="str">
        <f>"Hegedűs Bence"</f>
        <v>Hegedűs Bence</v>
      </c>
      <c r="K739" t="str">
        <f t="shared" si="137"/>
        <v>Shogun</v>
      </c>
      <c r="L739" t="str">
        <f t="shared" si="138"/>
        <v>HUN</v>
      </c>
      <c r="M739">
        <v>3</v>
      </c>
      <c r="O739" s="83" t="s">
        <v>583</v>
      </c>
      <c r="P739" s="78">
        <v>45416</v>
      </c>
      <c r="Q739" t="str">
        <f t="shared" si="131"/>
        <v>Hegedűs Bence - Shogun</v>
      </c>
      <c r="R739" t="s">
        <v>636</v>
      </c>
      <c r="S739" t="s">
        <v>636</v>
      </c>
      <c r="T739" t="s">
        <v>645</v>
      </c>
    </row>
    <row r="740" spans="1:20" x14ac:dyDescent="0.3">
      <c r="A740" s="2" t="s">
        <v>582</v>
      </c>
      <c r="B740" s="50">
        <v>2</v>
      </c>
      <c r="C740">
        <v>4</v>
      </c>
      <c r="D740" t="str">
        <f>"Kata"</f>
        <v>Kata</v>
      </c>
      <c r="E740" t="str">
        <f>"Kata, -, 0-100 kg, Gyerek 1. (9-10"</f>
        <v>Kata, -, 0-100 kg, Gyerek 1. (9-10</v>
      </c>
      <c r="F740" t="s">
        <v>514</v>
      </c>
      <c r="G740" s="50" t="str">
        <f>"9"</f>
        <v>9</v>
      </c>
      <c r="H740" t="str">
        <f>"16 fős egyenes kiesés"</f>
        <v>16 fős egyenes kiesés</v>
      </c>
      <c r="I740" s="50" t="str">
        <f>"3"</f>
        <v>3</v>
      </c>
      <c r="J740" t="str">
        <f>"Eszenyi Barnabás"</f>
        <v>Eszenyi Barnabás</v>
      </c>
      <c r="K740" t="str">
        <f t="shared" si="137"/>
        <v>Shogun</v>
      </c>
      <c r="L740" t="str">
        <f t="shared" si="138"/>
        <v>HUN</v>
      </c>
      <c r="M740">
        <v>3</v>
      </c>
      <c r="O740" s="83" t="s">
        <v>583</v>
      </c>
      <c r="P740" s="78">
        <v>45416</v>
      </c>
      <c r="Q740" t="str">
        <f t="shared" si="131"/>
        <v>Eszenyi Barnabás - Shogun</v>
      </c>
      <c r="R740" t="s">
        <v>636</v>
      </c>
      <c r="S740" t="s">
        <v>636</v>
      </c>
      <c r="T740" t="s">
        <v>645</v>
      </c>
    </row>
    <row r="741" spans="1:20" x14ac:dyDescent="0.3">
      <c r="A741" s="2" t="s">
        <v>582</v>
      </c>
      <c r="B741" s="50">
        <v>2</v>
      </c>
      <c r="C741">
        <v>5</v>
      </c>
      <c r="D741" t="str">
        <f t="shared" ref="D741:D751" si="139">"Kumite"</f>
        <v>Kumite</v>
      </c>
      <c r="E741" t="str">
        <f>"Kumite, -, 0-30 kg, Gyerek 1. (9-10"</f>
        <v>Kumite, -, 0-30 kg, Gyerek 1. (9-10</v>
      </c>
      <c r="F741" t="s">
        <v>509</v>
      </c>
      <c r="G741" s="50" t="str">
        <f>"8"</f>
        <v>8</v>
      </c>
      <c r="H741" t="str">
        <f>"8 fős egyenes kiesés"</f>
        <v>8 fős egyenes kiesés</v>
      </c>
      <c r="I741" s="50" t="str">
        <f>"1"</f>
        <v>1</v>
      </c>
      <c r="J741" t="str">
        <f>"Tarr Bence"</f>
        <v>Tarr Bence</v>
      </c>
      <c r="K741" t="str">
        <f t="shared" si="137"/>
        <v>Shogun</v>
      </c>
      <c r="L741" t="str">
        <f t="shared" si="138"/>
        <v>HUN</v>
      </c>
      <c r="M741">
        <v>6</v>
      </c>
      <c r="O741" s="83" t="s">
        <v>583</v>
      </c>
      <c r="P741" s="78">
        <v>45416</v>
      </c>
      <c r="Q741" t="str">
        <f t="shared" si="131"/>
        <v>Tarr Bence - Shogun</v>
      </c>
      <c r="R741" t="s">
        <v>636</v>
      </c>
      <c r="S741" t="s">
        <v>636</v>
      </c>
      <c r="T741" t="s">
        <v>645</v>
      </c>
    </row>
    <row r="742" spans="1:20" x14ac:dyDescent="0.3">
      <c r="A742" s="2" t="s">
        <v>582</v>
      </c>
      <c r="B742" s="50">
        <v>2</v>
      </c>
      <c r="C742">
        <v>6</v>
      </c>
      <c r="D742" t="str">
        <f t="shared" si="139"/>
        <v>Kumite</v>
      </c>
      <c r="E742" t="str">
        <f>"Kumite, -, 0-30 kg, Gyerek 1. (9-10"</f>
        <v>Kumite, -, 0-30 kg, Gyerek 1. (9-10</v>
      </c>
      <c r="F742" t="s">
        <v>509</v>
      </c>
      <c r="G742" s="50" t="str">
        <f>"8"</f>
        <v>8</v>
      </c>
      <c r="H742" t="str">
        <f>"8 fős egyenes kiesés"</f>
        <v>8 fős egyenes kiesés</v>
      </c>
      <c r="I742" s="50" t="str">
        <f>"2"</f>
        <v>2</v>
      </c>
      <c r="J742" t="str">
        <f>"Hegedűs Bence"</f>
        <v>Hegedűs Bence</v>
      </c>
      <c r="K742" t="str">
        <f t="shared" si="137"/>
        <v>Shogun</v>
      </c>
      <c r="L742" t="str">
        <f t="shared" si="138"/>
        <v>HUN</v>
      </c>
      <c r="M742">
        <v>5</v>
      </c>
      <c r="O742" s="83" t="s">
        <v>583</v>
      </c>
      <c r="P742" s="78">
        <v>45416</v>
      </c>
      <c r="Q742" t="str">
        <f t="shared" si="131"/>
        <v>Hegedűs Bence - Shogun</v>
      </c>
      <c r="R742" t="s">
        <v>636</v>
      </c>
      <c r="S742" t="s">
        <v>636</v>
      </c>
      <c r="T742" t="s">
        <v>645</v>
      </c>
    </row>
    <row r="743" spans="1:20" x14ac:dyDescent="0.3">
      <c r="A743" s="2" t="s">
        <v>582</v>
      </c>
      <c r="B743" s="50">
        <v>2</v>
      </c>
      <c r="C743">
        <v>7</v>
      </c>
      <c r="D743" t="str">
        <f t="shared" si="139"/>
        <v>Kumite</v>
      </c>
      <c r="E743" t="str">
        <f>"Kumite, -, 0-30 kg, Gyerek 1. (9-10"</f>
        <v>Kumite, -, 0-30 kg, Gyerek 1. (9-10</v>
      </c>
      <c r="F743" t="s">
        <v>509</v>
      </c>
      <c r="G743" s="50" t="str">
        <f>"8"</f>
        <v>8</v>
      </c>
      <c r="H743" t="str">
        <f>"8 fős egyenes kiesés"</f>
        <v>8 fős egyenes kiesés</v>
      </c>
      <c r="I743" s="50" t="str">
        <f>"3"</f>
        <v>3</v>
      </c>
      <c r="J743" t="str">
        <f>"Szabó Alex Dominik"</f>
        <v>Szabó Alex Dominik</v>
      </c>
      <c r="K743" t="str">
        <f t="shared" si="137"/>
        <v>Shogun</v>
      </c>
      <c r="L743" t="str">
        <f t="shared" si="138"/>
        <v>HUN</v>
      </c>
      <c r="M743">
        <v>3</v>
      </c>
      <c r="O743" s="83" t="s">
        <v>583</v>
      </c>
      <c r="P743" s="78">
        <v>45416</v>
      </c>
      <c r="Q743" t="str">
        <f t="shared" si="131"/>
        <v>Szabó Alex Dominik - Shogun</v>
      </c>
      <c r="R743" t="s">
        <v>636</v>
      </c>
      <c r="S743" t="s">
        <v>636</v>
      </c>
      <c r="T743" t="s">
        <v>645</v>
      </c>
    </row>
    <row r="744" spans="1:20" x14ac:dyDescent="0.3">
      <c r="A744" s="2" t="s">
        <v>582</v>
      </c>
      <c r="B744" s="50">
        <v>2</v>
      </c>
      <c r="C744">
        <v>8</v>
      </c>
      <c r="D744" t="str">
        <f t="shared" si="139"/>
        <v>Kumite</v>
      </c>
      <c r="E744" t="str">
        <f>"Kumite, -, 0-30 kg, Gyerek 1. (9-10"</f>
        <v>Kumite, -, 0-30 kg, Gyerek 1. (9-10</v>
      </c>
      <c r="F744" t="s">
        <v>509</v>
      </c>
      <c r="G744" s="50" t="str">
        <f>"8"</f>
        <v>8</v>
      </c>
      <c r="H744" t="str">
        <f>"8 fős egyenes kiesés"</f>
        <v>8 fős egyenes kiesés</v>
      </c>
      <c r="I744" s="50" t="str">
        <f>"3"</f>
        <v>3</v>
      </c>
      <c r="J744" t="str">
        <f>"Boka Norman Eliot"</f>
        <v>Boka Norman Eliot</v>
      </c>
      <c r="K744" t="str">
        <f>"Katana SE"</f>
        <v>Katana SE</v>
      </c>
      <c r="L744" t="str">
        <f t="shared" si="138"/>
        <v>HUN</v>
      </c>
      <c r="M744">
        <v>3</v>
      </c>
      <c r="O744" s="83" t="s">
        <v>583</v>
      </c>
      <c r="P744" s="78">
        <v>45416</v>
      </c>
      <c r="Q744" t="str">
        <f t="shared" si="131"/>
        <v>Boka Norman Eliot - Katana SE</v>
      </c>
      <c r="R744" t="s">
        <v>636</v>
      </c>
      <c r="S744" t="s">
        <v>636</v>
      </c>
      <c r="T744" t="s">
        <v>645</v>
      </c>
    </row>
    <row r="745" spans="1:20" x14ac:dyDescent="0.3">
      <c r="A745" s="2" t="s">
        <v>582</v>
      </c>
      <c r="B745" s="50">
        <v>2</v>
      </c>
      <c r="C745">
        <v>9</v>
      </c>
      <c r="D745" t="str">
        <f t="shared" si="139"/>
        <v>Kumite</v>
      </c>
      <c r="E745" t="str">
        <f>"Kumite, -, 30-35 kg, Gyerek 1. (9-10"</f>
        <v>Kumite, -, 30-35 kg, Gyerek 1. (9-10</v>
      </c>
      <c r="F745" t="s">
        <v>511</v>
      </c>
      <c r="G745" s="50" t="str">
        <f>"3"</f>
        <v>3</v>
      </c>
      <c r="H745" t="str">
        <f>"3 fős körmérkőzés"</f>
        <v>3 fős körmérkőzés</v>
      </c>
      <c r="I745" s="50" t="str">
        <f>"1"</f>
        <v>1</v>
      </c>
      <c r="J745" t="str">
        <f>"Gombos-Weidinger Zsombor"</f>
        <v>Gombos-Weidinger Zsombor</v>
      </c>
      <c r="K745" t="str">
        <f>"BHMSE"</f>
        <v>BHMSE</v>
      </c>
      <c r="L745" t="str">
        <f t="shared" si="138"/>
        <v>HUN</v>
      </c>
      <c r="M745">
        <v>4</v>
      </c>
      <c r="O745" s="83" t="s">
        <v>583</v>
      </c>
      <c r="P745" s="78">
        <v>45416</v>
      </c>
      <c r="Q745" t="str">
        <f t="shared" si="131"/>
        <v>Gombos-Weidinger Zsombor - BHMSE</v>
      </c>
      <c r="R745" t="s">
        <v>636</v>
      </c>
      <c r="S745" t="s">
        <v>636</v>
      </c>
      <c r="T745" t="s">
        <v>645</v>
      </c>
    </row>
    <row r="746" spans="1:20" x14ac:dyDescent="0.3">
      <c r="A746" s="2" t="s">
        <v>582</v>
      </c>
      <c r="B746" s="50">
        <v>2</v>
      </c>
      <c r="C746">
        <v>10</v>
      </c>
      <c r="D746" t="str">
        <f t="shared" si="139"/>
        <v>Kumite</v>
      </c>
      <c r="E746" t="str">
        <f>"Kumite, -, 30-35 kg, Gyerek 1. (9-10"</f>
        <v>Kumite, -, 30-35 kg, Gyerek 1. (9-10</v>
      </c>
      <c r="F746" t="s">
        <v>511</v>
      </c>
      <c r="G746" s="50" t="str">
        <f>"3"</f>
        <v>3</v>
      </c>
      <c r="H746" t="str">
        <f>"3 fős körmérkőzés"</f>
        <v>3 fős körmérkőzés</v>
      </c>
      <c r="I746" s="50" t="str">
        <f>"2"</f>
        <v>2</v>
      </c>
      <c r="J746" t="str">
        <f>"Eszenyi Barnabás"</f>
        <v>Eszenyi Barnabás</v>
      </c>
      <c r="K746" t="str">
        <f>"Shogun"</f>
        <v>Shogun</v>
      </c>
      <c r="L746" t="str">
        <f t="shared" si="138"/>
        <v>HUN</v>
      </c>
      <c r="M746">
        <v>3</v>
      </c>
      <c r="O746" s="83" t="s">
        <v>583</v>
      </c>
      <c r="P746" s="78">
        <v>45416</v>
      </c>
      <c r="Q746" t="str">
        <f t="shared" si="131"/>
        <v>Eszenyi Barnabás - Shogun</v>
      </c>
      <c r="R746" t="s">
        <v>636</v>
      </c>
      <c r="S746" t="s">
        <v>636</v>
      </c>
      <c r="T746" t="s">
        <v>645</v>
      </c>
    </row>
    <row r="747" spans="1:20" x14ac:dyDescent="0.3">
      <c r="A747" s="2" t="s">
        <v>582</v>
      </c>
      <c r="B747" s="50">
        <v>2</v>
      </c>
      <c r="C747">
        <v>11</v>
      </c>
      <c r="D747" t="str">
        <f t="shared" si="139"/>
        <v>Kumite</v>
      </c>
      <c r="E747" t="str">
        <f>"Kumite, -, 30-35 kg, Gyerek 1. (9-10"</f>
        <v>Kumite, -, 30-35 kg, Gyerek 1. (9-10</v>
      </c>
      <c r="F747" t="s">
        <v>511</v>
      </c>
      <c r="G747" s="50" t="str">
        <f>"3"</f>
        <v>3</v>
      </c>
      <c r="H747" t="str">
        <f>"3 fős körmérkőzés"</f>
        <v>3 fős körmérkőzés</v>
      </c>
      <c r="I747" s="50" t="str">
        <f>"3"</f>
        <v>3</v>
      </c>
      <c r="J747" t="str">
        <f>"Mohai Szilárd"</f>
        <v>Mohai Szilárd</v>
      </c>
      <c r="K747" t="str">
        <f>"Katana SE"</f>
        <v>Katana SE</v>
      </c>
      <c r="L747" t="str">
        <f t="shared" si="138"/>
        <v>HUN</v>
      </c>
      <c r="M747">
        <v>0</v>
      </c>
      <c r="N747" t="s">
        <v>584</v>
      </c>
      <c r="O747" s="83" t="s">
        <v>583</v>
      </c>
      <c r="P747" s="78">
        <v>45416</v>
      </c>
      <c r="Q747" t="str">
        <f t="shared" si="131"/>
        <v>Mohai Szilárd - Katana SE</v>
      </c>
      <c r="R747" t="s">
        <v>636</v>
      </c>
      <c r="S747" t="s">
        <v>636</v>
      </c>
      <c r="T747" t="s">
        <v>645</v>
      </c>
    </row>
    <row r="748" spans="1:20" x14ac:dyDescent="0.3">
      <c r="A748" s="2" t="s">
        <v>582</v>
      </c>
      <c r="B748" s="50">
        <v>2</v>
      </c>
      <c r="C748">
        <v>12</v>
      </c>
      <c r="D748" t="str">
        <f t="shared" si="139"/>
        <v>Kumite</v>
      </c>
      <c r="E748" t="str">
        <f>"Kumite, -, 35-150 kg, Gyerek 1. (9-10"</f>
        <v>Kumite, -, 35-150 kg, Gyerek 1. (9-10</v>
      </c>
      <c r="F748" t="s">
        <v>513</v>
      </c>
      <c r="G748" s="50" t="str">
        <f>"9"</f>
        <v>9</v>
      </c>
      <c r="H748" t="str">
        <f>"16 fős egyenes kiesés"</f>
        <v>16 fős egyenes kiesés</v>
      </c>
      <c r="I748" s="50" t="str">
        <f>"1"</f>
        <v>1</v>
      </c>
      <c r="J748" t="str">
        <f>"Némethy Balázs"</f>
        <v>Némethy Balázs</v>
      </c>
      <c r="K748" t="str">
        <f>"Shogun"</f>
        <v>Shogun</v>
      </c>
      <c r="L748" t="str">
        <f t="shared" si="138"/>
        <v>HUN</v>
      </c>
      <c r="M748">
        <v>8</v>
      </c>
      <c r="O748" s="83" t="s">
        <v>583</v>
      </c>
      <c r="P748" s="78">
        <v>45416</v>
      </c>
      <c r="Q748" t="str">
        <f t="shared" si="131"/>
        <v>Némethy Balázs - Shogun</v>
      </c>
      <c r="R748" t="s">
        <v>636</v>
      </c>
      <c r="S748" t="s">
        <v>636</v>
      </c>
      <c r="T748" t="s">
        <v>645</v>
      </c>
    </row>
    <row r="749" spans="1:20" x14ac:dyDescent="0.3">
      <c r="A749" s="2" t="s">
        <v>582</v>
      </c>
      <c r="B749" s="50">
        <v>2</v>
      </c>
      <c r="C749">
        <v>13</v>
      </c>
      <c r="D749" t="str">
        <f t="shared" si="139"/>
        <v>Kumite</v>
      </c>
      <c r="E749" t="str">
        <f>"Kumite, -, 35-150 kg, Gyerek 1. (9-10"</f>
        <v>Kumite, -, 35-150 kg, Gyerek 1. (9-10</v>
      </c>
      <c r="F749" t="s">
        <v>513</v>
      </c>
      <c r="G749" s="50" t="str">
        <f>"9"</f>
        <v>9</v>
      </c>
      <c r="H749" t="str">
        <f>"16 fős egyenes kiesés"</f>
        <v>16 fős egyenes kiesés</v>
      </c>
      <c r="I749" s="50" t="str">
        <f>"2"</f>
        <v>2</v>
      </c>
      <c r="J749" t="str">
        <f>"Jónás Alex"</f>
        <v>Jónás Alex</v>
      </c>
      <c r="K749" t="str">
        <f>"Rakurai"</f>
        <v>Rakurai</v>
      </c>
      <c r="L749" t="str">
        <f t="shared" si="138"/>
        <v>HUN</v>
      </c>
      <c r="M749">
        <v>6</v>
      </c>
      <c r="O749" s="83" t="s">
        <v>583</v>
      </c>
      <c r="P749" s="78">
        <v>45416</v>
      </c>
      <c r="Q749" t="str">
        <f t="shared" si="131"/>
        <v>Jónás Alex - Rakurai</v>
      </c>
      <c r="R749" t="s">
        <v>636</v>
      </c>
      <c r="S749" t="s">
        <v>636</v>
      </c>
      <c r="T749" t="s">
        <v>645</v>
      </c>
    </row>
    <row r="750" spans="1:20" x14ac:dyDescent="0.3">
      <c r="A750" s="2" t="s">
        <v>582</v>
      </c>
      <c r="B750" s="50">
        <v>2</v>
      </c>
      <c r="C750">
        <v>14</v>
      </c>
      <c r="D750" t="str">
        <f t="shared" si="139"/>
        <v>Kumite</v>
      </c>
      <c r="E750" t="str">
        <f>"Kumite, -, 35-150 kg, Gyerek 1. (9-10"</f>
        <v>Kumite, -, 35-150 kg, Gyerek 1. (9-10</v>
      </c>
      <c r="F750" t="s">
        <v>513</v>
      </c>
      <c r="G750" s="50" t="str">
        <f>"9"</f>
        <v>9</v>
      </c>
      <c r="H750" t="str">
        <f>"16 fős egyenes kiesés"</f>
        <v>16 fős egyenes kiesés</v>
      </c>
      <c r="I750" s="50" t="str">
        <f>"3"</f>
        <v>3</v>
      </c>
      <c r="J750" t="str">
        <f>"Gyuricska Benedek"</f>
        <v>Gyuricska Benedek</v>
      </c>
      <c r="K750" t="str">
        <f>"Shogun"</f>
        <v>Shogun</v>
      </c>
      <c r="L750" t="str">
        <f t="shared" si="138"/>
        <v>HUN</v>
      </c>
      <c r="M750">
        <v>4</v>
      </c>
      <c r="O750" s="83" t="s">
        <v>583</v>
      </c>
      <c r="P750" s="78">
        <v>45416</v>
      </c>
      <c r="Q750" t="str">
        <f t="shared" si="131"/>
        <v>Gyuricska Benedek - Shogun</v>
      </c>
      <c r="R750" t="s">
        <v>636</v>
      </c>
      <c r="S750" t="s">
        <v>636</v>
      </c>
      <c r="T750" t="s">
        <v>645</v>
      </c>
    </row>
    <row r="751" spans="1:20" x14ac:dyDescent="0.3">
      <c r="A751" s="2" t="s">
        <v>582</v>
      </c>
      <c r="B751" s="50">
        <v>2</v>
      </c>
      <c r="C751">
        <v>15</v>
      </c>
      <c r="D751" t="str">
        <f t="shared" si="139"/>
        <v>Kumite</v>
      </c>
      <c r="E751" t="str">
        <f>"Kumite, -, 35-150 kg, Gyerek 1. (9-10"</f>
        <v>Kumite, -, 35-150 kg, Gyerek 1. (9-10</v>
      </c>
      <c r="F751" t="s">
        <v>513</v>
      </c>
      <c r="G751" s="50" t="str">
        <f>"9"</f>
        <v>9</v>
      </c>
      <c r="H751" t="str">
        <f>"16 fős egyenes kiesés"</f>
        <v>16 fős egyenes kiesés</v>
      </c>
      <c r="I751" s="50" t="str">
        <f>"3"</f>
        <v>3</v>
      </c>
      <c r="J751" t="str">
        <f>"Adamecz Milán"</f>
        <v>Adamecz Milán</v>
      </c>
      <c r="K751" t="str">
        <f>"Nagykátai Bushido SE"</f>
        <v>Nagykátai Bushido SE</v>
      </c>
      <c r="L751" t="str">
        <f t="shared" si="138"/>
        <v>HUN</v>
      </c>
      <c r="M751">
        <v>4</v>
      </c>
      <c r="O751" s="83" t="s">
        <v>583</v>
      </c>
      <c r="P751" s="78">
        <v>45416</v>
      </c>
      <c r="Q751" t="str">
        <f t="shared" si="131"/>
        <v>Adamecz Milán - Nagykátai Bushido SE</v>
      </c>
      <c r="R751" t="s">
        <v>636</v>
      </c>
      <c r="S751" t="s">
        <v>636</v>
      </c>
      <c r="T751" t="s">
        <v>645</v>
      </c>
    </row>
    <row r="752" spans="1:20" x14ac:dyDescent="0.3">
      <c r="A752" s="2" t="s">
        <v>582</v>
      </c>
      <c r="B752" s="50">
        <v>2</v>
      </c>
      <c r="C752">
        <v>16</v>
      </c>
      <c r="D752" t="str">
        <f>"Kata"</f>
        <v>Kata</v>
      </c>
      <c r="E752" t="str">
        <f>"Kata, -, 0-100 kg, Gyerek 1. (9-10"</f>
        <v>Kata, -, 0-100 kg, Gyerek 1. (9-10</v>
      </c>
      <c r="F752" t="s">
        <v>520</v>
      </c>
      <c r="G752" s="50" t="str">
        <f t="shared" ref="G752:G758" si="140">"6"</f>
        <v>6</v>
      </c>
      <c r="H752" t="str">
        <f>"8 fős egyenes kiesés"</f>
        <v>8 fős egyenes kiesés</v>
      </c>
      <c r="I752" s="50" t="str">
        <f>"1"</f>
        <v>1</v>
      </c>
      <c r="J752" t="str">
        <f>"Domján-Herbat Réka"</f>
        <v>Domján-Herbat Réka</v>
      </c>
      <c r="K752" t="str">
        <f>"BHMSE"</f>
        <v>BHMSE</v>
      </c>
      <c r="L752" t="str">
        <f t="shared" si="138"/>
        <v>HUN</v>
      </c>
      <c r="M752">
        <v>5</v>
      </c>
      <c r="O752" s="83" t="s">
        <v>583</v>
      </c>
      <c r="P752" s="78">
        <v>45416</v>
      </c>
      <c r="Q752" t="str">
        <f t="shared" si="131"/>
        <v>Domján-Herbat Réka - BHMSE</v>
      </c>
      <c r="R752" t="s">
        <v>636</v>
      </c>
      <c r="S752" t="s">
        <v>636</v>
      </c>
      <c r="T752" t="s">
        <v>645</v>
      </c>
    </row>
    <row r="753" spans="1:20" x14ac:dyDescent="0.3">
      <c r="A753" s="2" t="s">
        <v>582</v>
      </c>
      <c r="B753" s="50">
        <v>2</v>
      </c>
      <c r="C753">
        <v>17</v>
      </c>
      <c r="D753" t="str">
        <f>"Kata"</f>
        <v>Kata</v>
      </c>
      <c r="E753" t="str">
        <f>"Kata, -, 0-100 kg, Gyerek 1. (9-10"</f>
        <v>Kata, -, 0-100 kg, Gyerek 1. (9-10</v>
      </c>
      <c r="F753" t="s">
        <v>520</v>
      </c>
      <c r="G753" s="50" t="str">
        <f t="shared" si="140"/>
        <v>6</v>
      </c>
      <c r="H753" t="str">
        <f>"8 fős egyenes kiesés"</f>
        <v>8 fős egyenes kiesés</v>
      </c>
      <c r="I753" s="50" t="str">
        <f>"2"</f>
        <v>2</v>
      </c>
      <c r="J753" t="str">
        <f>"Jakubovics Nikolett"</f>
        <v>Jakubovics Nikolett</v>
      </c>
      <c r="K753" t="str">
        <f>"BHMSE"</f>
        <v>BHMSE</v>
      </c>
      <c r="L753" t="str">
        <f t="shared" si="138"/>
        <v>HUN</v>
      </c>
      <c r="M753">
        <v>4</v>
      </c>
      <c r="O753" s="83" t="s">
        <v>583</v>
      </c>
      <c r="P753" s="78">
        <v>45416</v>
      </c>
      <c r="Q753" t="str">
        <f t="shared" si="131"/>
        <v>Jakubovics Nikolett - BHMSE</v>
      </c>
      <c r="R753" t="s">
        <v>636</v>
      </c>
      <c r="S753" t="s">
        <v>636</v>
      </c>
      <c r="T753" t="s">
        <v>645</v>
      </c>
    </row>
    <row r="754" spans="1:20" x14ac:dyDescent="0.3">
      <c r="A754" s="2" t="s">
        <v>582</v>
      </c>
      <c r="B754" s="50">
        <v>2</v>
      </c>
      <c r="C754">
        <v>18</v>
      </c>
      <c r="D754" t="str">
        <f>"Kata"</f>
        <v>Kata</v>
      </c>
      <c r="E754" t="str">
        <f>"Kata, -, 0-100 kg, Gyerek 1. (9-10"</f>
        <v>Kata, -, 0-100 kg, Gyerek 1. (9-10</v>
      </c>
      <c r="F754" t="s">
        <v>520</v>
      </c>
      <c r="G754" s="50" t="str">
        <f t="shared" si="140"/>
        <v>6</v>
      </c>
      <c r="H754" t="str">
        <f>"8 fős egyenes kiesés"</f>
        <v>8 fős egyenes kiesés</v>
      </c>
      <c r="I754" s="50" t="str">
        <f>"3"</f>
        <v>3</v>
      </c>
      <c r="J754" t="str">
        <f>"Rudi Noémi"</f>
        <v>Rudi Noémi</v>
      </c>
      <c r="K754" t="str">
        <f>"Rakurai"</f>
        <v>Rakurai</v>
      </c>
      <c r="L754" t="str">
        <f t="shared" si="138"/>
        <v>HUN</v>
      </c>
      <c r="M754">
        <v>0</v>
      </c>
      <c r="N754" t="s">
        <v>584</v>
      </c>
      <c r="O754" s="83" t="s">
        <v>583</v>
      </c>
      <c r="P754" s="78">
        <v>45416</v>
      </c>
      <c r="Q754" t="str">
        <f t="shared" si="131"/>
        <v>Rudi Noémi - Rakurai</v>
      </c>
      <c r="R754" t="s">
        <v>636</v>
      </c>
      <c r="S754" t="s">
        <v>636</v>
      </c>
      <c r="T754" t="s">
        <v>645</v>
      </c>
    </row>
    <row r="755" spans="1:20" x14ac:dyDescent="0.3">
      <c r="A755" s="2" t="s">
        <v>582</v>
      </c>
      <c r="B755" s="50">
        <v>2</v>
      </c>
      <c r="C755">
        <v>19</v>
      </c>
      <c r="D755" t="str">
        <f>"Kata"</f>
        <v>Kata</v>
      </c>
      <c r="E755" t="str">
        <f>"Kata, -, 0-100 kg, Gyerek 1. (9-10"</f>
        <v>Kata, -, 0-100 kg, Gyerek 1. (9-10</v>
      </c>
      <c r="F755" t="s">
        <v>520</v>
      </c>
      <c r="G755" s="50" t="str">
        <f t="shared" si="140"/>
        <v>6</v>
      </c>
      <c r="H755" t="str">
        <f>"8 fős egyenes kiesés"</f>
        <v>8 fős egyenes kiesés</v>
      </c>
      <c r="I755" s="50" t="str">
        <f>"3"</f>
        <v>3</v>
      </c>
      <c r="J755" t="str">
        <f>"Horváth Boróka"</f>
        <v>Horváth Boróka</v>
      </c>
      <c r="K755" t="str">
        <f>"Rakurai"</f>
        <v>Rakurai</v>
      </c>
      <c r="L755" t="str">
        <f t="shared" si="138"/>
        <v>HUN</v>
      </c>
      <c r="M755">
        <v>2</v>
      </c>
      <c r="O755" s="83" t="s">
        <v>583</v>
      </c>
      <c r="P755" s="78">
        <v>45416</v>
      </c>
      <c r="Q755" t="str">
        <f t="shared" si="131"/>
        <v>Horváth Boróka - Rakurai</v>
      </c>
      <c r="R755" t="s">
        <v>636</v>
      </c>
      <c r="S755" t="s">
        <v>636</v>
      </c>
      <c r="T755" t="s">
        <v>645</v>
      </c>
    </row>
    <row r="756" spans="1:20" x14ac:dyDescent="0.3">
      <c r="A756" s="2" t="s">
        <v>582</v>
      </c>
      <c r="B756" s="50">
        <v>2</v>
      </c>
      <c r="C756">
        <v>20</v>
      </c>
      <c r="D756" t="str">
        <f t="shared" ref="D756:D761" si="141">"Kumite"</f>
        <v>Kumite</v>
      </c>
      <c r="E756" t="str">
        <f>"Kumite, -, 0-30 kg, Gyerek 1. (9-10"</f>
        <v>Kumite, -, 0-30 kg, Gyerek 1. (9-10</v>
      </c>
      <c r="F756" t="s">
        <v>515</v>
      </c>
      <c r="G756" s="50" t="str">
        <f t="shared" si="140"/>
        <v>6</v>
      </c>
      <c r="H756" t="str">
        <f>"6 fős vegyes"</f>
        <v>6 fős vegyes</v>
      </c>
      <c r="I756" s="50" t="str">
        <f>"1"</f>
        <v>1</v>
      </c>
      <c r="J756" t="str">
        <f>"Jakubovics Nikolett"</f>
        <v>Jakubovics Nikolett</v>
      </c>
      <c r="K756" t="str">
        <f>"BHMSE"</f>
        <v>BHMSE</v>
      </c>
      <c r="L756" t="str">
        <f t="shared" si="138"/>
        <v>HUN</v>
      </c>
      <c r="M756">
        <v>6</v>
      </c>
      <c r="O756" s="83" t="s">
        <v>583</v>
      </c>
      <c r="P756" s="78">
        <v>45416</v>
      </c>
      <c r="Q756" t="str">
        <f t="shared" si="131"/>
        <v>Jakubovics Nikolett - BHMSE</v>
      </c>
      <c r="R756" t="s">
        <v>636</v>
      </c>
      <c r="S756" t="s">
        <v>636</v>
      </c>
      <c r="T756" t="s">
        <v>645</v>
      </c>
    </row>
    <row r="757" spans="1:20" x14ac:dyDescent="0.3">
      <c r="A757" s="2" t="s">
        <v>582</v>
      </c>
      <c r="B757" s="50">
        <v>2</v>
      </c>
      <c r="C757">
        <v>21</v>
      </c>
      <c r="D757" t="str">
        <f t="shared" si="141"/>
        <v>Kumite</v>
      </c>
      <c r="E757" t="str">
        <f>"Kumite, -, 0-30 kg, Gyerek 1. (9-10"</f>
        <v>Kumite, -, 0-30 kg, Gyerek 1. (9-10</v>
      </c>
      <c r="F757" t="s">
        <v>515</v>
      </c>
      <c r="G757" s="50" t="str">
        <f t="shared" si="140"/>
        <v>6</v>
      </c>
      <c r="H757" t="str">
        <f>"6 fős vegyes"</f>
        <v>6 fős vegyes</v>
      </c>
      <c r="I757" s="50" t="str">
        <f>"2"</f>
        <v>2</v>
      </c>
      <c r="J757" t="str">
        <f>"Falus Zsuzsanna"</f>
        <v>Falus Zsuzsanna</v>
      </c>
      <c r="K757" t="str">
        <f>"Rokku KKSE"</f>
        <v>Rokku KKSE</v>
      </c>
      <c r="L757" t="str">
        <f t="shared" si="138"/>
        <v>HUN</v>
      </c>
      <c r="M757">
        <v>5</v>
      </c>
      <c r="O757" s="83" t="s">
        <v>583</v>
      </c>
      <c r="P757" s="78">
        <v>45416</v>
      </c>
      <c r="Q757" t="str">
        <f t="shared" si="131"/>
        <v>Falus Zsuzsanna - Rokku KKSE</v>
      </c>
      <c r="R757" t="s">
        <v>636</v>
      </c>
      <c r="S757" t="s">
        <v>636</v>
      </c>
      <c r="T757" t="s">
        <v>645</v>
      </c>
    </row>
    <row r="758" spans="1:20" x14ac:dyDescent="0.3">
      <c r="A758" s="2" t="s">
        <v>582</v>
      </c>
      <c r="B758" s="50">
        <v>2</v>
      </c>
      <c r="C758">
        <v>22</v>
      </c>
      <c r="D758" t="str">
        <f t="shared" si="141"/>
        <v>Kumite</v>
      </c>
      <c r="E758" t="str">
        <f>"Kumite, -, 0-30 kg, Gyerek 1. (9-10"</f>
        <v>Kumite, -, 0-30 kg, Gyerek 1. (9-10</v>
      </c>
      <c r="F758" t="s">
        <v>515</v>
      </c>
      <c r="G758" s="50" t="str">
        <f t="shared" si="140"/>
        <v>6</v>
      </c>
      <c r="H758" t="str">
        <f>"6 fős vegyes"</f>
        <v>6 fős vegyes</v>
      </c>
      <c r="I758" s="50" t="str">
        <f>"3"</f>
        <v>3</v>
      </c>
      <c r="J758" t="str">
        <f>"Domján-Herbat Réka"</f>
        <v>Domján-Herbat Réka</v>
      </c>
      <c r="K758" t="str">
        <f>"BHMSE"</f>
        <v>BHMSE</v>
      </c>
      <c r="L758" t="str">
        <f t="shared" si="138"/>
        <v>HUN</v>
      </c>
      <c r="M758">
        <v>3</v>
      </c>
      <c r="O758" s="83" t="s">
        <v>583</v>
      </c>
      <c r="P758" s="78">
        <v>45416</v>
      </c>
      <c r="Q758" t="str">
        <f t="shared" si="131"/>
        <v>Domján-Herbat Réka - BHMSE</v>
      </c>
      <c r="R758" t="s">
        <v>636</v>
      </c>
      <c r="S758" t="s">
        <v>636</v>
      </c>
      <c r="T758" t="s">
        <v>645</v>
      </c>
    </row>
    <row r="759" spans="1:20" x14ac:dyDescent="0.3">
      <c r="A759" s="2" t="s">
        <v>582</v>
      </c>
      <c r="B759" s="50">
        <v>2</v>
      </c>
      <c r="C759">
        <v>23</v>
      </c>
      <c r="D759" t="str">
        <f t="shared" si="141"/>
        <v>Kumite</v>
      </c>
      <c r="E759" t="str">
        <f>"Kumite, -, 30-35 kg, Gyerek 1. (9-10"</f>
        <v>Kumite, -, 30-35 kg, Gyerek 1. (9-10</v>
      </c>
      <c r="F759" t="s">
        <v>516</v>
      </c>
      <c r="G759" s="50" t="str">
        <f>"3"</f>
        <v>3</v>
      </c>
      <c r="H759" t="str">
        <f>"3 fős körmérkőzés"</f>
        <v>3 fős körmérkőzés</v>
      </c>
      <c r="I759" s="50" t="str">
        <f>"1"</f>
        <v>1</v>
      </c>
      <c r="J759" t="str">
        <f>"Spanjevic Frida"</f>
        <v>Spanjevic Frida</v>
      </c>
      <c r="K759" t="str">
        <f>"BHMSE"</f>
        <v>BHMSE</v>
      </c>
      <c r="L759" t="str">
        <f t="shared" si="138"/>
        <v>HUN</v>
      </c>
      <c r="M759">
        <v>4</v>
      </c>
      <c r="O759" s="83" t="s">
        <v>583</v>
      </c>
      <c r="P759" s="78">
        <v>45416</v>
      </c>
      <c r="Q759" t="str">
        <f t="shared" si="131"/>
        <v>Spanjevic Frida - BHMSE</v>
      </c>
      <c r="R759" t="s">
        <v>636</v>
      </c>
      <c r="S759" t="s">
        <v>636</v>
      </c>
      <c r="T759" t="s">
        <v>645</v>
      </c>
    </row>
    <row r="760" spans="1:20" x14ac:dyDescent="0.3">
      <c r="A760" s="2" t="s">
        <v>582</v>
      </c>
      <c r="B760" s="50">
        <v>2</v>
      </c>
      <c r="C760">
        <v>24</v>
      </c>
      <c r="D760" t="str">
        <f t="shared" si="141"/>
        <v>Kumite</v>
      </c>
      <c r="E760" t="str">
        <f>"Kumite, -, 30-35 kg, Gyerek 1. (9-10"</f>
        <v>Kumite, -, 30-35 kg, Gyerek 1. (9-10</v>
      </c>
      <c r="F760" t="s">
        <v>516</v>
      </c>
      <c r="G760" s="50" t="str">
        <f>"3"</f>
        <v>3</v>
      </c>
      <c r="H760" t="str">
        <f>"3 fős körmérkőzés"</f>
        <v>3 fős körmérkőzés</v>
      </c>
      <c r="I760" s="50" t="str">
        <f>"2"</f>
        <v>2</v>
      </c>
      <c r="J760" t="str">
        <f>"Horváth Boróka"</f>
        <v>Horváth Boróka</v>
      </c>
      <c r="K760" t="str">
        <f>"Rakurai"</f>
        <v>Rakurai</v>
      </c>
      <c r="L760" t="str">
        <f t="shared" si="138"/>
        <v>HUN</v>
      </c>
      <c r="M760">
        <v>3</v>
      </c>
      <c r="O760" s="83" t="s">
        <v>583</v>
      </c>
      <c r="P760" s="78">
        <v>45416</v>
      </c>
      <c r="Q760" t="str">
        <f t="shared" si="131"/>
        <v>Horváth Boróka - Rakurai</v>
      </c>
      <c r="R760" t="s">
        <v>636</v>
      </c>
      <c r="S760" t="s">
        <v>636</v>
      </c>
      <c r="T760" t="s">
        <v>645</v>
      </c>
    </row>
    <row r="761" spans="1:20" x14ac:dyDescent="0.3">
      <c r="A761" s="2" t="s">
        <v>582</v>
      </c>
      <c r="B761" s="50">
        <v>2</v>
      </c>
      <c r="C761">
        <v>25</v>
      </c>
      <c r="D761" t="str">
        <f t="shared" si="141"/>
        <v>Kumite</v>
      </c>
      <c r="E761" t="str">
        <f>"Kumite, -, 30-35 kg, Gyerek 1. (9-10"</f>
        <v>Kumite, -, 30-35 kg, Gyerek 1. (9-10</v>
      </c>
      <c r="F761" t="s">
        <v>516</v>
      </c>
      <c r="G761" s="50" t="str">
        <f>"3"</f>
        <v>3</v>
      </c>
      <c r="H761" t="str">
        <f>"3 fős körmérkőzés"</f>
        <v>3 fős körmérkőzés</v>
      </c>
      <c r="I761" s="50" t="str">
        <f>"3"</f>
        <v>3</v>
      </c>
      <c r="J761" t="str">
        <f>"Menyhárt Csenge"</f>
        <v>Menyhárt Csenge</v>
      </c>
      <c r="K761" t="str">
        <f>"Rakurai"</f>
        <v>Rakurai</v>
      </c>
      <c r="L761" t="str">
        <f t="shared" si="138"/>
        <v>HUN</v>
      </c>
      <c r="M761">
        <v>0</v>
      </c>
      <c r="N761" t="s">
        <v>584</v>
      </c>
      <c r="O761" s="83" t="s">
        <v>583</v>
      </c>
      <c r="P761" s="78">
        <v>45416</v>
      </c>
      <c r="Q761" t="str">
        <f t="shared" si="131"/>
        <v>Menyhárt Csenge - Rakurai</v>
      </c>
      <c r="R761" t="s">
        <v>636</v>
      </c>
      <c r="S761" t="s">
        <v>636</v>
      </c>
      <c r="T761" t="s">
        <v>645</v>
      </c>
    </row>
    <row r="762" spans="1:20" x14ac:dyDescent="0.3">
      <c r="A762" s="2" t="s">
        <v>582</v>
      </c>
      <c r="B762" s="50">
        <v>2</v>
      </c>
      <c r="C762">
        <v>26</v>
      </c>
      <c r="D762" t="str">
        <f>"Kata"</f>
        <v>Kata</v>
      </c>
      <c r="E762" t="str">
        <f>"Kata, -, 0-100 kg, Gyerek 2. (11-12"</f>
        <v>Kata, -, 0-100 kg, Gyerek 2. (11-12</v>
      </c>
      <c r="F762" t="s">
        <v>525</v>
      </c>
      <c r="G762" s="50" t="str">
        <f>"8"</f>
        <v>8</v>
      </c>
      <c r="H762" t="str">
        <f>"8 fős egyenes kiesés"</f>
        <v>8 fős egyenes kiesés</v>
      </c>
      <c r="I762" s="50" t="str">
        <f>"1"</f>
        <v>1</v>
      </c>
      <c r="J762" t="str">
        <f>"Tóth Attila"</f>
        <v>Tóth Attila</v>
      </c>
      <c r="K762" t="str">
        <f>"Renmei se "</f>
        <v xml:space="preserve">Renmei se </v>
      </c>
      <c r="L762" t="str">
        <f t="shared" si="138"/>
        <v>HUN</v>
      </c>
      <c r="M762">
        <v>5</v>
      </c>
      <c r="O762" s="83" t="s">
        <v>583</v>
      </c>
      <c r="P762" s="78">
        <v>45416</v>
      </c>
      <c r="Q762" t="str">
        <f t="shared" si="131"/>
        <v xml:space="preserve">Tóth Attila - Renmei se </v>
      </c>
      <c r="R762" t="s">
        <v>636</v>
      </c>
      <c r="S762" t="s">
        <v>636</v>
      </c>
      <c r="T762" t="s">
        <v>645</v>
      </c>
    </row>
    <row r="763" spans="1:20" x14ac:dyDescent="0.3">
      <c r="A763" s="2" t="s">
        <v>582</v>
      </c>
      <c r="B763" s="50">
        <v>2</v>
      </c>
      <c r="C763">
        <v>27</v>
      </c>
      <c r="D763" t="str">
        <f>"Kata"</f>
        <v>Kata</v>
      </c>
      <c r="E763" t="str">
        <f>"Kata, -, 0-100 kg, Gyerek 2. (11-12"</f>
        <v>Kata, -, 0-100 kg, Gyerek 2. (11-12</v>
      </c>
      <c r="F763" t="s">
        <v>525</v>
      </c>
      <c r="G763" s="50" t="str">
        <f>"8"</f>
        <v>8</v>
      </c>
      <c r="H763" t="str">
        <f>"8 fős egyenes kiesés"</f>
        <v>8 fős egyenes kiesés</v>
      </c>
      <c r="I763" s="50" t="str">
        <f>"2"</f>
        <v>2</v>
      </c>
      <c r="J763" t="str">
        <f>"Moosbauer Kevin"</f>
        <v>Moosbauer Kevin</v>
      </c>
      <c r="K763" t="str">
        <f>"KSE Tarján"</f>
        <v>KSE Tarján</v>
      </c>
      <c r="L763" t="str">
        <f t="shared" si="138"/>
        <v>HUN</v>
      </c>
      <c r="M763">
        <v>4</v>
      </c>
      <c r="O763" s="83" t="s">
        <v>583</v>
      </c>
      <c r="P763" s="78">
        <v>45416</v>
      </c>
      <c r="Q763" t="str">
        <f t="shared" si="131"/>
        <v>Moosbauer Kevin - KSE Tarján</v>
      </c>
      <c r="R763" t="s">
        <v>636</v>
      </c>
      <c r="S763" t="s">
        <v>636</v>
      </c>
      <c r="T763" t="s">
        <v>645</v>
      </c>
    </row>
    <row r="764" spans="1:20" x14ac:dyDescent="0.3">
      <c r="A764" s="2" t="s">
        <v>582</v>
      </c>
      <c r="B764" s="50">
        <v>2</v>
      </c>
      <c r="C764">
        <v>28</v>
      </c>
      <c r="D764" t="str">
        <f>"Kata"</f>
        <v>Kata</v>
      </c>
      <c r="E764" t="str">
        <f>"Kata, -, 0-100 kg, Gyerek 2. (11-12"</f>
        <v>Kata, -, 0-100 kg, Gyerek 2. (11-12</v>
      </c>
      <c r="F764" t="s">
        <v>525</v>
      </c>
      <c r="G764" s="50" t="str">
        <f>"8"</f>
        <v>8</v>
      </c>
      <c r="H764" t="str">
        <f>"8 fős egyenes kiesés"</f>
        <v>8 fős egyenes kiesés</v>
      </c>
      <c r="I764" s="50" t="str">
        <f>"3"</f>
        <v>3</v>
      </c>
      <c r="J764" t="str">
        <f>"Sövér Levente"</f>
        <v>Sövér Levente</v>
      </c>
      <c r="K764" t="str">
        <f>"BHMSE"</f>
        <v>BHMSE</v>
      </c>
      <c r="L764" t="str">
        <f t="shared" si="138"/>
        <v>HUN</v>
      </c>
      <c r="M764">
        <v>2</v>
      </c>
      <c r="O764" s="83" t="s">
        <v>583</v>
      </c>
      <c r="P764" s="78">
        <v>45416</v>
      </c>
      <c r="Q764" t="str">
        <f t="shared" si="131"/>
        <v>Sövér Levente - BHMSE</v>
      </c>
      <c r="R764" t="s">
        <v>636</v>
      </c>
      <c r="S764" t="s">
        <v>636</v>
      </c>
      <c r="T764" t="s">
        <v>645</v>
      </c>
    </row>
    <row r="765" spans="1:20" x14ac:dyDescent="0.3">
      <c r="A765" s="2" t="s">
        <v>582</v>
      </c>
      <c r="B765" s="50">
        <v>2</v>
      </c>
      <c r="C765">
        <v>29</v>
      </c>
      <c r="D765" t="str">
        <f>"Kata"</f>
        <v>Kata</v>
      </c>
      <c r="E765" t="str">
        <f>"Kata, -, 0-100 kg, Gyerek 2. (11-12"</f>
        <v>Kata, -, 0-100 kg, Gyerek 2. (11-12</v>
      </c>
      <c r="F765" t="s">
        <v>525</v>
      </c>
      <c r="G765" s="50" t="str">
        <f>"8"</f>
        <v>8</v>
      </c>
      <c r="H765" t="str">
        <f>"8 fős egyenes kiesés"</f>
        <v>8 fős egyenes kiesés</v>
      </c>
      <c r="I765" s="50" t="str">
        <f>"3"</f>
        <v>3</v>
      </c>
      <c r="J765" t="str">
        <f>"Domján-Herbat Levente"</f>
        <v>Domján-Herbat Levente</v>
      </c>
      <c r="K765" t="str">
        <f>"BHMSE"</f>
        <v>BHMSE</v>
      </c>
      <c r="L765" t="str">
        <f t="shared" si="138"/>
        <v>HUN</v>
      </c>
      <c r="M765">
        <v>2</v>
      </c>
      <c r="O765" s="83" t="s">
        <v>583</v>
      </c>
      <c r="P765" s="78">
        <v>45416</v>
      </c>
      <c r="Q765" t="str">
        <f t="shared" si="131"/>
        <v>Domján-Herbat Levente - BHMSE</v>
      </c>
      <c r="R765" t="s">
        <v>636</v>
      </c>
      <c r="S765" t="s">
        <v>636</v>
      </c>
      <c r="T765" t="s">
        <v>645</v>
      </c>
    </row>
    <row r="766" spans="1:20" x14ac:dyDescent="0.3">
      <c r="A766" s="2" t="s">
        <v>582</v>
      </c>
      <c r="B766" s="50">
        <v>2</v>
      </c>
      <c r="C766">
        <v>30</v>
      </c>
      <c r="D766" t="str">
        <f t="shared" ref="D766:D780" si="142">"Kumite"</f>
        <v>Kumite</v>
      </c>
      <c r="E766" t="str">
        <f>"Kumite, -, 0-35 kg, Gyerek 2. (11-12"</f>
        <v>Kumite, -, 0-35 kg, Gyerek 2. (11-12</v>
      </c>
      <c r="F766" t="s">
        <v>512</v>
      </c>
      <c r="G766" s="50" t="str">
        <f>"5"</f>
        <v>5</v>
      </c>
      <c r="H766" t="str">
        <f>"5 fős körmérkőzés"</f>
        <v>5 fős körmérkőzés</v>
      </c>
      <c r="I766" s="50" t="str">
        <f>"1"</f>
        <v>1</v>
      </c>
      <c r="J766" t="str">
        <f>"Sövér Levente"</f>
        <v>Sövér Levente</v>
      </c>
      <c r="K766" t="str">
        <f>"BHMSE"</f>
        <v>BHMSE</v>
      </c>
      <c r="L766" t="str">
        <f t="shared" si="138"/>
        <v>HUN</v>
      </c>
      <c r="M766">
        <v>8</v>
      </c>
      <c r="O766" s="83" t="s">
        <v>583</v>
      </c>
      <c r="P766" s="78">
        <v>45416</v>
      </c>
      <c r="Q766" t="str">
        <f t="shared" si="131"/>
        <v>Sövér Levente - BHMSE</v>
      </c>
      <c r="R766" t="s">
        <v>636</v>
      </c>
      <c r="S766" t="s">
        <v>636</v>
      </c>
      <c r="T766" t="s">
        <v>645</v>
      </c>
    </row>
    <row r="767" spans="1:20" x14ac:dyDescent="0.3">
      <c r="A767" s="2" t="s">
        <v>582</v>
      </c>
      <c r="B767" s="50">
        <v>2</v>
      </c>
      <c r="C767">
        <v>31</v>
      </c>
      <c r="D767" t="str">
        <f t="shared" si="142"/>
        <v>Kumite</v>
      </c>
      <c r="E767" t="str">
        <f>"Kumite, -, 0-35 kg, Gyerek 2. (11-12"</f>
        <v>Kumite, -, 0-35 kg, Gyerek 2. (11-12</v>
      </c>
      <c r="F767" t="s">
        <v>512</v>
      </c>
      <c r="G767" s="50" t="str">
        <f>"5"</f>
        <v>5</v>
      </c>
      <c r="H767" t="str">
        <f>"5 fős körmérkőzés"</f>
        <v>5 fős körmérkőzés</v>
      </c>
      <c r="I767" s="50" t="str">
        <f>"2"</f>
        <v>2</v>
      </c>
      <c r="J767" t="str">
        <f>"Székely Lázár"</f>
        <v>Székely Lázár</v>
      </c>
      <c r="K767" t="str">
        <f>"KYO Fighter SE"</f>
        <v>KYO Fighter SE</v>
      </c>
      <c r="L767" t="str">
        <f t="shared" si="138"/>
        <v>HUN</v>
      </c>
      <c r="M767">
        <v>6</v>
      </c>
      <c r="O767" s="83" t="s">
        <v>583</v>
      </c>
      <c r="P767" s="78">
        <v>45416</v>
      </c>
      <c r="Q767" t="str">
        <f t="shared" si="131"/>
        <v>Székely Lázár - KYO Fighter SE</v>
      </c>
      <c r="R767" t="s">
        <v>636</v>
      </c>
      <c r="S767" t="s">
        <v>636</v>
      </c>
      <c r="T767" t="s">
        <v>645</v>
      </c>
    </row>
    <row r="768" spans="1:20" x14ac:dyDescent="0.3">
      <c r="A768" s="2" t="s">
        <v>582</v>
      </c>
      <c r="B768" s="50">
        <v>2</v>
      </c>
      <c r="C768">
        <v>32</v>
      </c>
      <c r="D768" t="str">
        <f t="shared" si="142"/>
        <v>Kumite</v>
      </c>
      <c r="E768" t="str">
        <f>"Kumite, -, 0-35 kg, Gyerek 2. (11-12"</f>
        <v>Kumite, -, 0-35 kg, Gyerek 2. (11-12</v>
      </c>
      <c r="F768" t="s">
        <v>512</v>
      </c>
      <c r="G768" s="50" t="str">
        <f>"5"</f>
        <v>5</v>
      </c>
      <c r="H768" t="str">
        <f>"5 fős körmérkőzés"</f>
        <v>5 fős körmérkőzés</v>
      </c>
      <c r="I768" s="50" t="str">
        <f>"3"</f>
        <v>3</v>
      </c>
      <c r="J768" t="str">
        <f>"Kis Ádám Zsolt"</f>
        <v>Kis Ádám Zsolt</v>
      </c>
      <c r="K768" t="str">
        <f>"KYO Fighter SE"</f>
        <v>KYO Fighter SE</v>
      </c>
      <c r="L768" t="str">
        <f t="shared" si="138"/>
        <v>HUN</v>
      </c>
      <c r="M768">
        <v>4</v>
      </c>
      <c r="O768" s="83" t="s">
        <v>583</v>
      </c>
      <c r="P768" s="78">
        <v>45416</v>
      </c>
      <c r="Q768" t="str">
        <f t="shared" si="131"/>
        <v>Kis Ádám Zsolt - KYO Fighter SE</v>
      </c>
      <c r="R768" t="s">
        <v>636</v>
      </c>
      <c r="S768" t="s">
        <v>636</v>
      </c>
      <c r="T768" t="s">
        <v>645</v>
      </c>
    </row>
    <row r="769" spans="1:20" x14ac:dyDescent="0.3">
      <c r="A769" s="2" t="s">
        <v>582</v>
      </c>
      <c r="B769" s="50">
        <v>2</v>
      </c>
      <c r="C769">
        <v>33</v>
      </c>
      <c r="D769" t="str">
        <f t="shared" si="142"/>
        <v>Kumite</v>
      </c>
      <c r="E769" t="str">
        <f>"Kumite, -, 0-35 kg, Gyerek 2. (11-12"</f>
        <v>Kumite, -, 0-35 kg, Gyerek 2. (11-12</v>
      </c>
      <c r="F769" t="s">
        <v>512</v>
      </c>
      <c r="G769" s="50" t="str">
        <f>"5"</f>
        <v>5</v>
      </c>
      <c r="H769" t="str">
        <f>"5 fős körmérkőzés"</f>
        <v>5 fős körmérkőzés</v>
      </c>
      <c r="I769" s="50">
        <v>4</v>
      </c>
      <c r="J769" t="s">
        <v>588</v>
      </c>
      <c r="K769" t="s">
        <v>67</v>
      </c>
      <c r="L769" t="str">
        <f t="shared" si="138"/>
        <v>HUN</v>
      </c>
      <c r="M769">
        <v>3</v>
      </c>
      <c r="N769" t="s">
        <v>589</v>
      </c>
      <c r="O769" s="83" t="s">
        <v>583</v>
      </c>
      <c r="P769" s="78">
        <v>45416</v>
      </c>
      <c r="Q769" t="str">
        <f t="shared" si="131"/>
        <v>Rudi Gergő - Rakurai</v>
      </c>
      <c r="R769" t="s">
        <v>636</v>
      </c>
      <c r="S769" t="s">
        <v>636</v>
      </c>
      <c r="T769" t="s">
        <v>645</v>
      </c>
    </row>
    <row r="770" spans="1:20" x14ac:dyDescent="0.3">
      <c r="A770" s="2" t="s">
        <v>582</v>
      </c>
      <c r="B770" s="50">
        <v>2</v>
      </c>
      <c r="C770">
        <v>34</v>
      </c>
      <c r="D770" t="str">
        <f t="shared" si="142"/>
        <v>Kumite</v>
      </c>
      <c r="E770" t="str">
        <f>"Kumite, -, 35-40 kg, Gyerek 2. (11-12"</f>
        <v>Kumite, -, 35-40 kg, Gyerek 2. (11-12</v>
      </c>
      <c r="F770" t="s">
        <v>518</v>
      </c>
      <c r="G770" s="50" t="str">
        <f>"2"</f>
        <v>2</v>
      </c>
      <c r="H770" t="str">
        <f>"2 fős egyenes kiesés"</f>
        <v>2 fős egyenes kiesés</v>
      </c>
      <c r="I770" s="50" t="str">
        <f>"1"</f>
        <v>1</v>
      </c>
      <c r="J770" t="str">
        <f>"Kámán Márton"</f>
        <v>Kámán Márton</v>
      </c>
      <c r="K770" t="str">
        <f>"Rakurai"</f>
        <v>Rakurai</v>
      </c>
      <c r="L770" t="str">
        <f t="shared" si="138"/>
        <v>HUN</v>
      </c>
      <c r="M770">
        <v>3</v>
      </c>
      <c r="O770" s="83" t="s">
        <v>583</v>
      </c>
      <c r="P770" s="78">
        <v>45416</v>
      </c>
      <c r="Q770" t="str">
        <f t="shared" si="131"/>
        <v>Kámán Márton - Rakurai</v>
      </c>
      <c r="R770" t="s">
        <v>636</v>
      </c>
      <c r="S770" t="s">
        <v>636</v>
      </c>
      <c r="T770" t="s">
        <v>645</v>
      </c>
    </row>
    <row r="771" spans="1:20" x14ac:dyDescent="0.3">
      <c r="A771" s="2" t="s">
        <v>582</v>
      </c>
      <c r="B771" s="50">
        <v>2</v>
      </c>
      <c r="C771">
        <v>35</v>
      </c>
      <c r="D771" t="str">
        <f t="shared" si="142"/>
        <v>Kumite</v>
      </c>
      <c r="E771" t="str">
        <f>"Kumite, -, 35-40 kg, Gyerek 2. (11-12"</f>
        <v>Kumite, -, 35-40 kg, Gyerek 2. (11-12</v>
      </c>
      <c r="F771" t="s">
        <v>518</v>
      </c>
      <c r="G771" s="50" t="str">
        <f>"2"</f>
        <v>2</v>
      </c>
      <c r="H771" t="str">
        <f>"2 fős egyenes kiesés"</f>
        <v>2 fős egyenes kiesés</v>
      </c>
      <c r="I771" s="50" t="str">
        <f>"2"</f>
        <v>2</v>
      </c>
      <c r="J771" t="str">
        <f>"Nagy Olivér"</f>
        <v>Nagy Olivér</v>
      </c>
      <c r="K771" t="str">
        <f>"KYO Fighter SE"</f>
        <v>KYO Fighter SE</v>
      </c>
      <c r="L771" t="str">
        <f t="shared" si="138"/>
        <v>HUN</v>
      </c>
      <c r="M771">
        <v>0</v>
      </c>
      <c r="O771" s="83" t="s">
        <v>583</v>
      </c>
      <c r="P771" s="78">
        <v>45416</v>
      </c>
      <c r="Q771" t="str">
        <f t="shared" ref="Q771:Q834" si="143">J771&amp;" - "&amp;K771</f>
        <v>Nagy Olivér - KYO Fighter SE</v>
      </c>
      <c r="R771" t="s">
        <v>636</v>
      </c>
      <c r="S771" t="s">
        <v>636</v>
      </c>
      <c r="T771" t="s">
        <v>645</v>
      </c>
    </row>
    <row r="772" spans="1:20" x14ac:dyDescent="0.3">
      <c r="A772" s="2" t="s">
        <v>582</v>
      </c>
      <c r="B772" s="50">
        <v>2</v>
      </c>
      <c r="C772">
        <v>36</v>
      </c>
      <c r="D772" t="str">
        <f t="shared" si="142"/>
        <v>Kumite</v>
      </c>
      <c r="E772" t="str">
        <f>"Kumite, -, 40-45 kg, Gyerek 2. (11-12"</f>
        <v>Kumite, -, 40-45 kg, Gyerek 2. (11-12</v>
      </c>
      <c r="F772" t="s">
        <v>521</v>
      </c>
      <c r="G772" s="50" t="str">
        <f>"2"</f>
        <v>2</v>
      </c>
      <c r="H772" t="str">
        <f>"2 fős egyenes kiesés"</f>
        <v>2 fős egyenes kiesés</v>
      </c>
      <c r="I772" s="50" t="str">
        <f>"1"</f>
        <v>1</v>
      </c>
      <c r="J772" t="str">
        <f>"Izsák-Rudolf Csanád"</f>
        <v>Izsák-Rudolf Csanád</v>
      </c>
      <c r="K772" t="str">
        <f>"Kamikaze S"</f>
        <v>Kamikaze S</v>
      </c>
      <c r="L772" t="str">
        <f t="shared" si="138"/>
        <v>HUN</v>
      </c>
      <c r="M772">
        <v>3</v>
      </c>
      <c r="O772" s="83" t="s">
        <v>583</v>
      </c>
      <c r="P772" s="78">
        <v>45416</v>
      </c>
      <c r="Q772" t="str">
        <f t="shared" si="143"/>
        <v>Izsák-Rudolf Csanád - Kamikaze S</v>
      </c>
      <c r="R772" t="s">
        <v>636</v>
      </c>
      <c r="S772" t="s">
        <v>636</v>
      </c>
      <c r="T772" t="s">
        <v>645</v>
      </c>
    </row>
    <row r="773" spans="1:20" x14ac:dyDescent="0.3">
      <c r="A773" s="2" t="s">
        <v>582</v>
      </c>
      <c r="B773" s="50">
        <v>2</v>
      </c>
      <c r="C773">
        <v>37</v>
      </c>
      <c r="D773" t="str">
        <f t="shared" si="142"/>
        <v>Kumite</v>
      </c>
      <c r="E773" t="str">
        <f>"Kumite, -, 40-45 kg, Gyerek 2. (11-12"</f>
        <v>Kumite, -, 40-45 kg, Gyerek 2. (11-12</v>
      </c>
      <c r="F773" t="s">
        <v>521</v>
      </c>
      <c r="G773" s="50" t="str">
        <f>"2"</f>
        <v>2</v>
      </c>
      <c r="H773" t="str">
        <f>"2 fős egyenes kiesés"</f>
        <v>2 fős egyenes kiesés</v>
      </c>
      <c r="I773" s="50" t="str">
        <f>"2"</f>
        <v>2</v>
      </c>
      <c r="J773" t="str">
        <f>"Hadnagy Barnabás"</f>
        <v>Hadnagy Barnabás</v>
      </c>
      <c r="K773" t="str">
        <f>"Rokku KKSE"</f>
        <v>Rokku KKSE</v>
      </c>
      <c r="L773" t="str">
        <f t="shared" si="138"/>
        <v>HUN</v>
      </c>
      <c r="M773">
        <v>0</v>
      </c>
      <c r="O773" s="83" t="s">
        <v>583</v>
      </c>
      <c r="P773" s="78">
        <v>45416</v>
      </c>
      <c r="Q773" t="str">
        <f t="shared" si="143"/>
        <v>Hadnagy Barnabás - Rokku KKSE</v>
      </c>
      <c r="R773" t="s">
        <v>636</v>
      </c>
      <c r="S773" t="s">
        <v>636</v>
      </c>
      <c r="T773" t="s">
        <v>645</v>
      </c>
    </row>
    <row r="774" spans="1:20" x14ac:dyDescent="0.3">
      <c r="A774" s="2" t="s">
        <v>582</v>
      </c>
      <c r="B774" s="50">
        <v>2</v>
      </c>
      <c r="C774">
        <v>38</v>
      </c>
      <c r="D774" t="str">
        <f t="shared" si="142"/>
        <v>Kumite</v>
      </c>
      <c r="E774" t="str">
        <f>"Kumite, -, 45-55 kg, Gyerek 2. (11-12"</f>
        <v>Kumite, -, 45-55 kg, Gyerek 2. (11-12</v>
      </c>
      <c r="F774" t="s">
        <v>522</v>
      </c>
      <c r="G774" s="50" t="str">
        <f>"8"</f>
        <v>8</v>
      </c>
      <c r="H774" t="str">
        <f>"8 fős egyenes kiesés"</f>
        <v>8 fős egyenes kiesés</v>
      </c>
      <c r="I774" s="50" t="str">
        <f>"1"</f>
        <v>1</v>
      </c>
      <c r="J774" t="str">
        <f>"Villasenor Babos Viktor Éliás"</f>
        <v>Villasenor Babos Viktor Éliás</v>
      </c>
      <c r="K774" t="str">
        <f>"Rakurai"</f>
        <v>Rakurai</v>
      </c>
      <c r="L774" t="str">
        <f t="shared" si="138"/>
        <v>HUN</v>
      </c>
      <c r="M774">
        <v>6</v>
      </c>
      <c r="O774" s="83" t="s">
        <v>583</v>
      </c>
      <c r="P774" s="78">
        <v>45416</v>
      </c>
      <c r="Q774" t="str">
        <f t="shared" si="143"/>
        <v>Villasenor Babos Viktor Éliás - Rakurai</v>
      </c>
      <c r="R774" t="s">
        <v>636</v>
      </c>
      <c r="S774" t="s">
        <v>636</v>
      </c>
      <c r="T774" t="s">
        <v>645</v>
      </c>
    </row>
    <row r="775" spans="1:20" x14ac:dyDescent="0.3">
      <c r="A775" s="2" t="s">
        <v>582</v>
      </c>
      <c r="B775" s="50">
        <v>2</v>
      </c>
      <c r="C775">
        <v>39</v>
      </c>
      <c r="D775" t="str">
        <f t="shared" si="142"/>
        <v>Kumite</v>
      </c>
      <c r="E775" t="str">
        <f>"Kumite, -, 45-55 kg, Gyerek 2. (11-12"</f>
        <v>Kumite, -, 45-55 kg, Gyerek 2. (11-12</v>
      </c>
      <c r="F775" t="s">
        <v>522</v>
      </c>
      <c r="G775" s="50" t="str">
        <f>"8"</f>
        <v>8</v>
      </c>
      <c r="H775" t="str">
        <f>"8 fős egyenes kiesés"</f>
        <v>8 fős egyenes kiesés</v>
      </c>
      <c r="I775" s="50" t="str">
        <f>"2"</f>
        <v>2</v>
      </c>
      <c r="J775" t="str">
        <f>"Varga Bence"</f>
        <v>Varga Bence</v>
      </c>
      <c r="K775" t="str">
        <f>"KSE Tarján"</f>
        <v>KSE Tarján</v>
      </c>
      <c r="L775" t="str">
        <f t="shared" si="138"/>
        <v>HUN</v>
      </c>
      <c r="M775">
        <v>5</v>
      </c>
      <c r="O775" s="83" t="s">
        <v>583</v>
      </c>
      <c r="P775" s="78">
        <v>45416</v>
      </c>
      <c r="Q775" t="str">
        <f t="shared" si="143"/>
        <v>Varga Bence - KSE Tarján</v>
      </c>
      <c r="R775" t="s">
        <v>636</v>
      </c>
      <c r="S775" t="s">
        <v>636</v>
      </c>
      <c r="T775" t="s">
        <v>645</v>
      </c>
    </row>
    <row r="776" spans="1:20" x14ac:dyDescent="0.3">
      <c r="A776" s="2" t="s">
        <v>582</v>
      </c>
      <c r="B776" s="50">
        <v>2</v>
      </c>
      <c r="C776">
        <v>40</v>
      </c>
      <c r="D776" t="str">
        <f t="shared" si="142"/>
        <v>Kumite</v>
      </c>
      <c r="E776" t="str">
        <f>"Kumite, -, 45-55 kg, Gyerek 2. (11-12"</f>
        <v>Kumite, -, 45-55 kg, Gyerek 2. (11-12</v>
      </c>
      <c r="F776" t="s">
        <v>522</v>
      </c>
      <c r="G776" s="50" t="str">
        <f>"8"</f>
        <v>8</v>
      </c>
      <c r="H776" t="str">
        <f>"8 fős egyenes kiesés"</f>
        <v>8 fős egyenes kiesés</v>
      </c>
      <c r="I776" s="50" t="str">
        <f>"3"</f>
        <v>3</v>
      </c>
      <c r="J776" t="str">
        <f>"Reinhofer Patrik"</f>
        <v>Reinhofer Patrik</v>
      </c>
      <c r="K776" t="str">
        <f>"Rokku KKSE"</f>
        <v>Rokku KKSE</v>
      </c>
      <c r="L776" t="str">
        <f t="shared" si="138"/>
        <v>HUN</v>
      </c>
      <c r="M776">
        <v>3</v>
      </c>
      <c r="O776" s="83" t="s">
        <v>583</v>
      </c>
      <c r="P776" s="78">
        <v>45416</v>
      </c>
      <c r="Q776" t="str">
        <f t="shared" si="143"/>
        <v>Reinhofer Patrik - Rokku KKSE</v>
      </c>
      <c r="R776" t="s">
        <v>636</v>
      </c>
      <c r="S776" t="s">
        <v>636</v>
      </c>
      <c r="T776" t="s">
        <v>645</v>
      </c>
    </row>
    <row r="777" spans="1:20" x14ac:dyDescent="0.3">
      <c r="A777" s="2" t="s">
        <v>582</v>
      </c>
      <c r="B777" s="50">
        <v>2</v>
      </c>
      <c r="C777">
        <v>41</v>
      </c>
      <c r="D777" t="str">
        <f t="shared" si="142"/>
        <v>Kumite</v>
      </c>
      <c r="E777" t="str">
        <f>"Kumite, -, 45-55 kg, Gyerek 2. (11-12"</f>
        <v>Kumite, -, 45-55 kg, Gyerek 2. (11-12</v>
      </c>
      <c r="F777" t="s">
        <v>522</v>
      </c>
      <c r="G777" s="50" t="str">
        <f>"8"</f>
        <v>8</v>
      </c>
      <c r="H777" t="str">
        <f>"8 fős egyenes kiesés"</f>
        <v>8 fős egyenes kiesés</v>
      </c>
      <c r="I777" s="50" t="str">
        <f>"3"</f>
        <v>3</v>
      </c>
      <c r="J777" t="str">
        <f>"Gaál-Vajai Tamás"</f>
        <v>Gaál-Vajai Tamás</v>
      </c>
      <c r="K777" t="str">
        <f>"Főnix Dojo"</f>
        <v>Főnix Dojo</v>
      </c>
      <c r="L777" t="str">
        <f t="shared" si="138"/>
        <v>HUN</v>
      </c>
      <c r="M777">
        <v>3</v>
      </c>
      <c r="O777" s="83" t="s">
        <v>583</v>
      </c>
      <c r="P777" s="78">
        <v>45416</v>
      </c>
      <c r="Q777" t="str">
        <f t="shared" si="143"/>
        <v>Gaál-Vajai Tamás - Főnix Dojo</v>
      </c>
      <c r="R777" t="s">
        <v>636</v>
      </c>
      <c r="S777" t="s">
        <v>636</v>
      </c>
      <c r="T777" t="s">
        <v>645</v>
      </c>
    </row>
    <row r="778" spans="1:20" x14ac:dyDescent="0.3">
      <c r="A778" s="2" t="s">
        <v>582</v>
      </c>
      <c r="B778" s="50">
        <v>2</v>
      </c>
      <c r="C778">
        <v>42</v>
      </c>
      <c r="D778" t="str">
        <f t="shared" si="142"/>
        <v>Kumite</v>
      </c>
      <c r="E778" t="str">
        <f>"Kumite, -, 55-150 kg, Gyerek 2. (11-12"</f>
        <v>Kumite, -, 55-150 kg, Gyerek 2. (11-12</v>
      </c>
      <c r="F778" t="s">
        <v>524</v>
      </c>
      <c r="G778" s="50" t="str">
        <f>"3"</f>
        <v>3</v>
      </c>
      <c r="H778" t="str">
        <f>"3 fős körmérkőzés"</f>
        <v>3 fős körmérkőzés</v>
      </c>
      <c r="I778" s="50" t="str">
        <f>"1"</f>
        <v>1</v>
      </c>
      <c r="J778" t="str">
        <f>"Kiss Bence"</f>
        <v>Kiss Bence</v>
      </c>
      <c r="K778" t="str">
        <f>"Renmei se "</f>
        <v xml:space="preserve">Renmei se </v>
      </c>
      <c r="L778" t="str">
        <f t="shared" si="138"/>
        <v>HUN</v>
      </c>
      <c r="M778">
        <v>4</v>
      </c>
      <c r="O778" s="83" t="s">
        <v>583</v>
      </c>
      <c r="P778" s="78">
        <v>45416</v>
      </c>
      <c r="Q778" t="str">
        <f t="shared" si="143"/>
        <v xml:space="preserve">Kiss Bence - Renmei se </v>
      </c>
      <c r="R778" t="s">
        <v>636</v>
      </c>
      <c r="S778" t="s">
        <v>636</v>
      </c>
      <c r="T778" t="s">
        <v>645</v>
      </c>
    </row>
    <row r="779" spans="1:20" x14ac:dyDescent="0.3">
      <c r="A779" s="2" t="s">
        <v>582</v>
      </c>
      <c r="B779" s="50">
        <v>2</v>
      </c>
      <c r="C779">
        <v>43</v>
      </c>
      <c r="D779" t="str">
        <f t="shared" si="142"/>
        <v>Kumite</v>
      </c>
      <c r="E779" t="str">
        <f>"Kumite, -, 55-150 kg, Gyerek 2. (11-12"</f>
        <v>Kumite, -, 55-150 kg, Gyerek 2. (11-12</v>
      </c>
      <c r="F779" t="s">
        <v>524</v>
      </c>
      <c r="G779" s="50" t="str">
        <f>"3"</f>
        <v>3</v>
      </c>
      <c r="H779" t="str">
        <f>"3 fős körmérkőzés"</f>
        <v>3 fős körmérkőzés</v>
      </c>
      <c r="I779" s="50" t="str">
        <f>"2"</f>
        <v>2</v>
      </c>
      <c r="J779" t="str">
        <f>"Salga Márton"</f>
        <v>Salga Márton</v>
      </c>
      <c r="K779" t="str">
        <f>"Rokku KKSE"</f>
        <v>Rokku KKSE</v>
      </c>
      <c r="L779" t="str">
        <f t="shared" si="138"/>
        <v>HUN</v>
      </c>
      <c r="M779">
        <v>3</v>
      </c>
      <c r="O779" s="83" t="s">
        <v>583</v>
      </c>
      <c r="P779" s="78">
        <v>45416</v>
      </c>
      <c r="Q779" t="str">
        <f t="shared" si="143"/>
        <v>Salga Márton - Rokku KKSE</v>
      </c>
      <c r="R779" t="s">
        <v>636</v>
      </c>
      <c r="S779" t="s">
        <v>636</v>
      </c>
      <c r="T779" t="s">
        <v>645</v>
      </c>
    </row>
    <row r="780" spans="1:20" x14ac:dyDescent="0.3">
      <c r="A780" s="2" t="s">
        <v>582</v>
      </c>
      <c r="B780" s="50">
        <v>2</v>
      </c>
      <c r="C780">
        <v>44</v>
      </c>
      <c r="D780" t="str">
        <f t="shared" si="142"/>
        <v>Kumite</v>
      </c>
      <c r="E780" t="str">
        <f>"Kumite, -, 55-150 kg, Gyerek 2. (11-12"</f>
        <v>Kumite, -, 55-150 kg, Gyerek 2. (11-12</v>
      </c>
      <c r="F780" t="s">
        <v>524</v>
      </c>
      <c r="G780" s="50" t="str">
        <f>"3"</f>
        <v>3</v>
      </c>
      <c r="H780" t="str">
        <f>"3 fős körmérkőzés"</f>
        <v>3 fős körmérkőzés</v>
      </c>
      <c r="I780" s="50" t="str">
        <f>"3"</f>
        <v>3</v>
      </c>
      <c r="J780" t="str">
        <f>"Nagy Nimród"</f>
        <v>Nagy Nimród</v>
      </c>
      <c r="K780" t="str">
        <f>"Rakurai"</f>
        <v>Rakurai</v>
      </c>
      <c r="L780" t="str">
        <f t="shared" si="138"/>
        <v>HUN</v>
      </c>
      <c r="M780">
        <v>0</v>
      </c>
      <c r="N780" t="s">
        <v>584</v>
      </c>
      <c r="O780" s="83" t="s">
        <v>583</v>
      </c>
      <c r="P780" s="78">
        <v>45416</v>
      </c>
      <c r="Q780" t="str">
        <f t="shared" si="143"/>
        <v>Nagy Nimród - Rakurai</v>
      </c>
      <c r="R780" t="s">
        <v>636</v>
      </c>
      <c r="S780" t="s">
        <v>636</v>
      </c>
      <c r="T780" t="s">
        <v>645</v>
      </c>
    </row>
    <row r="781" spans="1:20" x14ac:dyDescent="0.3">
      <c r="A781" s="2" t="s">
        <v>582</v>
      </c>
      <c r="B781" s="50">
        <v>2</v>
      </c>
      <c r="C781">
        <v>45</v>
      </c>
      <c r="D781" t="str">
        <f>"Kata"</f>
        <v>Kata</v>
      </c>
      <c r="E781" t="str">
        <f>"Kata, -, 0-100 kg, Gyerek 2. (11-12"</f>
        <v>Kata, -, 0-100 kg, Gyerek 2. (11-12</v>
      </c>
      <c r="F781" t="s">
        <v>526</v>
      </c>
      <c r="G781" s="50" t="str">
        <f>"8"</f>
        <v>8</v>
      </c>
      <c r="H781" t="str">
        <f>"8 fős egyenes kiesés"</f>
        <v>8 fős egyenes kiesés</v>
      </c>
      <c r="I781" s="50" t="str">
        <f>"1"</f>
        <v>1</v>
      </c>
      <c r="J781" t="str">
        <f>"Szabó Anna Tímea"</f>
        <v>Szabó Anna Tímea</v>
      </c>
      <c r="K781" t="str">
        <f>"Katana SE"</f>
        <v>Katana SE</v>
      </c>
      <c r="L781" t="str">
        <f t="shared" si="138"/>
        <v>HUN</v>
      </c>
      <c r="M781">
        <v>5</v>
      </c>
      <c r="O781" s="83" t="s">
        <v>583</v>
      </c>
      <c r="P781" s="78">
        <v>45416</v>
      </c>
      <c r="Q781" t="str">
        <f t="shared" si="143"/>
        <v>Szabó Anna Tímea - Katana SE</v>
      </c>
      <c r="R781" t="s">
        <v>636</v>
      </c>
      <c r="S781" t="s">
        <v>636</v>
      </c>
      <c r="T781" t="s">
        <v>645</v>
      </c>
    </row>
    <row r="782" spans="1:20" x14ac:dyDescent="0.3">
      <c r="A782" s="2" t="s">
        <v>582</v>
      </c>
      <c r="B782" s="50">
        <v>2</v>
      </c>
      <c r="C782">
        <v>46</v>
      </c>
      <c r="D782" t="str">
        <f>"Kata"</f>
        <v>Kata</v>
      </c>
      <c r="E782" t="str">
        <f>"Kata, -, 0-100 kg, Gyerek 2. (11-12"</f>
        <v>Kata, -, 0-100 kg, Gyerek 2. (11-12</v>
      </c>
      <c r="F782" t="s">
        <v>526</v>
      </c>
      <c r="G782" s="50" t="str">
        <f>"8"</f>
        <v>8</v>
      </c>
      <c r="H782" t="str">
        <f>"8 fős egyenes kiesés"</f>
        <v>8 fős egyenes kiesés</v>
      </c>
      <c r="I782" s="50" t="str">
        <f>"2"</f>
        <v>2</v>
      </c>
      <c r="J782" t="str">
        <f>"Orosz Elizabett"</f>
        <v>Orosz Elizabett</v>
      </c>
      <c r="K782" t="str">
        <f>"KSE Tarján"</f>
        <v>KSE Tarján</v>
      </c>
      <c r="L782" t="str">
        <f t="shared" si="138"/>
        <v>HUN</v>
      </c>
      <c r="M782">
        <v>4</v>
      </c>
      <c r="O782" s="83" t="s">
        <v>583</v>
      </c>
      <c r="P782" s="78">
        <v>45416</v>
      </c>
      <c r="Q782" t="str">
        <f t="shared" si="143"/>
        <v>Orosz Elizabett - KSE Tarján</v>
      </c>
      <c r="R782" t="s">
        <v>636</v>
      </c>
      <c r="S782" t="s">
        <v>636</v>
      </c>
      <c r="T782" t="s">
        <v>645</v>
      </c>
    </row>
    <row r="783" spans="1:20" x14ac:dyDescent="0.3">
      <c r="A783" s="2" t="s">
        <v>582</v>
      </c>
      <c r="B783" s="50">
        <v>2</v>
      </c>
      <c r="C783">
        <v>47</v>
      </c>
      <c r="D783" t="str">
        <f>"Kata"</f>
        <v>Kata</v>
      </c>
      <c r="E783" t="str">
        <f>"Kata, -, 0-100 kg, Gyerek 2. (11-12"</f>
        <v>Kata, -, 0-100 kg, Gyerek 2. (11-12</v>
      </c>
      <c r="F783" t="s">
        <v>526</v>
      </c>
      <c r="G783" s="50" t="str">
        <f>"8"</f>
        <v>8</v>
      </c>
      <c r="H783" t="str">
        <f>"8 fős egyenes kiesés"</f>
        <v>8 fős egyenes kiesés</v>
      </c>
      <c r="I783" s="50" t="str">
        <f>"3"</f>
        <v>3</v>
      </c>
      <c r="J783" t="str">
        <f>"Szanyi Bora"</f>
        <v>Szanyi Bora</v>
      </c>
      <c r="K783" t="str">
        <f>"Meiyo dojo"</f>
        <v>Meiyo dojo</v>
      </c>
      <c r="L783" t="str">
        <f t="shared" si="138"/>
        <v>HUN</v>
      </c>
      <c r="M783">
        <v>2</v>
      </c>
      <c r="O783" s="83" t="s">
        <v>583</v>
      </c>
      <c r="P783" s="78">
        <v>45416</v>
      </c>
      <c r="Q783" t="str">
        <f t="shared" si="143"/>
        <v>Szanyi Bora - Meiyo dojo</v>
      </c>
      <c r="R783" t="s">
        <v>636</v>
      </c>
      <c r="S783" t="s">
        <v>636</v>
      </c>
      <c r="T783" t="s">
        <v>645</v>
      </c>
    </row>
    <row r="784" spans="1:20" x14ac:dyDescent="0.3">
      <c r="A784" s="2" t="s">
        <v>582</v>
      </c>
      <c r="B784" s="50">
        <v>2</v>
      </c>
      <c r="C784">
        <v>48</v>
      </c>
      <c r="D784" t="str">
        <f>"Kata"</f>
        <v>Kata</v>
      </c>
      <c r="E784" t="str">
        <f>"Kata, -, 0-100 kg, Gyerek 2. (11-12"</f>
        <v>Kata, -, 0-100 kg, Gyerek 2. (11-12</v>
      </c>
      <c r="F784" t="s">
        <v>526</v>
      </c>
      <c r="G784" s="50" t="str">
        <f>"8"</f>
        <v>8</v>
      </c>
      <c r="H784" t="str">
        <f>"8 fős egyenes kiesés"</f>
        <v>8 fős egyenes kiesés</v>
      </c>
      <c r="I784" s="50" t="str">
        <f>"3"</f>
        <v>3</v>
      </c>
      <c r="J784" t="str">
        <f>"Wölfinger Liza"</f>
        <v>Wölfinger Liza</v>
      </c>
      <c r="K784" t="str">
        <f>"Griff SE"</f>
        <v>Griff SE</v>
      </c>
      <c r="L784" t="str">
        <f t="shared" si="138"/>
        <v>HUN</v>
      </c>
      <c r="M784">
        <v>2</v>
      </c>
      <c r="O784" s="83" t="s">
        <v>583</v>
      </c>
      <c r="P784" s="78">
        <v>45416</v>
      </c>
      <c r="Q784" t="str">
        <f t="shared" si="143"/>
        <v>Wölfinger Liza - Griff SE</v>
      </c>
      <c r="R784" t="s">
        <v>636</v>
      </c>
      <c r="S784" t="s">
        <v>636</v>
      </c>
      <c r="T784" t="s">
        <v>645</v>
      </c>
    </row>
    <row r="785" spans="1:20" x14ac:dyDescent="0.3">
      <c r="A785" s="2" t="s">
        <v>582</v>
      </c>
      <c r="B785" s="50">
        <v>2</v>
      </c>
      <c r="C785">
        <v>49</v>
      </c>
      <c r="D785" t="str">
        <f t="shared" ref="D785:D821" si="144">"Kumite"</f>
        <v>Kumite</v>
      </c>
      <c r="E785" t="str">
        <f>"Kumite, -, 0-35 kg, Gyerek 2. (11-12"</f>
        <v>Kumite, -, 0-35 kg, Gyerek 2. (11-12</v>
      </c>
      <c r="F785" t="s">
        <v>517</v>
      </c>
      <c r="G785" s="50" t="str">
        <f>"4"</f>
        <v>4</v>
      </c>
      <c r="H785" t="str">
        <f>"4 fős körmérkőzés"</f>
        <v>4 fős körmérkőzés</v>
      </c>
      <c r="I785" s="50" t="str">
        <f>"1"</f>
        <v>1</v>
      </c>
      <c r="J785" t="str">
        <f>"Horváth Liliána"</f>
        <v>Horváth Liliána</v>
      </c>
      <c r="K785" t="str">
        <f>"Kamikaze S"</f>
        <v>Kamikaze S</v>
      </c>
      <c r="L785" t="str">
        <f t="shared" si="138"/>
        <v>HUN</v>
      </c>
      <c r="M785">
        <v>6</v>
      </c>
      <c r="O785" s="83" t="s">
        <v>583</v>
      </c>
      <c r="P785" s="78">
        <v>45416</v>
      </c>
      <c r="Q785" t="str">
        <f t="shared" si="143"/>
        <v>Horváth Liliána - Kamikaze S</v>
      </c>
      <c r="R785" t="s">
        <v>636</v>
      </c>
      <c r="S785" t="s">
        <v>636</v>
      </c>
      <c r="T785" t="s">
        <v>645</v>
      </c>
    </row>
    <row r="786" spans="1:20" x14ac:dyDescent="0.3">
      <c r="A786" s="2" t="s">
        <v>582</v>
      </c>
      <c r="B786" s="50">
        <v>2</v>
      </c>
      <c r="C786">
        <v>50</v>
      </c>
      <c r="D786" t="str">
        <f t="shared" si="144"/>
        <v>Kumite</v>
      </c>
      <c r="E786" t="str">
        <f>"Kumite, -, 0-35 kg, Gyerek 2. (11-12"</f>
        <v>Kumite, -, 0-35 kg, Gyerek 2. (11-12</v>
      </c>
      <c r="F786" t="s">
        <v>517</v>
      </c>
      <c r="G786" s="50" t="str">
        <f>"4"</f>
        <v>4</v>
      </c>
      <c r="H786" t="str">
        <f>"4 fős körmérkőzés"</f>
        <v>4 fős körmérkőzés</v>
      </c>
      <c r="I786" s="50" t="str">
        <f>"2"</f>
        <v>2</v>
      </c>
      <c r="J786" t="str">
        <f>"Bogdán Szonja"</f>
        <v>Bogdán Szonja</v>
      </c>
      <c r="K786" t="str">
        <f>"Rakurai"</f>
        <v>Rakurai</v>
      </c>
      <c r="L786" t="str">
        <f t="shared" si="138"/>
        <v>HUN</v>
      </c>
      <c r="M786">
        <v>5</v>
      </c>
      <c r="O786" s="83" t="s">
        <v>583</v>
      </c>
      <c r="P786" s="78">
        <v>45416</v>
      </c>
      <c r="Q786" t="str">
        <f t="shared" si="143"/>
        <v>Bogdán Szonja - Rakurai</v>
      </c>
      <c r="R786" t="s">
        <v>636</v>
      </c>
      <c r="S786" t="s">
        <v>636</v>
      </c>
      <c r="T786" t="s">
        <v>645</v>
      </c>
    </row>
    <row r="787" spans="1:20" x14ac:dyDescent="0.3">
      <c r="A787" s="2" t="s">
        <v>582</v>
      </c>
      <c r="B787" s="50">
        <v>2</v>
      </c>
      <c r="C787">
        <v>51</v>
      </c>
      <c r="D787" t="str">
        <f t="shared" si="144"/>
        <v>Kumite</v>
      </c>
      <c r="E787" t="str">
        <f>"Kumite, -, 0-35 kg, Gyerek 2. (11-12"</f>
        <v>Kumite, -, 0-35 kg, Gyerek 2. (11-12</v>
      </c>
      <c r="F787" t="s">
        <v>517</v>
      </c>
      <c r="G787" s="50" t="str">
        <f>"4"</f>
        <v>4</v>
      </c>
      <c r="H787" t="str">
        <f>"4 fős körmérkőzés"</f>
        <v>4 fős körmérkőzés</v>
      </c>
      <c r="I787" s="50" t="str">
        <f>"3"</f>
        <v>3</v>
      </c>
      <c r="J787" t="str">
        <f>"Wölfinger Liza"</f>
        <v>Wölfinger Liza</v>
      </c>
      <c r="K787" t="str">
        <f>"Griff SE"</f>
        <v>Griff SE</v>
      </c>
      <c r="L787" t="str">
        <f t="shared" si="138"/>
        <v>HUN</v>
      </c>
      <c r="M787">
        <v>3</v>
      </c>
      <c r="O787" s="83" t="s">
        <v>583</v>
      </c>
      <c r="P787" s="78">
        <v>45416</v>
      </c>
      <c r="Q787" t="str">
        <f t="shared" si="143"/>
        <v>Wölfinger Liza - Griff SE</v>
      </c>
      <c r="R787" t="s">
        <v>636</v>
      </c>
      <c r="S787" t="s">
        <v>636</v>
      </c>
      <c r="T787" t="s">
        <v>645</v>
      </c>
    </row>
    <row r="788" spans="1:20" x14ac:dyDescent="0.3">
      <c r="A788" s="2" t="s">
        <v>582</v>
      </c>
      <c r="B788" s="50">
        <v>2</v>
      </c>
      <c r="C788">
        <v>52</v>
      </c>
      <c r="D788" t="str">
        <f t="shared" si="144"/>
        <v>Kumite</v>
      </c>
      <c r="E788" t="str">
        <f>"Kumite, -, 35-40 kg, Gyerek 2. (11-12"</f>
        <v>Kumite, -, 35-40 kg, Gyerek 2. (11-12</v>
      </c>
      <c r="F788" t="s">
        <v>523</v>
      </c>
      <c r="G788" s="50" t="str">
        <f>"2"</f>
        <v>2</v>
      </c>
      <c r="H788" t="str">
        <f>"2 fős egyenes kiesés"</f>
        <v>2 fős egyenes kiesés</v>
      </c>
      <c r="I788" s="50" t="str">
        <f>"1"</f>
        <v>1</v>
      </c>
      <c r="J788" t="str">
        <f>"Horváth Réka"</f>
        <v>Horváth Réka</v>
      </c>
      <c r="K788" t="str">
        <f>"Castrum"</f>
        <v>Castrum</v>
      </c>
      <c r="L788" t="str">
        <f t="shared" si="138"/>
        <v>HUN</v>
      </c>
      <c r="M788">
        <v>3</v>
      </c>
      <c r="O788" s="83" t="s">
        <v>583</v>
      </c>
      <c r="P788" s="78">
        <v>45416</v>
      </c>
      <c r="Q788" t="str">
        <f t="shared" si="143"/>
        <v>Horváth Réka - Castrum</v>
      </c>
      <c r="R788" t="s">
        <v>636</v>
      </c>
      <c r="S788" t="s">
        <v>636</v>
      </c>
      <c r="T788" t="s">
        <v>645</v>
      </c>
    </row>
    <row r="789" spans="1:20" x14ac:dyDescent="0.3">
      <c r="A789" s="2" t="s">
        <v>582</v>
      </c>
      <c r="B789" s="50">
        <v>2</v>
      </c>
      <c r="C789">
        <v>53</v>
      </c>
      <c r="D789" t="str">
        <f t="shared" si="144"/>
        <v>Kumite</v>
      </c>
      <c r="E789" t="str">
        <f>"Kumite, -, 35-40 kg, Gyerek 2. (11-12"</f>
        <v>Kumite, -, 35-40 kg, Gyerek 2. (11-12</v>
      </c>
      <c r="F789" t="s">
        <v>523</v>
      </c>
      <c r="G789" s="50" t="str">
        <f>"2"</f>
        <v>2</v>
      </c>
      <c r="H789" t="str">
        <f>"2 fős egyenes kiesés"</f>
        <v>2 fős egyenes kiesés</v>
      </c>
      <c r="I789" s="50" t="str">
        <f>"2"</f>
        <v>2</v>
      </c>
      <c r="J789" t="str">
        <f>"Horváth Liliána"</f>
        <v>Horváth Liliána</v>
      </c>
      <c r="K789" t="str">
        <f>"Kamikaze S"</f>
        <v>Kamikaze S</v>
      </c>
      <c r="L789" t="str">
        <f t="shared" si="138"/>
        <v>HUN</v>
      </c>
      <c r="M789">
        <v>0</v>
      </c>
      <c r="O789" s="83" t="s">
        <v>583</v>
      </c>
      <c r="P789" s="78">
        <v>45416</v>
      </c>
      <c r="Q789" t="str">
        <f t="shared" si="143"/>
        <v>Horváth Liliána - Kamikaze S</v>
      </c>
      <c r="R789" t="s">
        <v>636</v>
      </c>
      <c r="S789" t="s">
        <v>636</v>
      </c>
      <c r="T789" t="s">
        <v>645</v>
      </c>
    </row>
    <row r="790" spans="1:20" x14ac:dyDescent="0.3">
      <c r="A790" s="2" t="s">
        <v>582</v>
      </c>
      <c r="B790" s="50">
        <v>2</v>
      </c>
      <c r="C790">
        <v>54</v>
      </c>
      <c r="D790" t="str">
        <f t="shared" si="144"/>
        <v>Kumite</v>
      </c>
      <c r="E790" t="str">
        <f>"Kumite, -, 40-45 kg, Gyerek 2. (11-12"</f>
        <v>Kumite, -, 40-45 kg, Gyerek 2. (11-12</v>
      </c>
      <c r="F790" t="s">
        <v>527</v>
      </c>
      <c r="G790" s="50" t="str">
        <f>"6"</f>
        <v>6</v>
      </c>
      <c r="H790" t="str">
        <f>"6 fős vegyes"</f>
        <v>6 fős vegyes</v>
      </c>
      <c r="I790" s="50" t="str">
        <f>"1"</f>
        <v>1</v>
      </c>
      <c r="J790" t="str">
        <f>"Szabó Anna Tímea"</f>
        <v>Szabó Anna Tímea</v>
      </c>
      <c r="K790" t="str">
        <f>"Katana SE"</f>
        <v>Katana SE</v>
      </c>
      <c r="L790" t="str">
        <f t="shared" si="138"/>
        <v>HUN</v>
      </c>
      <c r="M790">
        <v>6</v>
      </c>
      <c r="O790" s="83" t="s">
        <v>583</v>
      </c>
      <c r="P790" s="78">
        <v>45416</v>
      </c>
      <c r="Q790" t="str">
        <f t="shared" si="143"/>
        <v>Szabó Anna Tímea - Katana SE</v>
      </c>
      <c r="R790" t="s">
        <v>636</v>
      </c>
      <c r="S790" t="s">
        <v>636</v>
      </c>
      <c r="T790" t="s">
        <v>645</v>
      </c>
    </row>
    <row r="791" spans="1:20" x14ac:dyDescent="0.3">
      <c r="A791" s="2" t="s">
        <v>582</v>
      </c>
      <c r="B791" s="50">
        <v>2</v>
      </c>
      <c r="C791">
        <v>55</v>
      </c>
      <c r="D791" t="str">
        <f t="shared" si="144"/>
        <v>Kumite</v>
      </c>
      <c r="E791" t="str">
        <f>"Kumite, -, 40-45 kg, Gyerek 2. (11-12"</f>
        <v>Kumite, -, 40-45 kg, Gyerek 2. (11-12</v>
      </c>
      <c r="F791" t="s">
        <v>527</v>
      </c>
      <c r="G791" s="50" t="str">
        <f>"6"</f>
        <v>6</v>
      </c>
      <c r="H791" t="str">
        <f>"6 fős vegyes"</f>
        <v>6 fős vegyes</v>
      </c>
      <c r="I791" s="50" t="str">
        <f>"2"</f>
        <v>2</v>
      </c>
      <c r="J791" t="str">
        <f>"Gecsei Emma Borbála"</f>
        <v>Gecsei Emma Borbála</v>
      </c>
      <c r="K791" t="str">
        <f>"KSE Tarján"</f>
        <v>KSE Tarján</v>
      </c>
      <c r="L791" t="str">
        <f t="shared" si="138"/>
        <v>HUN</v>
      </c>
      <c r="M791">
        <v>5</v>
      </c>
      <c r="O791" s="83" t="s">
        <v>583</v>
      </c>
      <c r="P791" s="78">
        <v>45416</v>
      </c>
      <c r="Q791" t="str">
        <f t="shared" si="143"/>
        <v>Gecsei Emma Borbála - KSE Tarján</v>
      </c>
      <c r="R791" t="s">
        <v>636</v>
      </c>
      <c r="S791" t="s">
        <v>636</v>
      </c>
      <c r="T791" t="s">
        <v>645</v>
      </c>
    </row>
    <row r="792" spans="1:20" x14ac:dyDescent="0.3">
      <c r="A792" s="2" t="s">
        <v>582</v>
      </c>
      <c r="B792" s="50">
        <v>2</v>
      </c>
      <c r="C792">
        <v>56</v>
      </c>
      <c r="D792" t="str">
        <f t="shared" si="144"/>
        <v>Kumite</v>
      </c>
      <c r="E792" t="str">
        <f>"Kumite, -, 40-45 kg, Gyerek 2. (11-12"</f>
        <v>Kumite, -, 40-45 kg, Gyerek 2. (11-12</v>
      </c>
      <c r="F792" t="s">
        <v>527</v>
      </c>
      <c r="G792" s="50" t="str">
        <f>"6"</f>
        <v>6</v>
      </c>
      <c r="H792" t="str">
        <f>"6 fős vegyes"</f>
        <v>6 fős vegyes</v>
      </c>
      <c r="I792" s="50" t="str">
        <f>"3"</f>
        <v>3</v>
      </c>
      <c r="J792" t="str">
        <f>"Villasenor Babos Natália "</f>
        <v xml:space="preserve">Villasenor Babos Natália </v>
      </c>
      <c r="K792" t="str">
        <f>"Rakurai"</f>
        <v>Rakurai</v>
      </c>
      <c r="L792" t="str">
        <f t="shared" si="138"/>
        <v>HUN</v>
      </c>
      <c r="M792">
        <v>3</v>
      </c>
      <c r="O792" s="83" t="s">
        <v>583</v>
      </c>
      <c r="P792" s="78">
        <v>45416</v>
      </c>
      <c r="Q792" t="str">
        <f t="shared" si="143"/>
        <v>Villasenor Babos Natália  - Rakurai</v>
      </c>
      <c r="R792" t="s">
        <v>636</v>
      </c>
      <c r="S792" t="s">
        <v>636</v>
      </c>
      <c r="T792" t="s">
        <v>645</v>
      </c>
    </row>
    <row r="793" spans="1:20" x14ac:dyDescent="0.3">
      <c r="A793" s="2" t="s">
        <v>582</v>
      </c>
      <c r="B793" s="50">
        <v>2</v>
      </c>
      <c r="C793">
        <v>57</v>
      </c>
      <c r="D793" t="str">
        <f>"Kata"</f>
        <v>Kata</v>
      </c>
      <c r="E793" t="str">
        <f>"Kata, -, 0-150 kg, Serdülő (13-14"</f>
        <v>Kata, -, 0-150 kg, Serdülő (13-14</v>
      </c>
      <c r="F793" t="s">
        <v>537</v>
      </c>
      <c r="G793" s="50" t="str">
        <f>"10"</f>
        <v>10</v>
      </c>
      <c r="H793" t="str">
        <f>"16 fős egyenes kiesés"</f>
        <v>16 fős egyenes kiesés</v>
      </c>
      <c r="I793" s="50" t="str">
        <f>"1"</f>
        <v>1</v>
      </c>
      <c r="J793" t="str">
        <f>"Németh Adrián"</f>
        <v>Németh Adrián</v>
      </c>
      <c r="K793" t="str">
        <f>"Cs.S.E."</f>
        <v>Cs.S.E.</v>
      </c>
      <c r="L793" t="str">
        <f t="shared" si="138"/>
        <v>HUN</v>
      </c>
      <c r="M793">
        <v>6</v>
      </c>
      <c r="O793" s="83" t="s">
        <v>583</v>
      </c>
      <c r="P793" s="78">
        <v>45416</v>
      </c>
      <c r="Q793" t="str">
        <f t="shared" si="143"/>
        <v>Németh Adrián - Cs.S.E.</v>
      </c>
      <c r="R793" t="s">
        <v>636</v>
      </c>
      <c r="S793" t="s">
        <v>636</v>
      </c>
      <c r="T793" t="s">
        <v>645</v>
      </c>
    </row>
    <row r="794" spans="1:20" x14ac:dyDescent="0.3">
      <c r="A794" s="2" t="s">
        <v>582</v>
      </c>
      <c r="B794" s="50">
        <v>2</v>
      </c>
      <c r="C794">
        <v>58</v>
      </c>
      <c r="D794" t="str">
        <f>"Kata"</f>
        <v>Kata</v>
      </c>
      <c r="E794" t="str">
        <f>"Kata, -, 0-150 kg, Serdülő (13-14"</f>
        <v>Kata, -, 0-150 kg, Serdülő (13-14</v>
      </c>
      <c r="F794" t="s">
        <v>537</v>
      </c>
      <c r="G794" s="50" t="str">
        <f>"10"</f>
        <v>10</v>
      </c>
      <c r="H794" t="str">
        <f>"16 fős egyenes kiesés"</f>
        <v>16 fős egyenes kiesés</v>
      </c>
      <c r="I794" s="50" t="str">
        <f>"2"</f>
        <v>2</v>
      </c>
      <c r="J794" t="str">
        <f>"Ungvári Levente"</f>
        <v>Ungvári Levente</v>
      </c>
      <c r="K794" t="str">
        <f>"Shogun"</f>
        <v>Shogun</v>
      </c>
      <c r="L794" t="str">
        <f t="shared" si="138"/>
        <v>HUN</v>
      </c>
      <c r="M794">
        <v>5</v>
      </c>
      <c r="O794" s="83" t="s">
        <v>583</v>
      </c>
      <c r="P794" s="78">
        <v>45416</v>
      </c>
      <c r="Q794" t="str">
        <f t="shared" si="143"/>
        <v>Ungvári Levente - Shogun</v>
      </c>
      <c r="R794" t="s">
        <v>636</v>
      </c>
      <c r="S794" t="s">
        <v>636</v>
      </c>
      <c r="T794" t="s">
        <v>645</v>
      </c>
    </row>
    <row r="795" spans="1:20" x14ac:dyDescent="0.3">
      <c r="A795" s="2" t="s">
        <v>582</v>
      </c>
      <c r="B795" s="50">
        <v>2</v>
      </c>
      <c r="C795">
        <v>59</v>
      </c>
      <c r="D795" t="str">
        <f>"Kata"</f>
        <v>Kata</v>
      </c>
      <c r="E795" t="str">
        <f>"Kata, -, 0-150 kg, Serdülő (13-14"</f>
        <v>Kata, -, 0-150 kg, Serdülő (13-14</v>
      </c>
      <c r="F795" t="s">
        <v>537</v>
      </c>
      <c r="G795" s="50" t="str">
        <f>"10"</f>
        <v>10</v>
      </c>
      <c r="H795" t="str">
        <f>"16 fős egyenes kiesés"</f>
        <v>16 fős egyenes kiesés</v>
      </c>
      <c r="I795" s="50" t="str">
        <f>"3"</f>
        <v>3</v>
      </c>
      <c r="J795" t="str">
        <f>"Berényi Imre Márk"</f>
        <v>Berényi Imre Márk</v>
      </c>
      <c r="K795" t="str">
        <f>"Shogun"</f>
        <v>Shogun</v>
      </c>
      <c r="L795" t="str">
        <f t="shared" si="138"/>
        <v>HUN</v>
      </c>
      <c r="M795">
        <v>3</v>
      </c>
      <c r="O795" s="83" t="s">
        <v>583</v>
      </c>
      <c r="P795" s="78">
        <v>45416</v>
      </c>
      <c r="Q795" t="str">
        <f t="shared" si="143"/>
        <v>Berényi Imre Márk - Shogun</v>
      </c>
      <c r="R795" t="s">
        <v>636</v>
      </c>
      <c r="S795" t="s">
        <v>636</v>
      </c>
      <c r="T795" t="s">
        <v>645</v>
      </c>
    </row>
    <row r="796" spans="1:20" x14ac:dyDescent="0.3">
      <c r="A796" s="2" t="s">
        <v>582</v>
      </c>
      <c r="B796" s="50">
        <v>2</v>
      </c>
      <c r="C796">
        <v>60</v>
      </c>
      <c r="D796" t="str">
        <f>"Kata"</f>
        <v>Kata</v>
      </c>
      <c r="E796" t="str">
        <f>"Kata, -, 0-150 kg, Serdülő (13-14"</f>
        <v>Kata, -, 0-150 kg, Serdülő (13-14</v>
      </c>
      <c r="F796" t="s">
        <v>537</v>
      </c>
      <c r="G796" s="50" t="str">
        <f>"10"</f>
        <v>10</v>
      </c>
      <c r="H796" t="str">
        <f>"16 fős egyenes kiesés"</f>
        <v>16 fős egyenes kiesés</v>
      </c>
      <c r="I796" s="50" t="str">
        <f>"3"</f>
        <v>3</v>
      </c>
      <c r="J796" t="str">
        <f>"Németh Kristóf"</f>
        <v>Németh Kristóf</v>
      </c>
      <c r="K796" t="str">
        <f>"Beledi KÉSZ SE"</f>
        <v>Beledi KÉSZ SE</v>
      </c>
      <c r="L796" t="str">
        <f t="shared" si="138"/>
        <v>HUN</v>
      </c>
      <c r="M796">
        <v>3</v>
      </c>
      <c r="O796" s="83" t="s">
        <v>583</v>
      </c>
      <c r="P796" s="78">
        <v>45416</v>
      </c>
      <c r="Q796" t="str">
        <f t="shared" si="143"/>
        <v>Németh Kristóf - Beledi KÉSZ SE</v>
      </c>
      <c r="R796" t="s">
        <v>637</v>
      </c>
      <c r="S796" t="s">
        <v>596</v>
      </c>
      <c r="T796" t="s">
        <v>645</v>
      </c>
    </row>
    <row r="797" spans="1:20" x14ac:dyDescent="0.3">
      <c r="A797" s="2" t="s">
        <v>582</v>
      </c>
      <c r="B797" s="50">
        <v>2</v>
      </c>
      <c r="C797">
        <v>61</v>
      </c>
      <c r="D797" t="str">
        <f t="shared" ref="D797:D809" si="145">"Kumite"</f>
        <v>Kumite</v>
      </c>
      <c r="E797" t="str">
        <f>"Kumite, -, 0-40 kg, Serdülő (13-14"</f>
        <v>Kumite, -, 0-40 kg, Serdülő (13-14</v>
      </c>
      <c r="F797" t="s">
        <v>529</v>
      </c>
      <c r="G797" s="50" t="str">
        <f t="shared" ref="G797:G802" si="146">"3"</f>
        <v>3</v>
      </c>
      <c r="H797" t="str">
        <f t="shared" ref="H797:H802" si="147">"3 fős körmérkőzés"</f>
        <v>3 fős körmérkőzés</v>
      </c>
      <c r="I797" s="50" t="str">
        <f>"1"</f>
        <v>1</v>
      </c>
      <c r="J797" t="str">
        <f>"Stoffán Ádám Vilmos"</f>
        <v>Stoffán Ádám Vilmos</v>
      </c>
      <c r="K797" t="str">
        <f>"Victory"</f>
        <v>Victory</v>
      </c>
      <c r="L797" t="str">
        <f t="shared" si="138"/>
        <v>HUN</v>
      </c>
      <c r="M797">
        <v>4</v>
      </c>
      <c r="O797" s="83" t="s">
        <v>583</v>
      </c>
      <c r="P797" s="78">
        <v>45416</v>
      </c>
      <c r="Q797" t="str">
        <f t="shared" si="143"/>
        <v>Stoffán Ádám Vilmos - Victory</v>
      </c>
      <c r="R797" t="s">
        <v>636</v>
      </c>
      <c r="S797" t="s">
        <v>636</v>
      </c>
      <c r="T797" t="s">
        <v>645</v>
      </c>
    </row>
    <row r="798" spans="1:20" x14ac:dyDescent="0.3">
      <c r="A798" s="2" t="s">
        <v>582</v>
      </c>
      <c r="B798" s="50">
        <v>2</v>
      </c>
      <c r="C798">
        <v>62</v>
      </c>
      <c r="D798" t="str">
        <f t="shared" si="145"/>
        <v>Kumite</v>
      </c>
      <c r="E798" t="str">
        <f>"Kumite, -, 0-40 kg, Serdülő (13-14"</f>
        <v>Kumite, -, 0-40 kg, Serdülő (13-14</v>
      </c>
      <c r="F798" t="s">
        <v>529</v>
      </c>
      <c r="G798" s="50" t="str">
        <f t="shared" si="146"/>
        <v>3</v>
      </c>
      <c r="H798" t="str">
        <f t="shared" si="147"/>
        <v>3 fős körmérkőzés</v>
      </c>
      <c r="I798" s="50" t="str">
        <f>"2"</f>
        <v>2</v>
      </c>
      <c r="J798" t="str">
        <f>"Gombos-Weidinger Barnabás"</f>
        <v>Gombos-Weidinger Barnabás</v>
      </c>
      <c r="K798" t="str">
        <f>"BHMSE"</f>
        <v>BHMSE</v>
      </c>
      <c r="L798" t="str">
        <f t="shared" si="138"/>
        <v>HUN</v>
      </c>
      <c r="M798">
        <v>3</v>
      </c>
      <c r="O798" s="83" t="s">
        <v>583</v>
      </c>
      <c r="P798" s="78">
        <v>45416</v>
      </c>
      <c r="Q798" t="str">
        <f t="shared" si="143"/>
        <v>Gombos-Weidinger Barnabás - BHMSE</v>
      </c>
      <c r="R798" t="s">
        <v>636</v>
      </c>
      <c r="S798" t="s">
        <v>636</v>
      </c>
      <c r="T798" t="s">
        <v>645</v>
      </c>
    </row>
    <row r="799" spans="1:20" x14ac:dyDescent="0.3">
      <c r="A799" s="2" t="s">
        <v>582</v>
      </c>
      <c r="B799" s="50">
        <v>2</v>
      </c>
      <c r="C799">
        <v>63</v>
      </c>
      <c r="D799" t="str">
        <f t="shared" si="145"/>
        <v>Kumite</v>
      </c>
      <c r="E799" t="str">
        <f>"Kumite, -, 0-40 kg, Serdülő (13-14"</f>
        <v>Kumite, -, 0-40 kg, Serdülő (13-14</v>
      </c>
      <c r="F799" t="s">
        <v>529</v>
      </c>
      <c r="G799" s="50" t="str">
        <f t="shared" si="146"/>
        <v>3</v>
      </c>
      <c r="H799" t="str">
        <f t="shared" si="147"/>
        <v>3 fős körmérkőzés</v>
      </c>
      <c r="I799" s="50" t="str">
        <f>"3"</f>
        <v>3</v>
      </c>
      <c r="J799" t="str">
        <f>"Gáncs Arnold"</f>
        <v>Gáncs Arnold</v>
      </c>
      <c r="K799" t="str">
        <f>"Griff SE"</f>
        <v>Griff SE</v>
      </c>
      <c r="L799" t="str">
        <f t="shared" si="138"/>
        <v>HUN</v>
      </c>
      <c r="M799">
        <v>0</v>
      </c>
      <c r="N799" t="s">
        <v>584</v>
      </c>
      <c r="O799" s="83" t="s">
        <v>583</v>
      </c>
      <c r="P799" s="78">
        <v>45416</v>
      </c>
      <c r="Q799" t="str">
        <f t="shared" si="143"/>
        <v>Gáncs Arnold - Griff SE</v>
      </c>
      <c r="R799" t="s">
        <v>636</v>
      </c>
      <c r="S799" t="s">
        <v>636</v>
      </c>
      <c r="T799" t="s">
        <v>645</v>
      </c>
    </row>
    <row r="800" spans="1:20" x14ac:dyDescent="0.3">
      <c r="A800" s="2" t="s">
        <v>582</v>
      </c>
      <c r="B800" s="50">
        <v>2</v>
      </c>
      <c r="C800">
        <v>64</v>
      </c>
      <c r="D800" t="str">
        <f t="shared" si="145"/>
        <v>Kumite</v>
      </c>
      <c r="E800" t="str">
        <f>"Kumite, -, 40-45 kg, Serdülő (13-14"</f>
        <v>Kumite, -, 40-45 kg, Serdülő (13-14</v>
      </c>
      <c r="F800" t="s">
        <v>530</v>
      </c>
      <c r="G800" s="50" t="str">
        <f t="shared" si="146"/>
        <v>3</v>
      </c>
      <c r="H800" t="str">
        <f t="shared" si="147"/>
        <v>3 fős körmérkőzés</v>
      </c>
      <c r="I800" s="50" t="str">
        <f>"1"</f>
        <v>1</v>
      </c>
      <c r="J800" t="str">
        <f>"Berényi Imre Márk"</f>
        <v>Berényi Imre Márk</v>
      </c>
      <c r="K800" t="str">
        <f>"Shogun"</f>
        <v>Shogun</v>
      </c>
      <c r="L800" t="str">
        <f t="shared" si="138"/>
        <v>HUN</v>
      </c>
      <c r="M800">
        <v>4</v>
      </c>
      <c r="O800" s="83" t="s">
        <v>583</v>
      </c>
      <c r="P800" s="78">
        <v>45416</v>
      </c>
      <c r="Q800" t="str">
        <f t="shared" si="143"/>
        <v>Berényi Imre Márk - Shogun</v>
      </c>
      <c r="R800" t="s">
        <v>636</v>
      </c>
      <c r="S800" t="s">
        <v>636</v>
      </c>
      <c r="T800" t="s">
        <v>645</v>
      </c>
    </row>
    <row r="801" spans="1:20" x14ac:dyDescent="0.3">
      <c r="A801" s="2" t="s">
        <v>582</v>
      </c>
      <c r="B801" s="50">
        <v>2</v>
      </c>
      <c r="C801">
        <v>65</v>
      </c>
      <c r="D801" t="str">
        <f t="shared" si="145"/>
        <v>Kumite</v>
      </c>
      <c r="E801" t="str">
        <f>"Kumite, -, 40-45 kg, Serdülő (13-14"</f>
        <v>Kumite, -, 40-45 kg, Serdülő (13-14</v>
      </c>
      <c r="F801" t="s">
        <v>530</v>
      </c>
      <c r="G801" s="50" t="str">
        <f t="shared" si="146"/>
        <v>3</v>
      </c>
      <c r="H801" t="str">
        <f t="shared" si="147"/>
        <v>3 fős körmérkőzés</v>
      </c>
      <c r="I801" s="50" t="str">
        <f>"2"</f>
        <v>2</v>
      </c>
      <c r="J801" t="str">
        <f>"Valkovszki Máté"</f>
        <v>Valkovszki Máté</v>
      </c>
      <c r="K801" t="str">
        <f>"BHMSE"</f>
        <v>BHMSE</v>
      </c>
      <c r="L801" t="str">
        <f t="shared" si="138"/>
        <v>HUN</v>
      </c>
      <c r="M801">
        <v>3</v>
      </c>
      <c r="O801" s="83" t="s">
        <v>583</v>
      </c>
      <c r="P801" s="78">
        <v>45416</v>
      </c>
      <c r="Q801" t="str">
        <f t="shared" si="143"/>
        <v>Valkovszki Máté - BHMSE</v>
      </c>
      <c r="R801" t="s">
        <v>636</v>
      </c>
      <c r="S801" t="s">
        <v>636</v>
      </c>
      <c r="T801" t="s">
        <v>645</v>
      </c>
    </row>
    <row r="802" spans="1:20" x14ac:dyDescent="0.3">
      <c r="A802" s="2" t="s">
        <v>582</v>
      </c>
      <c r="B802" s="50">
        <v>2</v>
      </c>
      <c r="C802">
        <v>66</v>
      </c>
      <c r="D802" t="str">
        <f t="shared" si="145"/>
        <v>Kumite</v>
      </c>
      <c r="E802" t="str">
        <f>"Kumite, -, 40-45 kg, Serdülő (13-14"</f>
        <v>Kumite, -, 40-45 kg, Serdülő (13-14</v>
      </c>
      <c r="F802" t="s">
        <v>530</v>
      </c>
      <c r="G802" s="50" t="str">
        <f t="shared" si="146"/>
        <v>3</v>
      </c>
      <c r="H802" t="str">
        <f t="shared" si="147"/>
        <v>3 fős körmérkőzés</v>
      </c>
      <c r="I802" s="50" t="str">
        <f>"3"</f>
        <v>3</v>
      </c>
      <c r="J802" t="str">
        <f>"Karó Zoltán Dániel"</f>
        <v>Karó Zoltán Dániel</v>
      </c>
      <c r="K802" t="str">
        <f>"Kamikaze S"</f>
        <v>Kamikaze S</v>
      </c>
      <c r="L802" t="str">
        <f t="shared" si="138"/>
        <v>HUN</v>
      </c>
      <c r="M802">
        <v>0</v>
      </c>
      <c r="N802" t="s">
        <v>584</v>
      </c>
      <c r="O802" s="83" t="s">
        <v>583</v>
      </c>
      <c r="P802" s="78">
        <v>45416</v>
      </c>
      <c r="Q802" t="str">
        <f t="shared" si="143"/>
        <v>Karó Zoltán Dániel - Kamikaze S</v>
      </c>
      <c r="R802" t="s">
        <v>636</v>
      </c>
      <c r="S802" t="s">
        <v>636</v>
      </c>
      <c r="T802" t="s">
        <v>645</v>
      </c>
    </row>
    <row r="803" spans="1:20" x14ac:dyDescent="0.3">
      <c r="A803" s="2" t="s">
        <v>582</v>
      </c>
      <c r="B803" s="50">
        <v>2</v>
      </c>
      <c r="C803">
        <v>67</v>
      </c>
      <c r="D803" t="str">
        <f t="shared" si="145"/>
        <v>Kumite</v>
      </c>
      <c r="E803" t="str">
        <f>"Kumite, -, 50-60 kg, Serdülő (13-14"</f>
        <v>Kumite, -, 50-60 kg, Serdülő (13-14</v>
      </c>
      <c r="F803" t="s">
        <v>532</v>
      </c>
      <c r="G803" s="50" t="str">
        <f>"11"</f>
        <v>11</v>
      </c>
      <c r="H803" t="str">
        <f>"16 fős egyenes kiesés"</f>
        <v>16 fős egyenes kiesés</v>
      </c>
      <c r="I803" s="50" t="str">
        <f>"1"</f>
        <v>1</v>
      </c>
      <c r="J803" t="str">
        <f>"Ungvári Levente"</f>
        <v>Ungvári Levente</v>
      </c>
      <c r="K803" t="str">
        <f>"Shogun"</f>
        <v>Shogun</v>
      </c>
      <c r="L803" t="str">
        <f t="shared" si="138"/>
        <v>HUN</v>
      </c>
      <c r="M803">
        <v>8</v>
      </c>
      <c r="O803" s="83" t="s">
        <v>583</v>
      </c>
      <c r="P803" s="78">
        <v>45416</v>
      </c>
      <c r="Q803" t="str">
        <f t="shared" si="143"/>
        <v>Ungvári Levente - Shogun</v>
      </c>
      <c r="R803" t="s">
        <v>636</v>
      </c>
      <c r="S803" t="s">
        <v>636</v>
      </c>
      <c r="T803" t="s">
        <v>645</v>
      </c>
    </row>
    <row r="804" spans="1:20" x14ac:dyDescent="0.3">
      <c r="A804" s="2" t="s">
        <v>582</v>
      </c>
      <c r="B804" s="50">
        <v>2</v>
      </c>
      <c r="C804">
        <v>68</v>
      </c>
      <c r="D804" t="str">
        <f t="shared" si="145"/>
        <v>Kumite</v>
      </c>
      <c r="E804" t="str">
        <f>"Kumite, -, 50-60 kg, Serdülő (13-14"</f>
        <v>Kumite, -, 50-60 kg, Serdülő (13-14</v>
      </c>
      <c r="F804" t="s">
        <v>532</v>
      </c>
      <c r="G804" s="50" t="str">
        <f>"11"</f>
        <v>11</v>
      </c>
      <c r="H804" t="str">
        <f>"16 fős egyenes kiesés"</f>
        <v>16 fős egyenes kiesés</v>
      </c>
      <c r="I804" s="50" t="str">
        <f>"2"</f>
        <v>2</v>
      </c>
      <c r="J804" t="str">
        <f>"Kurucz Gergő"</f>
        <v>Kurucz Gergő</v>
      </c>
      <c r="K804" t="str">
        <f>"Victory"</f>
        <v>Victory</v>
      </c>
      <c r="L804" t="str">
        <f t="shared" si="138"/>
        <v>HUN</v>
      </c>
      <c r="M804">
        <v>6</v>
      </c>
      <c r="O804" s="83" t="s">
        <v>583</v>
      </c>
      <c r="P804" s="78">
        <v>45416</v>
      </c>
      <c r="Q804" t="str">
        <f t="shared" si="143"/>
        <v>Kurucz Gergő - Victory</v>
      </c>
      <c r="R804" t="s">
        <v>636</v>
      </c>
      <c r="S804" t="s">
        <v>636</v>
      </c>
      <c r="T804" t="s">
        <v>645</v>
      </c>
    </row>
    <row r="805" spans="1:20" x14ac:dyDescent="0.3">
      <c r="A805" s="2" t="s">
        <v>582</v>
      </c>
      <c r="B805" s="50">
        <v>2</v>
      </c>
      <c r="C805">
        <v>69</v>
      </c>
      <c r="D805" t="str">
        <f t="shared" si="145"/>
        <v>Kumite</v>
      </c>
      <c r="E805" t="str">
        <f>"Kumite, -, 50-60 kg, Serdülő (13-14"</f>
        <v>Kumite, -, 50-60 kg, Serdülő (13-14</v>
      </c>
      <c r="F805" t="s">
        <v>532</v>
      </c>
      <c r="G805" s="50" t="str">
        <f>"11"</f>
        <v>11</v>
      </c>
      <c r="H805" t="str">
        <f>"16 fős egyenes kiesés"</f>
        <v>16 fős egyenes kiesés</v>
      </c>
      <c r="I805" s="50" t="str">
        <f>"3"</f>
        <v>3</v>
      </c>
      <c r="J805" t="str">
        <f>"Görgics Máté"</f>
        <v>Görgics Máté</v>
      </c>
      <c r="K805" t="str">
        <f>"Castrum"</f>
        <v>Castrum</v>
      </c>
      <c r="L805" t="str">
        <f t="shared" si="138"/>
        <v>HUN</v>
      </c>
      <c r="M805">
        <v>4</v>
      </c>
      <c r="O805" s="83" t="s">
        <v>583</v>
      </c>
      <c r="P805" s="78">
        <v>45416</v>
      </c>
      <c r="Q805" t="str">
        <f t="shared" si="143"/>
        <v>Görgics Máté - Castrum</v>
      </c>
      <c r="R805" t="s">
        <v>636</v>
      </c>
      <c r="S805" t="s">
        <v>636</v>
      </c>
      <c r="T805" t="s">
        <v>645</v>
      </c>
    </row>
    <row r="806" spans="1:20" x14ac:dyDescent="0.3">
      <c r="A806" s="2" t="s">
        <v>582</v>
      </c>
      <c r="B806" s="50">
        <v>2</v>
      </c>
      <c r="C806">
        <v>70</v>
      </c>
      <c r="D806" t="str">
        <f t="shared" si="145"/>
        <v>Kumite</v>
      </c>
      <c r="E806" t="str">
        <f>"Kumite, -, 50-60 kg, Serdülő (13-14"</f>
        <v>Kumite, -, 50-60 kg, Serdülő (13-14</v>
      </c>
      <c r="F806" t="s">
        <v>532</v>
      </c>
      <c r="G806" s="50" t="str">
        <f>"11"</f>
        <v>11</v>
      </c>
      <c r="H806" t="str">
        <f>"16 fős egyenes kiesés"</f>
        <v>16 fős egyenes kiesés</v>
      </c>
      <c r="I806" s="50" t="str">
        <f>"3"</f>
        <v>3</v>
      </c>
      <c r="J806" t="str">
        <f>"Ilias Machmutovic"</f>
        <v>Ilias Machmutovic</v>
      </c>
      <c r="K806" t="str">
        <f>"K.O.DOJO"</f>
        <v>K.O.DOJO</v>
      </c>
      <c r="L806" t="str">
        <f>"AUT"</f>
        <v>AUT</v>
      </c>
      <c r="M806">
        <v>4</v>
      </c>
      <c r="O806" s="83" t="s">
        <v>583</v>
      </c>
      <c r="P806" s="78">
        <v>45416</v>
      </c>
      <c r="Q806" t="str">
        <f t="shared" si="143"/>
        <v>Ilias Machmutovic - K.O.DOJO</v>
      </c>
      <c r="R806" t="s">
        <v>637</v>
      </c>
      <c r="S806" t="s">
        <v>591</v>
      </c>
      <c r="T806" t="s">
        <v>645</v>
      </c>
    </row>
    <row r="807" spans="1:20" x14ac:dyDescent="0.3">
      <c r="A807" s="2" t="s">
        <v>582</v>
      </c>
      <c r="B807" s="50">
        <v>2</v>
      </c>
      <c r="C807">
        <v>71</v>
      </c>
      <c r="D807" t="str">
        <f t="shared" si="145"/>
        <v>Kumite</v>
      </c>
      <c r="E807" t="str">
        <f>"Kumite, -, 60-70 kg, Serdülő (13-14"</f>
        <v>Kumite, -, 60-70 kg, Serdülő (13-14</v>
      </c>
      <c r="F807" t="s">
        <v>533</v>
      </c>
      <c r="G807" s="50" t="str">
        <f>"3"</f>
        <v>3</v>
      </c>
      <c r="H807" t="str">
        <f>"3 fős körmérkőzés"</f>
        <v>3 fős körmérkőzés</v>
      </c>
      <c r="I807" s="50" t="str">
        <f>"1"</f>
        <v>1</v>
      </c>
      <c r="J807" t="str">
        <f>"Somoskői Botond Ders"</f>
        <v>Somoskői Botond Ders</v>
      </c>
      <c r="K807" t="str">
        <f>"BHMSE"</f>
        <v>BHMSE</v>
      </c>
      <c r="L807" t="str">
        <f t="shared" ref="L807:L831" si="148">"HUN"</f>
        <v>HUN</v>
      </c>
      <c r="M807">
        <v>4</v>
      </c>
      <c r="O807" s="83" t="s">
        <v>583</v>
      </c>
      <c r="P807" s="78">
        <v>45416</v>
      </c>
      <c r="Q807" t="str">
        <f t="shared" si="143"/>
        <v>Somoskői Botond Ders - BHMSE</v>
      </c>
      <c r="R807" t="s">
        <v>636</v>
      </c>
      <c r="S807" t="s">
        <v>636</v>
      </c>
      <c r="T807" t="s">
        <v>645</v>
      </c>
    </row>
    <row r="808" spans="1:20" x14ac:dyDescent="0.3">
      <c r="A808" s="2" t="s">
        <v>582</v>
      </c>
      <c r="B808" s="50">
        <v>2</v>
      </c>
      <c r="C808">
        <v>72</v>
      </c>
      <c r="D808" t="str">
        <f t="shared" si="145"/>
        <v>Kumite</v>
      </c>
      <c r="E808" t="str">
        <f>"Kumite, -, 60-70 kg, Serdülő (13-14"</f>
        <v>Kumite, -, 60-70 kg, Serdülő (13-14</v>
      </c>
      <c r="F808" t="s">
        <v>533</v>
      </c>
      <c r="G808" s="50" t="str">
        <f>"3"</f>
        <v>3</v>
      </c>
      <c r="H808" t="str">
        <f>"3 fős körmérkőzés"</f>
        <v>3 fős körmérkőzés</v>
      </c>
      <c r="I808" s="50" t="str">
        <f>"2"</f>
        <v>2</v>
      </c>
      <c r="J808" t="str">
        <f>"Tóth Károly"</f>
        <v>Tóth Károly</v>
      </c>
      <c r="K808" t="str">
        <f>"Rakurai"</f>
        <v>Rakurai</v>
      </c>
      <c r="L808" t="str">
        <f t="shared" si="148"/>
        <v>HUN</v>
      </c>
      <c r="M808">
        <v>3</v>
      </c>
      <c r="O808" s="83" t="s">
        <v>583</v>
      </c>
      <c r="P808" s="78">
        <v>45416</v>
      </c>
      <c r="Q808" t="str">
        <f t="shared" si="143"/>
        <v>Tóth Károly - Rakurai</v>
      </c>
      <c r="R808" t="s">
        <v>636</v>
      </c>
      <c r="S808" t="s">
        <v>636</v>
      </c>
      <c r="T808" t="s">
        <v>645</v>
      </c>
    </row>
    <row r="809" spans="1:20" x14ac:dyDescent="0.3">
      <c r="A809" s="2" t="s">
        <v>582</v>
      </c>
      <c r="B809" s="50">
        <v>2</v>
      </c>
      <c r="C809">
        <v>73</v>
      </c>
      <c r="D809" t="str">
        <f t="shared" si="145"/>
        <v>Kumite</v>
      </c>
      <c r="E809" t="str">
        <f>"Kumite, -, 60-70 kg, Serdülő (13-14"</f>
        <v>Kumite, -, 60-70 kg, Serdülő (13-14</v>
      </c>
      <c r="F809" t="s">
        <v>533</v>
      </c>
      <c r="G809" s="50" t="str">
        <f>"3"</f>
        <v>3</v>
      </c>
      <c r="H809" t="str">
        <f>"3 fős körmérkőzés"</f>
        <v>3 fős körmérkőzés</v>
      </c>
      <c r="I809" s="50" t="str">
        <f>"3"</f>
        <v>3</v>
      </c>
      <c r="J809" t="str">
        <f>"Kalamár László Thien"</f>
        <v>Kalamár László Thien</v>
      </c>
      <c r="K809" t="str">
        <f>"BHMSE"</f>
        <v>BHMSE</v>
      </c>
      <c r="L809" t="str">
        <f t="shared" si="148"/>
        <v>HUN</v>
      </c>
      <c r="M809">
        <v>0</v>
      </c>
      <c r="N809" t="s">
        <v>584</v>
      </c>
      <c r="O809" s="83" t="s">
        <v>583</v>
      </c>
      <c r="P809" s="78">
        <v>45416</v>
      </c>
      <c r="Q809" t="str">
        <f t="shared" si="143"/>
        <v>Kalamár László Thien - BHMSE</v>
      </c>
      <c r="R809" t="s">
        <v>636</v>
      </c>
      <c r="S809" t="s">
        <v>636</v>
      </c>
      <c r="T809" t="s">
        <v>645</v>
      </c>
    </row>
    <row r="810" spans="1:20" x14ac:dyDescent="0.3">
      <c r="A810" s="2" t="s">
        <v>582</v>
      </c>
      <c r="B810" s="50">
        <v>2</v>
      </c>
      <c r="C810">
        <v>74</v>
      </c>
      <c r="D810" t="str">
        <f>"Kata"</f>
        <v>Kata</v>
      </c>
      <c r="E810" t="str">
        <f>"Kata, -, 0-150 kg, Serdülő (13-14"</f>
        <v>Kata, -, 0-150 kg, Serdülő (13-14</v>
      </c>
      <c r="F810" t="s">
        <v>538</v>
      </c>
      <c r="G810" s="50" t="str">
        <f>"5"</f>
        <v>5</v>
      </c>
      <c r="H810" t="str">
        <f>"8 fős egyenes kiesés + 3. hely"</f>
        <v>8 fős egyenes kiesés + 3. hely</v>
      </c>
      <c r="I810" s="50" t="str">
        <f>"1"</f>
        <v>1</v>
      </c>
      <c r="J810" t="str">
        <f>"Böcskey Emese "</f>
        <v xml:space="preserve">Böcskey Emese </v>
      </c>
      <c r="K810" t="str">
        <f>"Nagy Sándor Dojo"</f>
        <v>Nagy Sándor Dojo</v>
      </c>
      <c r="L810" t="str">
        <f t="shared" si="148"/>
        <v>HUN</v>
      </c>
      <c r="M810">
        <v>5</v>
      </c>
      <c r="O810" s="83" t="s">
        <v>583</v>
      </c>
      <c r="P810" s="78">
        <v>45416</v>
      </c>
      <c r="Q810" t="str">
        <f t="shared" si="143"/>
        <v>Böcskey Emese  - Nagy Sándor Dojo</v>
      </c>
      <c r="R810" t="s">
        <v>637</v>
      </c>
      <c r="S810" t="s">
        <v>596</v>
      </c>
      <c r="T810" t="s">
        <v>645</v>
      </c>
    </row>
    <row r="811" spans="1:20" x14ac:dyDescent="0.3">
      <c r="A811" s="2" t="s">
        <v>582</v>
      </c>
      <c r="B811" s="50">
        <v>2</v>
      </c>
      <c r="C811">
        <v>75</v>
      </c>
      <c r="D811" t="str">
        <f>"Kata"</f>
        <v>Kata</v>
      </c>
      <c r="E811" t="str">
        <f>"Kata, -, 0-150 kg, Serdülő (13-14"</f>
        <v>Kata, -, 0-150 kg, Serdülő (13-14</v>
      </c>
      <c r="F811" t="s">
        <v>538</v>
      </c>
      <c r="G811" s="50" t="str">
        <f>"5"</f>
        <v>5</v>
      </c>
      <c r="H811" t="str">
        <f>"8 fős egyenes kiesés + 3. hely"</f>
        <v>8 fős egyenes kiesés + 3. hely</v>
      </c>
      <c r="I811" s="50" t="str">
        <f>"2"</f>
        <v>2</v>
      </c>
      <c r="J811" t="str">
        <f>"Sülyi Luca"</f>
        <v>Sülyi Luca</v>
      </c>
      <c r="K811" t="str">
        <f>"Főnix Dojo"</f>
        <v>Főnix Dojo</v>
      </c>
      <c r="L811" t="str">
        <f t="shared" si="148"/>
        <v>HUN</v>
      </c>
      <c r="M811">
        <v>4</v>
      </c>
      <c r="O811" s="83" t="s">
        <v>583</v>
      </c>
      <c r="P811" s="78">
        <v>45416</v>
      </c>
      <c r="Q811" t="str">
        <f t="shared" si="143"/>
        <v>Sülyi Luca - Főnix Dojo</v>
      </c>
      <c r="R811" t="s">
        <v>636</v>
      </c>
      <c r="S811" t="s">
        <v>636</v>
      </c>
      <c r="T811" t="s">
        <v>645</v>
      </c>
    </row>
    <row r="812" spans="1:20" x14ac:dyDescent="0.3">
      <c r="A812" s="2" t="s">
        <v>582</v>
      </c>
      <c r="B812" s="50">
        <v>2</v>
      </c>
      <c r="C812">
        <v>76</v>
      </c>
      <c r="D812" t="str">
        <f>"Kata"</f>
        <v>Kata</v>
      </c>
      <c r="E812" t="str">
        <f>"Kata, -, 0-150 kg, Serdülő (13-14"</f>
        <v>Kata, -, 0-150 kg, Serdülő (13-14</v>
      </c>
      <c r="F812" t="s">
        <v>538</v>
      </c>
      <c r="G812" s="50" t="str">
        <f>"5"</f>
        <v>5</v>
      </c>
      <c r="H812" t="str">
        <f>"8 fős egyenes kiesés + 3. hely"</f>
        <v>8 fős egyenes kiesés + 3. hely</v>
      </c>
      <c r="I812" s="50" t="str">
        <f>"3"</f>
        <v>3</v>
      </c>
      <c r="J812" t="str">
        <f>"Karap Virág"</f>
        <v>Karap Virág</v>
      </c>
      <c r="K812" t="str">
        <f>"Shogun"</f>
        <v>Shogun</v>
      </c>
      <c r="L812" t="str">
        <f t="shared" si="148"/>
        <v>HUN</v>
      </c>
      <c r="M812">
        <v>2</v>
      </c>
      <c r="O812" s="83" t="s">
        <v>583</v>
      </c>
      <c r="P812" s="78">
        <v>45416</v>
      </c>
      <c r="Q812" t="str">
        <f t="shared" si="143"/>
        <v>Karap Virág - Shogun</v>
      </c>
      <c r="R812" t="s">
        <v>636</v>
      </c>
      <c r="S812" t="s">
        <v>636</v>
      </c>
      <c r="T812" t="s">
        <v>645</v>
      </c>
    </row>
    <row r="813" spans="1:20" x14ac:dyDescent="0.3">
      <c r="A813" s="2" t="s">
        <v>582</v>
      </c>
      <c r="B813" s="50">
        <v>2</v>
      </c>
      <c r="C813">
        <v>77</v>
      </c>
      <c r="D813" t="str">
        <f>"Kata"</f>
        <v>Kata</v>
      </c>
      <c r="E813" t="str">
        <f>"Kata, -, 0-150 kg, Serdülő (13-14"</f>
        <v>Kata, -, 0-150 kg, Serdülő (13-14</v>
      </c>
      <c r="F813" t="s">
        <v>538</v>
      </c>
      <c r="G813" s="50" t="str">
        <f>"5"</f>
        <v>5</v>
      </c>
      <c r="H813" t="str">
        <f>"8 fős egyenes kiesés + 3. hely"</f>
        <v>8 fős egyenes kiesés + 3. hely</v>
      </c>
      <c r="I813" s="50" t="str">
        <f>"4"</f>
        <v>4</v>
      </c>
      <c r="J813" t="str">
        <f>"Karap Anna"</f>
        <v>Karap Anna</v>
      </c>
      <c r="K813" t="str">
        <f>"Shogun"</f>
        <v>Shogun</v>
      </c>
      <c r="L813" t="str">
        <f t="shared" si="148"/>
        <v>HUN</v>
      </c>
      <c r="M813">
        <v>0</v>
      </c>
      <c r="N813" t="s">
        <v>585</v>
      </c>
      <c r="O813" s="83" t="s">
        <v>583</v>
      </c>
      <c r="P813" s="78">
        <v>45416</v>
      </c>
      <c r="Q813" t="str">
        <f t="shared" si="143"/>
        <v>Karap Anna - Shogun</v>
      </c>
      <c r="R813" t="s">
        <v>636</v>
      </c>
      <c r="S813" t="s">
        <v>636</v>
      </c>
      <c r="T813" t="s">
        <v>645</v>
      </c>
    </row>
    <row r="814" spans="1:20" x14ac:dyDescent="0.3">
      <c r="A814" s="2" t="s">
        <v>582</v>
      </c>
      <c r="B814" s="50">
        <v>2</v>
      </c>
      <c r="C814">
        <v>78</v>
      </c>
      <c r="D814" t="str">
        <f t="shared" ref="D814:D820" si="149">"Kumite"</f>
        <v>Kumite</v>
      </c>
      <c r="E814" t="str">
        <f>"Kumite, -, 0-45 kg, Serdülő (13-14"</f>
        <v>Kumite, -, 0-45 kg, Serdülő (13-14</v>
      </c>
      <c r="F814" t="s">
        <v>536</v>
      </c>
      <c r="G814" s="50" t="str">
        <f>"3"</f>
        <v>3</v>
      </c>
      <c r="H814" t="str">
        <f>"3 fős körmérkőzés"</f>
        <v>3 fős körmérkőzés</v>
      </c>
      <c r="I814" s="50" t="str">
        <f>"1"</f>
        <v>1</v>
      </c>
      <c r="J814" t="str">
        <f>"Böcskey Emese "</f>
        <v xml:space="preserve">Böcskey Emese </v>
      </c>
      <c r="K814" t="str">
        <f>"Nagy Sándor Dojo"</f>
        <v>Nagy Sándor Dojo</v>
      </c>
      <c r="L814" t="str">
        <f t="shared" si="148"/>
        <v>HUN</v>
      </c>
      <c r="M814">
        <v>4</v>
      </c>
      <c r="O814" s="83" t="s">
        <v>583</v>
      </c>
      <c r="P814" s="78">
        <v>45416</v>
      </c>
      <c r="Q814" t="str">
        <f t="shared" si="143"/>
        <v>Böcskey Emese  - Nagy Sándor Dojo</v>
      </c>
      <c r="R814" t="s">
        <v>637</v>
      </c>
      <c r="S814" t="s">
        <v>596</v>
      </c>
      <c r="T814" t="s">
        <v>645</v>
      </c>
    </row>
    <row r="815" spans="1:20" x14ac:dyDescent="0.3">
      <c r="A815" s="2" t="s">
        <v>582</v>
      </c>
      <c r="B815" s="50">
        <v>2</v>
      </c>
      <c r="C815">
        <v>79</v>
      </c>
      <c r="D815" t="str">
        <f t="shared" si="149"/>
        <v>Kumite</v>
      </c>
      <c r="E815" t="str">
        <f>"Kumite, -, 0-45 kg, Serdülő (13-14"</f>
        <v>Kumite, -, 0-45 kg, Serdülő (13-14</v>
      </c>
      <c r="F815" t="s">
        <v>536</v>
      </c>
      <c r="G815" s="50" t="str">
        <f>"3"</f>
        <v>3</v>
      </c>
      <c r="H815" t="str">
        <f>"3 fős körmérkőzés"</f>
        <v>3 fős körmérkőzés</v>
      </c>
      <c r="I815" s="50" t="str">
        <f>"2"</f>
        <v>2</v>
      </c>
      <c r="J815" t="str">
        <f>"Sülyi Luca"</f>
        <v>Sülyi Luca</v>
      </c>
      <c r="K815" t="str">
        <f>"Főnix Dojo"</f>
        <v>Főnix Dojo</v>
      </c>
      <c r="L815" t="str">
        <f t="shared" si="148"/>
        <v>HUN</v>
      </c>
      <c r="M815">
        <v>3</v>
      </c>
      <c r="O815" s="83" t="s">
        <v>583</v>
      </c>
      <c r="P815" s="78">
        <v>45416</v>
      </c>
      <c r="Q815" t="str">
        <f t="shared" si="143"/>
        <v>Sülyi Luca - Főnix Dojo</v>
      </c>
      <c r="R815" t="s">
        <v>636</v>
      </c>
      <c r="S815" t="s">
        <v>636</v>
      </c>
      <c r="T815" t="s">
        <v>645</v>
      </c>
    </row>
    <row r="816" spans="1:20" x14ac:dyDescent="0.3">
      <c r="A816" s="2" t="s">
        <v>582</v>
      </c>
      <c r="B816" s="50">
        <v>2</v>
      </c>
      <c r="C816">
        <v>80</v>
      </c>
      <c r="D816" t="str">
        <f t="shared" si="149"/>
        <v>Kumite</v>
      </c>
      <c r="E816" t="str">
        <f>"Kumite, -, 0-45 kg, Serdülő (13-14"</f>
        <v>Kumite, -, 0-45 kg, Serdülő (13-14</v>
      </c>
      <c r="F816" t="s">
        <v>536</v>
      </c>
      <c r="G816" s="50" t="str">
        <f>"3"</f>
        <v>3</v>
      </c>
      <c r="H816" t="str">
        <f>"3 fős körmérkőzés"</f>
        <v>3 fős körmérkőzés</v>
      </c>
      <c r="I816" s="50" t="str">
        <f>"3"</f>
        <v>3</v>
      </c>
      <c r="J816" t="str">
        <f>"Ható Amanda"</f>
        <v>Ható Amanda</v>
      </c>
      <c r="K816" t="str">
        <f>"Rakurai"</f>
        <v>Rakurai</v>
      </c>
      <c r="L816" t="str">
        <f t="shared" si="148"/>
        <v>HUN</v>
      </c>
      <c r="M816">
        <v>0</v>
      </c>
      <c r="N816" t="s">
        <v>584</v>
      </c>
      <c r="O816" s="83" t="s">
        <v>583</v>
      </c>
      <c r="P816" s="78">
        <v>45416</v>
      </c>
      <c r="Q816" t="str">
        <f t="shared" si="143"/>
        <v>Ható Amanda - Rakurai</v>
      </c>
      <c r="R816" t="s">
        <v>636</v>
      </c>
      <c r="S816" t="s">
        <v>636</v>
      </c>
      <c r="T816" t="s">
        <v>645</v>
      </c>
    </row>
    <row r="817" spans="1:20" x14ac:dyDescent="0.3">
      <c r="A817" s="2" t="s">
        <v>582</v>
      </c>
      <c r="B817" s="50">
        <v>2</v>
      </c>
      <c r="C817">
        <v>81</v>
      </c>
      <c r="D817" t="str">
        <f t="shared" si="149"/>
        <v>Kumite</v>
      </c>
      <c r="E817" t="str">
        <f>"Kumite, -, 45-55 kg, Serdülő (13-14"</f>
        <v>Kumite, -, 45-55 kg, Serdülő (13-14</v>
      </c>
      <c r="F817" t="s">
        <v>539</v>
      </c>
      <c r="G817" s="50" t="str">
        <f>"4"</f>
        <v>4</v>
      </c>
      <c r="H817" t="str">
        <f>"4 fős körmérkőzés"</f>
        <v>4 fős körmérkőzés</v>
      </c>
      <c r="I817" s="50" t="str">
        <f>"1"</f>
        <v>1</v>
      </c>
      <c r="J817" t="str">
        <f>"Karap Virág"</f>
        <v>Karap Virág</v>
      </c>
      <c r="K817" t="str">
        <f>"Shogun"</f>
        <v>Shogun</v>
      </c>
      <c r="L817" t="str">
        <f t="shared" si="148"/>
        <v>HUN</v>
      </c>
      <c r="M817">
        <v>6</v>
      </c>
      <c r="O817" s="83" t="s">
        <v>583</v>
      </c>
      <c r="P817" s="78">
        <v>45416</v>
      </c>
      <c r="Q817" t="str">
        <f t="shared" si="143"/>
        <v>Karap Virág - Shogun</v>
      </c>
      <c r="R817" t="s">
        <v>636</v>
      </c>
      <c r="S817" t="s">
        <v>636</v>
      </c>
      <c r="T817" t="s">
        <v>645</v>
      </c>
    </row>
    <row r="818" spans="1:20" x14ac:dyDescent="0.3">
      <c r="A818" s="2" t="s">
        <v>582</v>
      </c>
      <c r="B818" s="50">
        <v>2</v>
      </c>
      <c r="C818">
        <v>82</v>
      </c>
      <c r="D818" t="str">
        <f t="shared" si="149"/>
        <v>Kumite</v>
      </c>
      <c r="E818" t="str">
        <f>"Kumite, -, 45-55 kg, Serdülő (13-14"</f>
        <v>Kumite, -, 45-55 kg, Serdülő (13-14</v>
      </c>
      <c r="F818" t="s">
        <v>539</v>
      </c>
      <c r="G818" s="50" t="str">
        <f>"4"</f>
        <v>4</v>
      </c>
      <c r="H818" t="str">
        <f>"4 fős körmérkőzés"</f>
        <v>4 fős körmérkőzés</v>
      </c>
      <c r="I818" s="50" t="str">
        <f>"2"</f>
        <v>2</v>
      </c>
      <c r="J818" t="str">
        <f>"Karap Anna"</f>
        <v>Karap Anna</v>
      </c>
      <c r="K818" t="str">
        <f>"Shogun"</f>
        <v>Shogun</v>
      </c>
      <c r="L818" t="str">
        <f t="shared" si="148"/>
        <v>HUN</v>
      </c>
      <c r="M818">
        <v>5</v>
      </c>
      <c r="O818" s="83" t="s">
        <v>583</v>
      </c>
      <c r="P818" s="78">
        <v>45416</v>
      </c>
      <c r="Q818" t="str">
        <f t="shared" si="143"/>
        <v>Karap Anna - Shogun</v>
      </c>
      <c r="R818" t="s">
        <v>636</v>
      </c>
      <c r="S818" t="s">
        <v>636</v>
      </c>
      <c r="T818" t="s">
        <v>645</v>
      </c>
    </row>
    <row r="819" spans="1:20" x14ac:dyDescent="0.3">
      <c r="A819" s="2" t="s">
        <v>582</v>
      </c>
      <c r="B819" s="50">
        <v>2</v>
      </c>
      <c r="C819">
        <v>83</v>
      </c>
      <c r="D819" t="str">
        <f t="shared" si="149"/>
        <v>Kumite</v>
      </c>
      <c r="E819" t="str">
        <f>"Kumite, -, 45-55 kg, Serdülő (13-14"</f>
        <v>Kumite, -, 45-55 kg, Serdülő (13-14</v>
      </c>
      <c r="F819" t="s">
        <v>539</v>
      </c>
      <c r="G819" s="50" t="str">
        <f>"4"</f>
        <v>4</v>
      </c>
      <c r="H819" t="str">
        <f>"4 fős körmérkőzés"</f>
        <v>4 fős körmérkőzés</v>
      </c>
      <c r="I819" s="50" t="str">
        <f>"3"</f>
        <v>3</v>
      </c>
      <c r="J819" t="str">
        <f>"Serfőző Lia Zoé"</f>
        <v>Serfőző Lia Zoé</v>
      </c>
      <c r="K819" t="str">
        <f>"Castrum"</f>
        <v>Castrum</v>
      </c>
      <c r="L819" t="str">
        <f t="shared" si="148"/>
        <v>HUN</v>
      </c>
      <c r="M819">
        <v>3</v>
      </c>
      <c r="O819" s="83" t="s">
        <v>583</v>
      </c>
      <c r="P819" s="78">
        <v>45416</v>
      </c>
      <c r="Q819" t="str">
        <f t="shared" si="143"/>
        <v>Serfőző Lia Zoé - Castrum</v>
      </c>
      <c r="R819" t="s">
        <v>636</v>
      </c>
      <c r="S819" t="s">
        <v>636</v>
      </c>
      <c r="T819" t="s">
        <v>645</v>
      </c>
    </row>
    <row r="820" spans="1:20" x14ac:dyDescent="0.3">
      <c r="A820" s="2" t="s">
        <v>582</v>
      </c>
      <c r="B820" s="50">
        <v>2</v>
      </c>
      <c r="C820">
        <v>84</v>
      </c>
      <c r="D820" t="str">
        <f t="shared" si="149"/>
        <v>Kumite</v>
      </c>
      <c r="E820" t="str">
        <f>"Kumite, -, 65-150 kg, Serdülő (13-14"</f>
        <v>Kumite, -, 65-150 kg, Serdülő (13-14</v>
      </c>
      <c r="F820" t="s">
        <v>543</v>
      </c>
      <c r="G820" s="50" t="str">
        <f>"2"</f>
        <v>2</v>
      </c>
      <c r="H820" t="str">
        <f>"2 fős egyenes kiesés"</f>
        <v>2 fős egyenes kiesés</v>
      </c>
      <c r="I820" s="50" t="str">
        <f>"1"</f>
        <v>1</v>
      </c>
      <c r="J820" t="str">
        <f>"Soós Flóra"</f>
        <v>Soós Flóra</v>
      </c>
      <c r="K820" t="str">
        <f>"Nagykátai Bushido SE"</f>
        <v>Nagykátai Bushido SE</v>
      </c>
      <c r="L820" t="str">
        <f t="shared" si="148"/>
        <v>HUN</v>
      </c>
      <c r="M820">
        <v>3</v>
      </c>
      <c r="O820" s="83" t="s">
        <v>583</v>
      </c>
      <c r="P820" s="78">
        <v>45416</v>
      </c>
      <c r="Q820" t="str">
        <f t="shared" si="143"/>
        <v>Soós Flóra - Nagykátai Bushido SE</v>
      </c>
      <c r="R820" t="s">
        <v>636</v>
      </c>
      <c r="S820" t="s">
        <v>636</v>
      </c>
      <c r="T820" t="s">
        <v>645</v>
      </c>
    </row>
    <row r="821" spans="1:20" x14ac:dyDescent="0.3">
      <c r="A821" s="2" t="s">
        <v>582</v>
      </c>
      <c r="B821" s="50">
        <v>2</v>
      </c>
      <c r="C821">
        <v>85</v>
      </c>
      <c r="D821" t="str">
        <f t="shared" si="144"/>
        <v>Kumite</v>
      </c>
      <c r="E821" t="str">
        <f>"Kumite, -, 65-150 kg, Serdülő (13-14"</f>
        <v>Kumite, -, 65-150 kg, Serdülő (13-14</v>
      </c>
      <c r="F821" t="s">
        <v>543</v>
      </c>
      <c r="G821" s="50" t="str">
        <f>"2"</f>
        <v>2</v>
      </c>
      <c r="H821" t="str">
        <f>"2 fős egyenes kiesés"</f>
        <v>2 fős egyenes kiesés</v>
      </c>
      <c r="I821" s="50" t="str">
        <f>"2"</f>
        <v>2</v>
      </c>
      <c r="J821" t="str">
        <f>"Bota Sára"</f>
        <v>Bota Sára</v>
      </c>
      <c r="K821" t="str">
        <f>"Rakurai"</f>
        <v>Rakurai</v>
      </c>
      <c r="L821" t="str">
        <f t="shared" si="138"/>
        <v>HUN</v>
      </c>
      <c r="M821">
        <v>0</v>
      </c>
      <c r="O821" s="83" t="s">
        <v>583</v>
      </c>
      <c r="P821" s="78">
        <v>45416</v>
      </c>
      <c r="Q821" t="str">
        <f t="shared" si="143"/>
        <v>Bota Sára - Rakurai</v>
      </c>
      <c r="R821" t="s">
        <v>636</v>
      </c>
      <c r="S821" t="s">
        <v>636</v>
      </c>
      <c r="T821" t="s">
        <v>645</v>
      </c>
    </row>
    <row r="822" spans="1:20" x14ac:dyDescent="0.3">
      <c r="A822" s="2" t="s">
        <v>582</v>
      </c>
      <c r="B822" s="50">
        <v>2</v>
      </c>
      <c r="C822">
        <v>86</v>
      </c>
      <c r="D822" t="str">
        <f>"Kata"</f>
        <v>Kata</v>
      </c>
      <c r="E822" t="str">
        <f>"Kata, -, 0-160 kg, Ifjúsági (15-16"</f>
        <v>Kata, -, 0-160 kg, Ifjúsági (15-16</v>
      </c>
      <c r="F822" t="s">
        <v>548</v>
      </c>
      <c r="G822" s="50" t="str">
        <f>"5"</f>
        <v>5</v>
      </c>
      <c r="H822" t="s">
        <v>587</v>
      </c>
      <c r="I822" s="50" t="str">
        <f>"1"</f>
        <v>1</v>
      </c>
      <c r="J822" t="str">
        <f>"Terbócs Roland"</f>
        <v>Terbócs Roland</v>
      </c>
      <c r="K822" t="str">
        <f>"Shogun"</f>
        <v>Shogun</v>
      </c>
      <c r="L822" t="str">
        <f t="shared" si="148"/>
        <v>HUN</v>
      </c>
      <c r="M822">
        <v>5</v>
      </c>
      <c r="O822" s="83" t="s">
        <v>583</v>
      </c>
      <c r="P822" s="78">
        <v>45416</v>
      </c>
      <c r="Q822" t="str">
        <f t="shared" si="143"/>
        <v>Terbócs Roland - Shogun</v>
      </c>
      <c r="R822" t="s">
        <v>636</v>
      </c>
      <c r="S822" t="s">
        <v>636</v>
      </c>
      <c r="T822" t="s">
        <v>645</v>
      </c>
    </row>
    <row r="823" spans="1:20" x14ac:dyDescent="0.3">
      <c r="A823" s="2" t="s">
        <v>582</v>
      </c>
      <c r="B823" s="50">
        <v>2</v>
      </c>
      <c r="C823">
        <v>87</v>
      </c>
      <c r="D823" t="str">
        <f>"Kata"</f>
        <v>Kata</v>
      </c>
      <c r="E823" t="str">
        <f>"Kata, -, 0-160 kg, Ifjúsági (15-16"</f>
        <v>Kata, -, 0-160 kg, Ifjúsági (15-16</v>
      </c>
      <c r="F823" t="s">
        <v>548</v>
      </c>
      <c r="G823" s="50" t="str">
        <f>"5"</f>
        <v>5</v>
      </c>
      <c r="H823" t="s">
        <v>587</v>
      </c>
      <c r="I823" s="50" t="str">
        <f>"2"</f>
        <v>2</v>
      </c>
      <c r="J823" t="s">
        <v>586</v>
      </c>
      <c r="K823" t="str">
        <f>"Főnix Dojo"</f>
        <v>Főnix Dojo</v>
      </c>
      <c r="L823" t="str">
        <f t="shared" si="148"/>
        <v>HUN</v>
      </c>
      <c r="M823">
        <v>4</v>
      </c>
      <c r="O823" s="83" t="s">
        <v>583</v>
      </c>
      <c r="P823" s="78">
        <v>45416</v>
      </c>
      <c r="Q823" t="str">
        <f t="shared" si="143"/>
        <v>Bessenyei Csongor - Főnix Dojo</v>
      </c>
      <c r="R823" t="s">
        <v>636</v>
      </c>
      <c r="S823" t="s">
        <v>636</v>
      </c>
      <c r="T823" t="s">
        <v>645</v>
      </c>
    </row>
    <row r="824" spans="1:20" x14ac:dyDescent="0.3">
      <c r="A824" s="2" t="s">
        <v>582</v>
      </c>
      <c r="B824" s="50">
        <v>2</v>
      </c>
      <c r="C824">
        <v>88</v>
      </c>
      <c r="D824" t="str">
        <f>"Kata"</f>
        <v>Kata</v>
      </c>
      <c r="E824" t="str">
        <f>"Kata, -, 0-160 kg, Ifjúsági (15-16"</f>
        <v>Kata, -, 0-160 kg, Ifjúsági (15-16</v>
      </c>
      <c r="F824" t="s">
        <v>548</v>
      </c>
      <c r="G824" s="50" t="str">
        <f>"5"</f>
        <v>5</v>
      </c>
      <c r="H824" t="s">
        <v>587</v>
      </c>
      <c r="I824" s="50" t="str">
        <f>"3"</f>
        <v>3</v>
      </c>
      <c r="J824" t="str">
        <f>"Vágó Márton"</f>
        <v>Vágó Márton</v>
      </c>
      <c r="K824" t="str">
        <f>"Shogun"</f>
        <v>Shogun</v>
      </c>
      <c r="L824" t="str">
        <f t="shared" si="148"/>
        <v>HUN</v>
      </c>
      <c r="M824">
        <v>2</v>
      </c>
      <c r="O824" s="83" t="s">
        <v>583</v>
      </c>
      <c r="P824" s="78">
        <v>45416</v>
      </c>
      <c r="Q824" t="str">
        <f t="shared" si="143"/>
        <v>Vágó Márton - Shogun</v>
      </c>
      <c r="R824" t="s">
        <v>636</v>
      </c>
      <c r="S824" t="s">
        <v>636</v>
      </c>
      <c r="T824" t="s">
        <v>645</v>
      </c>
    </row>
    <row r="825" spans="1:20" x14ac:dyDescent="0.3">
      <c r="A825" s="2" t="s">
        <v>582</v>
      </c>
      <c r="B825" s="50">
        <v>2</v>
      </c>
      <c r="C825">
        <v>89</v>
      </c>
      <c r="D825" t="str">
        <f t="shared" ref="D825:D838" si="150">"Kumite"</f>
        <v>Kumite</v>
      </c>
      <c r="E825" t="str">
        <f>"Kumite, -, 0-50 kg, Ifjúsági (15-16"</f>
        <v>Kumite, -, 0-50 kg, Ifjúsági (15-16</v>
      </c>
      <c r="F825" t="s">
        <v>541</v>
      </c>
      <c r="G825" s="50" t="str">
        <f>"4"</f>
        <v>4</v>
      </c>
      <c r="H825" t="str">
        <f>"4 fős körmérkőzés"</f>
        <v>4 fős körmérkőzés</v>
      </c>
      <c r="I825" s="50" t="str">
        <f>"1"</f>
        <v>1</v>
      </c>
      <c r="J825" t="str">
        <f>"Geiszt Márton"</f>
        <v>Geiszt Márton</v>
      </c>
      <c r="K825" t="str">
        <f>"Főnix Dojo"</f>
        <v>Főnix Dojo</v>
      </c>
      <c r="L825" t="str">
        <f t="shared" si="148"/>
        <v>HUN</v>
      </c>
      <c r="M825">
        <v>6</v>
      </c>
      <c r="O825" s="83" t="s">
        <v>583</v>
      </c>
      <c r="P825" s="78">
        <v>45416</v>
      </c>
      <c r="Q825" t="str">
        <f t="shared" si="143"/>
        <v>Geiszt Márton - Főnix Dojo</v>
      </c>
      <c r="R825" t="s">
        <v>636</v>
      </c>
      <c r="S825" t="s">
        <v>636</v>
      </c>
      <c r="T825" t="s">
        <v>645</v>
      </c>
    </row>
    <row r="826" spans="1:20" x14ac:dyDescent="0.3">
      <c r="A826" s="2" t="s">
        <v>582</v>
      </c>
      <c r="B826" s="50">
        <v>2</v>
      </c>
      <c r="C826">
        <v>90</v>
      </c>
      <c r="D826" t="str">
        <f t="shared" si="150"/>
        <v>Kumite</v>
      </c>
      <c r="E826" t="str">
        <f>"Kumite, -, 0-50 kg, Ifjúsági (15-16"</f>
        <v>Kumite, -, 0-50 kg, Ifjúsági (15-16</v>
      </c>
      <c r="F826" t="s">
        <v>541</v>
      </c>
      <c r="G826" s="50" t="str">
        <f>"4"</f>
        <v>4</v>
      </c>
      <c r="H826" t="str">
        <f>"4 fős körmérkőzés"</f>
        <v>4 fős körmérkőzés</v>
      </c>
      <c r="I826" s="50" t="str">
        <f>"2"</f>
        <v>2</v>
      </c>
      <c r="J826" t="str">
        <f>"Kállai László"</f>
        <v>Kállai László</v>
      </c>
      <c r="K826" t="str">
        <f>"Victory"</f>
        <v>Victory</v>
      </c>
      <c r="L826" t="str">
        <f t="shared" si="148"/>
        <v>HUN</v>
      </c>
      <c r="M826">
        <v>5</v>
      </c>
      <c r="O826" s="83" t="s">
        <v>583</v>
      </c>
      <c r="P826" s="78">
        <v>45416</v>
      </c>
      <c r="Q826" t="str">
        <f t="shared" si="143"/>
        <v>Kállai László - Victory</v>
      </c>
      <c r="R826" t="s">
        <v>636</v>
      </c>
      <c r="S826" t="s">
        <v>636</v>
      </c>
      <c r="T826" t="s">
        <v>645</v>
      </c>
    </row>
    <row r="827" spans="1:20" x14ac:dyDescent="0.3">
      <c r="A827" s="2" t="s">
        <v>582</v>
      </c>
      <c r="B827" s="50">
        <v>2</v>
      </c>
      <c r="C827">
        <v>91</v>
      </c>
      <c r="D827" t="str">
        <f t="shared" si="150"/>
        <v>Kumite</v>
      </c>
      <c r="E827" t="str">
        <f>"Kumite, -, 0-50 kg, Ifjúsági (15-16"</f>
        <v>Kumite, -, 0-50 kg, Ifjúsági (15-16</v>
      </c>
      <c r="F827" t="s">
        <v>541</v>
      </c>
      <c r="G827" s="50" t="str">
        <f>"4"</f>
        <v>4</v>
      </c>
      <c r="H827" t="str">
        <f>"4 fős körmérkőzés"</f>
        <v>4 fős körmérkőzés</v>
      </c>
      <c r="I827" s="50" t="str">
        <f>"3"</f>
        <v>3</v>
      </c>
      <c r="J827" t="str">
        <f>"Lakos Ádám"</f>
        <v>Lakos Ádám</v>
      </c>
      <c r="K827" t="str">
        <f>"Victory"</f>
        <v>Victory</v>
      </c>
      <c r="L827" t="str">
        <f t="shared" si="148"/>
        <v>HUN</v>
      </c>
      <c r="M827">
        <v>3</v>
      </c>
      <c r="O827" s="83" t="s">
        <v>583</v>
      </c>
      <c r="P827" s="78">
        <v>45416</v>
      </c>
      <c r="Q827" t="str">
        <f t="shared" si="143"/>
        <v>Lakos Ádám - Victory</v>
      </c>
      <c r="R827" t="s">
        <v>636</v>
      </c>
      <c r="S827" t="s">
        <v>636</v>
      </c>
      <c r="T827" t="s">
        <v>645</v>
      </c>
    </row>
    <row r="828" spans="1:20" x14ac:dyDescent="0.3">
      <c r="A828" s="2" t="s">
        <v>582</v>
      </c>
      <c r="B828" s="50">
        <v>2</v>
      </c>
      <c r="C828">
        <v>92</v>
      </c>
      <c r="D828" t="str">
        <f t="shared" si="150"/>
        <v>Kumite</v>
      </c>
      <c r="E828" t="str">
        <f>"Kumite, -, 55-60 kg, Ifjúsági (15-16"</f>
        <v>Kumite, -, 55-60 kg, Ifjúsági (15-16</v>
      </c>
      <c r="F828" t="s">
        <v>544</v>
      </c>
      <c r="G828" s="50" t="str">
        <f>"3"</f>
        <v>3</v>
      </c>
      <c r="H828" t="str">
        <f>"3 fős körmérkőzés"</f>
        <v>3 fős körmérkőzés</v>
      </c>
      <c r="I828" s="50" t="str">
        <f>"1"</f>
        <v>1</v>
      </c>
      <c r="J828" t="str">
        <f>"Nagy Benedek"</f>
        <v>Nagy Benedek</v>
      </c>
      <c r="K828" t="str">
        <f>"Nagy Sándor Dojo"</f>
        <v>Nagy Sándor Dojo</v>
      </c>
      <c r="L828" t="str">
        <f t="shared" si="148"/>
        <v>HUN</v>
      </c>
      <c r="M828">
        <v>4</v>
      </c>
      <c r="O828" s="83" t="s">
        <v>583</v>
      </c>
      <c r="P828" s="78">
        <v>45416</v>
      </c>
      <c r="Q828" t="str">
        <f t="shared" si="143"/>
        <v>Nagy Benedek - Nagy Sándor Dojo</v>
      </c>
      <c r="R828" t="s">
        <v>637</v>
      </c>
      <c r="S828" t="s">
        <v>596</v>
      </c>
      <c r="T828" t="s">
        <v>645</v>
      </c>
    </row>
    <row r="829" spans="1:20" x14ac:dyDescent="0.3">
      <c r="A829" s="2" t="s">
        <v>582</v>
      </c>
      <c r="B829" s="50">
        <v>2</v>
      </c>
      <c r="C829">
        <v>93</v>
      </c>
      <c r="D829" t="str">
        <f t="shared" si="150"/>
        <v>Kumite</v>
      </c>
      <c r="E829" t="str">
        <f>"Kumite, -, 55-60 kg, Ifjúsági (15-16"</f>
        <v>Kumite, -, 55-60 kg, Ifjúsági (15-16</v>
      </c>
      <c r="F829" t="s">
        <v>544</v>
      </c>
      <c r="G829" s="50" t="str">
        <f>"3"</f>
        <v>3</v>
      </c>
      <c r="H829" t="str">
        <f>"3 fős körmérkőzés"</f>
        <v>3 fős körmérkőzés</v>
      </c>
      <c r="I829" s="50" t="str">
        <f>"2"</f>
        <v>2</v>
      </c>
      <c r="J829" t="str">
        <f>"Horváth Máté Gergő"</f>
        <v>Horváth Máté Gergő</v>
      </c>
      <c r="K829" t="str">
        <f>"Seibukai Kyokushin D"</f>
        <v>Seibukai Kyokushin D</v>
      </c>
      <c r="L829" t="str">
        <f t="shared" si="148"/>
        <v>HUN</v>
      </c>
      <c r="M829">
        <v>3</v>
      </c>
      <c r="O829" s="83" t="s">
        <v>583</v>
      </c>
      <c r="P829" s="78">
        <v>45416</v>
      </c>
      <c r="Q829" t="str">
        <f t="shared" si="143"/>
        <v>Horváth Máté Gergő - Seibukai Kyokushin D</v>
      </c>
      <c r="R829" t="s">
        <v>637</v>
      </c>
      <c r="S829" t="s">
        <v>598</v>
      </c>
      <c r="T829" t="s">
        <v>645</v>
      </c>
    </row>
    <row r="830" spans="1:20" x14ac:dyDescent="0.3">
      <c r="A830" s="2" t="s">
        <v>582</v>
      </c>
      <c r="B830" s="50">
        <v>2</v>
      </c>
      <c r="C830">
        <v>94</v>
      </c>
      <c r="D830" t="str">
        <f t="shared" si="150"/>
        <v>Kumite</v>
      </c>
      <c r="E830" t="str">
        <f>"Kumite, -, 55-60 kg, Ifjúsági (15-16"</f>
        <v>Kumite, -, 55-60 kg, Ifjúsági (15-16</v>
      </c>
      <c r="F830" t="s">
        <v>544</v>
      </c>
      <c r="G830" s="50" t="str">
        <f>"3"</f>
        <v>3</v>
      </c>
      <c r="H830" t="str">
        <f>"3 fős körmérkőzés"</f>
        <v>3 fős körmérkőzés</v>
      </c>
      <c r="I830" s="50" t="str">
        <f>"3"</f>
        <v>3</v>
      </c>
      <c r="J830" t="str">
        <f>"Serfőző Zalán"</f>
        <v>Serfőző Zalán</v>
      </c>
      <c r="K830" t="str">
        <f>"Castrum"</f>
        <v>Castrum</v>
      </c>
      <c r="L830" t="str">
        <f t="shared" si="148"/>
        <v>HUN</v>
      </c>
      <c r="M830">
        <v>0</v>
      </c>
      <c r="N830" t="s">
        <v>584</v>
      </c>
      <c r="O830" s="83" t="s">
        <v>583</v>
      </c>
      <c r="P830" s="78">
        <v>45416</v>
      </c>
      <c r="Q830" t="str">
        <f t="shared" si="143"/>
        <v>Serfőző Zalán - Castrum</v>
      </c>
      <c r="R830" t="s">
        <v>636</v>
      </c>
      <c r="S830" t="s">
        <v>636</v>
      </c>
      <c r="T830" t="s">
        <v>645</v>
      </c>
    </row>
    <row r="831" spans="1:20" x14ac:dyDescent="0.3">
      <c r="A831" s="2" t="s">
        <v>582</v>
      </c>
      <c r="B831" s="50">
        <v>2</v>
      </c>
      <c r="C831">
        <v>95</v>
      </c>
      <c r="D831" t="str">
        <f t="shared" si="150"/>
        <v>Kumite</v>
      </c>
      <c r="E831" t="str">
        <f>"Kumite, -, 70-75 kg, Ifjúsági (15-16"</f>
        <v>Kumite, -, 70-75 kg, Ifjúsági (15-16</v>
      </c>
      <c r="F831" t="s">
        <v>556</v>
      </c>
      <c r="G831" s="50" t="str">
        <f>"5"</f>
        <v>5</v>
      </c>
      <c r="H831" t="str">
        <f>"5 fős körmérkőzés"</f>
        <v>5 fős körmérkőzés</v>
      </c>
      <c r="I831" s="50" t="str">
        <f>"1"</f>
        <v>1</v>
      </c>
      <c r="J831" t="str">
        <f>"Bessenyei Csongor"</f>
        <v>Bessenyei Csongor</v>
      </c>
      <c r="K831" t="str">
        <f>"Shogun"</f>
        <v>Shogun</v>
      </c>
      <c r="L831" t="str">
        <f t="shared" si="148"/>
        <v>HUN</v>
      </c>
      <c r="M831">
        <v>8</v>
      </c>
      <c r="O831" s="83" t="s">
        <v>583</v>
      </c>
      <c r="P831" s="78">
        <v>45416</v>
      </c>
      <c r="Q831" t="str">
        <f t="shared" si="143"/>
        <v>Bessenyei Csongor - Shogun</v>
      </c>
      <c r="R831" t="s">
        <v>636</v>
      </c>
      <c r="S831" t="s">
        <v>636</v>
      </c>
      <c r="T831" t="s">
        <v>645</v>
      </c>
    </row>
    <row r="832" spans="1:20" x14ac:dyDescent="0.3">
      <c r="A832" s="2" t="s">
        <v>582</v>
      </c>
      <c r="B832" s="50">
        <v>2</v>
      </c>
      <c r="C832">
        <v>96</v>
      </c>
      <c r="D832" t="str">
        <f t="shared" si="150"/>
        <v>Kumite</v>
      </c>
      <c r="E832" t="str">
        <f>"Kumite, -, 70-75 kg, Ifjúsági (15-16"</f>
        <v>Kumite, -, 70-75 kg, Ifjúsági (15-16</v>
      </c>
      <c r="F832" t="s">
        <v>556</v>
      </c>
      <c r="G832" s="50" t="str">
        <f>"5"</f>
        <v>5</v>
      </c>
      <c r="H832" t="str">
        <f>"5 fős körmérkőzés"</f>
        <v>5 fős körmérkőzés</v>
      </c>
      <c r="I832" s="50" t="str">
        <f>"2"</f>
        <v>2</v>
      </c>
      <c r="J832" t="str">
        <f>"Bíró Bendegúz"</f>
        <v>Bíró Bendegúz</v>
      </c>
      <c r="K832" t="str">
        <f>"Seishin Karate Klub"</f>
        <v>Seishin Karate Klub</v>
      </c>
      <c r="L832" t="str">
        <f>"SVK"</f>
        <v>SVK</v>
      </c>
      <c r="M832">
        <v>6</v>
      </c>
      <c r="O832" s="83" t="s">
        <v>583</v>
      </c>
      <c r="P832" s="78">
        <v>45416</v>
      </c>
      <c r="Q832" t="str">
        <f t="shared" si="143"/>
        <v>Bíró Bendegúz - Seishin Karate Klub</v>
      </c>
      <c r="R832" t="s">
        <v>637</v>
      </c>
      <c r="S832" t="s">
        <v>594</v>
      </c>
      <c r="T832" t="s">
        <v>645</v>
      </c>
    </row>
    <row r="833" spans="1:20" x14ac:dyDescent="0.3">
      <c r="A833" s="2" t="s">
        <v>582</v>
      </c>
      <c r="B833" s="50">
        <v>2</v>
      </c>
      <c r="C833">
        <v>97</v>
      </c>
      <c r="D833" t="str">
        <f t="shared" si="150"/>
        <v>Kumite</v>
      </c>
      <c r="E833" t="str">
        <f>"Kumite, -, 70-75 kg, Ifjúsági (15-16"</f>
        <v>Kumite, -, 70-75 kg, Ifjúsági (15-16</v>
      </c>
      <c r="F833" t="s">
        <v>556</v>
      </c>
      <c r="G833" s="50" t="str">
        <f>"5"</f>
        <v>5</v>
      </c>
      <c r="H833" t="str">
        <f>"5 fős körmérkőzés"</f>
        <v>5 fős körmérkőzés</v>
      </c>
      <c r="I833" s="50" t="str">
        <f>"3"</f>
        <v>3</v>
      </c>
      <c r="J833" t="str">
        <f>"Semsey Marcell"</f>
        <v>Semsey Marcell</v>
      </c>
      <c r="K833" t="str">
        <f>"BHMSE"</f>
        <v>BHMSE</v>
      </c>
      <c r="L833" t="str">
        <f t="shared" ref="L833:L846" si="151">"HUN"</f>
        <v>HUN</v>
      </c>
      <c r="M833">
        <v>4</v>
      </c>
      <c r="O833" s="83" t="s">
        <v>583</v>
      </c>
      <c r="P833" s="78">
        <v>45416</v>
      </c>
      <c r="Q833" t="str">
        <f t="shared" si="143"/>
        <v>Semsey Marcell - BHMSE</v>
      </c>
      <c r="R833" t="s">
        <v>636</v>
      </c>
      <c r="S833" t="s">
        <v>636</v>
      </c>
      <c r="T833" t="s">
        <v>645</v>
      </c>
    </row>
    <row r="834" spans="1:20" x14ac:dyDescent="0.3">
      <c r="A834" s="2" t="s">
        <v>582</v>
      </c>
      <c r="B834" s="50">
        <v>2</v>
      </c>
      <c r="C834">
        <v>98</v>
      </c>
      <c r="D834" t="str">
        <f t="shared" si="150"/>
        <v>Kumite</v>
      </c>
      <c r="E834" t="str">
        <f>"Kumite, -, 70-75 kg, Ifjúsági (15-16"</f>
        <v>Kumite, -, 70-75 kg, Ifjúsági (15-16</v>
      </c>
      <c r="F834" t="s">
        <v>556</v>
      </c>
      <c r="G834" s="50" t="str">
        <f>"5"</f>
        <v>5</v>
      </c>
      <c r="H834" t="str">
        <f>"5 fős körmérkőzés"</f>
        <v>5 fős körmérkőzés</v>
      </c>
      <c r="I834" s="50">
        <v>4</v>
      </c>
      <c r="J834" t="s">
        <v>590</v>
      </c>
      <c r="K834" t="str">
        <f>"K.O.DOJO"</f>
        <v>K.O.DOJO</v>
      </c>
      <c r="L834" t="s">
        <v>591</v>
      </c>
      <c r="M834">
        <v>3</v>
      </c>
      <c r="N834" t="s">
        <v>589</v>
      </c>
      <c r="O834" s="83" t="s">
        <v>583</v>
      </c>
      <c r="P834" s="78">
        <v>45416</v>
      </c>
      <c r="Q834" t="str">
        <f t="shared" si="143"/>
        <v>Sewed Hussein-Hajimirza - K.O.DOJO</v>
      </c>
      <c r="R834" t="s">
        <v>637</v>
      </c>
      <c r="S834" t="s">
        <v>591</v>
      </c>
      <c r="T834" t="s">
        <v>645</v>
      </c>
    </row>
    <row r="835" spans="1:20" x14ac:dyDescent="0.3">
      <c r="A835" s="2" t="s">
        <v>582</v>
      </c>
      <c r="B835" s="50">
        <v>2</v>
      </c>
      <c r="C835">
        <v>99</v>
      </c>
      <c r="D835" t="str">
        <f t="shared" si="150"/>
        <v>Kumite</v>
      </c>
      <c r="E835" t="str">
        <f>"Kumite, -, 75-200 kg, Ifjúsági (15-16"</f>
        <v>Kumite, -, 75-200 kg, Ifjúsági (15-16</v>
      </c>
      <c r="F835" t="s">
        <v>547</v>
      </c>
      <c r="G835" s="50" t="str">
        <f>"4"</f>
        <v>4</v>
      </c>
      <c r="H835" t="str">
        <f>"4 fős körmérkőzés"</f>
        <v>4 fős körmérkőzés</v>
      </c>
      <c r="I835" s="50" t="str">
        <f>"1"</f>
        <v>1</v>
      </c>
      <c r="J835" t="str">
        <f>"Csorba Kristóf"</f>
        <v>Csorba Kristóf</v>
      </c>
      <c r="K835" t="str">
        <f>"Shogun"</f>
        <v>Shogun</v>
      </c>
      <c r="L835" t="str">
        <f t="shared" si="151"/>
        <v>HUN</v>
      </c>
      <c r="M835">
        <v>6</v>
      </c>
      <c r="O835" s="83" t="s">
        <v>583</v>
      </c>
      <c r="P835" s="78">
        <v>45416</v>
      </c>
      <c r="Q835" t="str">
        <f t="shared" ref="Q835:Q898" si="152">J835&amp;" - "&amp;K835</f>
        <v>Csorba Kristóf - Shogun</v>
      </c>
      <c r="R835" t="s">
        <v>636</v>
      </c>
      <c r="S835" t="s">
        <v>636</v>
      </c>
      <c r="T835" t="s">
        <v>645</v>
      </c>
    </row>
    <row r="836" spans="1:20" x14ac:dyDescent="0.3">
      <c r="A836" s="2" t="s">
        <v>582</v>
      </c>
      <c r="B836" s="50">
        <v>2</v>
      </c>
      <c r="C836">
        <v>100</v>
      </c>
      <c r="D836" t="str">
        <f t="shared" si="150"/>
        <v>Kumite</v>
      </c>
      <c r="E836" t="str">
        <f>"Kumite, -, 75-200 kg, Ifjúsági (15-16"</f>
        <v>Kumite, -, 75-200 kg, Ifjúsági (15-16</v>
      </c>
      <c r="F836" t="s">
        <v>547</v>
      </c>
      <c r="G836" s="50" t="str">
        <f>"4"</f>
        <v>4</v>
      </c>
      <c r="H836" t="str">
        <f>"4 fős körmérkőzés"</f>
        <v>4 fős körmérkőzés</v>
      </c>
      <c r="I836" s="50" t="str">
        <f>"2"</f>
        <v>2</v>
      </c>
      <c r="J836" t="str">
        <f>"Tengelics Márk"</f>
        <v>Tengelics Márk</v>
      </c>
      <c r="K836" t="str">
        <f>"Nagy Sándor Dojo"</f>
        <v>Nagy Sándor Dojo</v>
      </c>
      <c r="L836" t="str">
        <f t="shared" si="151"/>
        <v>HUN</v>
      </c>
      <c r="M836">
        <v>5</v>
      </c>
      <c r="O836" s="83" t="s">
        <v>583</v>
      </c>
      <c r="P836" s="78">
        <v>45416</v>
      </c>
      <c r="Q836" t="str">
        <f t="shared" si="152"/>
        <v>Tengelics Márk - Nagy Sándor Dojo</v>
      </c>
      <c r="R836" t="s">
        <v>637</v>
      </c>
      <c r="S836" t="s">
        <v>596</v>
      </c>
      <c r="T836" t="s">
        <v>645</v>
      </c>
    </row>
    <row r="837" spans="1:20" x14ac:dyDescent="0.3">
      <c r="A837" s="2" t="s">
        <v>582</v>
      </c>
      <c r="B837" s="50">
        <v>2</v>
      </c>
      <c r="C837">
        <v>101</v>
      </c>
      <c r="D837" t="str">
        <f t="shared" si="150"/>
        <v>Kumite</v>
      </c>
      <c r="E837" t="str">
        <f>"Kumite, -, 75-200 kg, Ifjúsági (15-16"</f>
        <v>Kumite, -, 75-200 kg, Ifjúsági (15-16</v>
      </c>
      <c r="F837" t="s">
        <v>547</v>
      </c>
      <c r="G837" s="50" t="str">
        <f>"4"</f>
        <v>4</v>
      </c>
      <c r="H837" t="str">
        <f>"4 fős körmérkőzés"</f>
        <v>4 fős körmérkőzés</v>
      </c>
      <c r="I837" s="50" t="str">
        <f>"3"</f>
        <v>3</v>
      </c>
      <c r="J837" t="str">
        <f>"Schmitzberger Akos"</f>
        <v>Schmitzberger Akos</v>
      </c>
      <c r="K837" t="str">
        <f>"ASE Bulldog KKSZCS"</f>
        <v>ASE Bulldog KKSZCS</v>
      </c>
      <c r="L837" t="str">
        <f t="shared" si="151"/>
        <v>HUN</v>
      </c>
      <c r="M837">
        <v>3</v>
      </c>
      <c r="O837" s="83" t="s">
        <v>583</v>
      </c>
      <c r="P837" s="78">
        <v>45416</v>
      </c>
      <c r="Q837" t="str">
        <f t="shared" si="152"/>
        <v>Schmitzberger Akos - ASE Bulldog KKSZCS</v>
      </c>
      <c r="R837" t="s">
        <v>636</v>
      </c>
      <c r="S837" t="s">
        <v>636</v>
      </c>
      <c r="T837" t="s">
        <v>645</v>
      </c>
    </row>
    <row r="838" spans="1:20" x14ac:dyDescent="0.3">
      <c r="A838" s="2" t="s">
        <v>582</v>
      </c>
      <c r="B838" s="50">
        <v>2</v>
      </c>
      <c r="C838">
        <v>102</v>
      </c>
      <c r="D838" t="str">
        <f t="shared" si="150"/>
        <v>Kumite</v>
      </c>
      <c r="E838" t="str">
        <f>"Kumite, -, 75-200 kg, Ifjúsági (15-16"</f>
        <v>Kumite, -, 75-200 kg, Ifjúsági (15-16</v>
      </c>
      <c r="F838" t="s">
        <v>547</v>
      </c>
      <c r="G838" s="50" t="str">
        <f>"4"</f>
        <v>4</v>
      </c>
      <c r="H838" t="str">
        <f>"4 fős körmérkőzés"</f>
        <v>4 fős körmérkőzés</v>
      </c>
      <c r="I838" s="50">
        <v>4</v>
      </c>
      <c r="J838" t="str">
        <f>"Roko Tanković"</f>
        <v>Roko Tanković</v>
      </c>
      <c r="K838" t="s">
        <v>592</v>
      </c>
      <c r="L838" t="s">
        <v>593</v>
      </c>
      <c r="M838">
        <v>2</v>
      </c>
      <c r="O838" s="83" t="s">
        <v>583</v>
      </c>
      <c r="P838" s="78">
        <v>45416</v>
      </c>
      <c r="Q838" t="str">
        <f t="shared" si="152"/>
        <v>Roko Tanković - KK Mladost</v>
      </c>
      <c r="R838" t="s">
        <v>637</v>
      </c>
      <c r="S838" t="s">
        <v>593</v>
      </c>
      <c r="T838" t="s">
        <v>645</v>
      </c>
    </row>
    <row r="839" spans="1:20" x14ac:dyDescent="0.3">
      <c r="A839" s="2" t="s">
        <v>582</v>
      </c>
      <c r="B839" s="50">
        <v>2</v>
      </c>
      <c r="C839">
        <v>103</v>
      </c>
      <c r="D839" t="str">
        <f>"Kata"</f>
        <v>Kata</v>
      </c>
      <c r="E839" t="str">
        <f>"Kata, -, 0-160 kg, Ifjúsági (15-16"</f>
        <v>Kata, -, 0-160 kg, Ifjúsági (15-16</v>
      </c>
      <c r="F839" t="s">
        <v>549</v>
      </c>
      <c r="G839" s="50" t="str">
        <f>"7"</f>
        <v>7</v>
      </c>
      <c r="H839" t="s">
        <v>137</v>
      </c>
      <c r="I839" s="50" t="str">
        <f>"1"</f>
        <v>1</v>
      </c>
      <c r="J839" t="str">
        <f>"Németh Panka"</f>
        <v>Németh Panka</v>
      </c>
      <c r="K839" t="str">
        <f>"Cs.S.E."</f>
        <v>Cs.S.E.</v>
      </c>
      <c r="L839" t="str">
        <f t="shared" si="151"/>
        <v>HUN</v>
      </c>
      <c r="M839">
        <v>5</v>
      </c>
      <c r="O839" s="83" t="s">
        <v>583</v>
      </c>
      <c r="P839" s="78">
        <v>45416</v>
      </c>
      <c r="Q839" t="str">
        <f t="shared" si="152"/>
        <v>Németh Panka - Cs.S.E.</v>
      </c>
      <c r="R839" t="s">
        <v>636</v>
      </c>
      <c r="S839" t="s">
        <v>636</v>
      </c>
      <c r="T839" t="s">
        <v>645</v>
      </c>
    </row>
    <row r="840" spans="1:20" x14ac:dyDescent="0.3">
      <c r="A840" s="2" t="s">
        <v>582</v>
      </c>
      <c r="B840" s="50">
        <v>2</v>
      </c>
      <c r="C840">
        <v>104</v>
      </c>
      <c r="D840" t="str">
        <f>"Kata"</f>
        <v>Kata</v>
      </c>
      <c r="E840" t="str">
        <f>"Kata, -, 0-160 kg, Ifjúsági (15-16"</f>
        <v>Kata, -, 0-160 kg, Ifjúsági (15-16</v>
      </c>
      <c r="F840" t="s">
        <v>549</v>
      </c>
      <c r="G840" s="50" t="str">
        <f>"7"</f>
        <v>7</v>
      </c>
      <c r="H840" t="s">
        <v>137</v>
      </c>
      <c r="I840" s="50" t="str">
        <f>"2"</f>
        <v>2</v>
      </c>
      <c r="J840" t="str">
        <f>"Kiss Aliz"</f>
        <v>Kiss Aliz</v>
      </c>
      <c r="K840" t="str">
        <f>"Renmei se "</f>
        <v xml:space="preserve">Renmei se </v>
      </c>
      <c r="L840" t="str">
        <f t="shared" si="151"/>
        <v>HUN</v>
      </c>
      <c r="M840">
        <v>4</v>
      </c>
      <c r="O840" s="83" t="s">
        <v>583</v>
      </c>
      <c r="P840" s="78">
        <v>45416</v>
      </c>
      <c r="Q840" t="str">
        <f t="shared" si="152"/>
        <v xml:space="preserve">Kiss Aliz - Renmei se </v>
      </c>
      <c r="R840" t="s">
        <v>636</v>
      </c>
      <c r="S840" t="s">
        <v>636</v>
      </c>
      <c r="T840" t="s">
        <v>645</v>
      </c>
    </row>
    <row r="841" spans="1:20" x14ac:dyDescent="0.3">
      <c r="A841" s="2" t="s">
        <v>582</v>
      </c>
      <c r="B841" s="50">
        <v>2</v>
      </c>
      <c r="C841">
        <v>105</v>
      </c>
      <c r="D841" t="str">
        <f>"Kata"</f>
        <v>Kata</v>
      </c>
      <c r="E841" t="str">
        <f>"Kata, -, 0-160 kg, Ifjúsági (15-16"</f>
        <v>Kata, -, 0-160 kg, Ifjúsági (15-16</v>
      </c>
      <c r="F841" t="s">
        <v>549</v>
      </c>
      <c r="G841" s="50" t="str">
        <f>"7"</f>
        <v>7</v>
      </c>
      <c r="H841" t="s">
        <v>137</v>
      </c>
      <c r="I841" s="50" t="str">
        <f>"3"</f>
        <v>3</v>
      </c>
      <c r="J841" t="str">
        <f>"Bognár Luca"</f>
        <v>Bognár Luca</v>
      </c>
      <c r="K841" t="str">
        <f>"Rakurai"</f>
        <v>Rakurai</v>
      </c>
      <c r="L841" t="str">
        <f t="shared" si="151"/>
        <v>HUN</v>
      </c>
      <c r="M841">
        <v>2</v>
      </c>
      <c r="O841" s="83" t="s">
        <v>583</v>
      </c>
      <c r="P841" s="78">
        <v>45416</v>
      </c>
      <c r="Q841" t="str">
        <f t="shared" si="152"/>
        <v>Bognár Luca - Rakurai</v>
      </c>
      <c r="R841" t="s">
        <v>636</v>
      </c>
      <c r="S841" t="s">
        <v>636</v>
      </c>
      <c r="T841" t="s">
        <v>645</v>
      </c>
    </row>
    <row r="842" spans="1:20" x14ac:dyDescent="0.3">
      <c r="A842" s="2" t="s">
        <v>582</v>
      </c>
      <c r="B842" s="50">
        <v>2</v>
      </c>
      <c r="C842">
        <v>106</v>
      </c>
      <c r="D842" t="str">
        <f>"Kata"</f>
        <v>Kata</v>
      </c>
      <c r="E842" t="str">
        <f>"Kata, -, 0-160 kg, Ifjúsági (15-16"</f>
        <v>Kata, -, 0-160 kg, Ifjúsági (15-16</v>
      </c>
      <c r="F842" t="s">
        <v>549</v>
      </c>
      <c r="G842" s="50" t="str">
        <f>"7"</f>
        <v>7</v>
      </c>
      <c r="H842" t="s">
        <v>137</v>
      </c>
      <c r="I842" s="50" t="str">
        <f>"3"</f>
        <v>3</v>
      </c>
      <c r="J842" t="str">
        <f>"Horváth Jana"</f>
        <v>Horváth Jana</v>
      </c>
      <c r="K842" t="str">
        <f>"Rokku KKSE"</f>
        <v>Rokku KKSE</v>
      </c>
      <c r="L842" t="str">
        <f t="shared" si="151"/>
        <v>HUN</v>
      </c>
      <c r="M842">
        <v>1</v>
      </c>
      <c r="O842" s="83" t="s">
        <v>583</v>
      </c>
      <c r="P842" s="78">
        <v>45416</v>
      </c>
      <c r="Q842" t="str">
        <f t="shared" si="152"/>
        <v>Horváth Jana - Rokku KKSE</v>
      </c>
      <c r="R842" t="s">
        <v>636</v>
      </c>
      <c r="S842" t="s">
        <v>636</v>
      </c>
      <c r="T842" t="s">
        <v>645</v>
      </c>
    </row>
    <row r="843" spans="1:20" x14ac:dyDescent="0.3">
      <c r="A843" s="2" t="s">
        <v>582</v>
      </c>
      <c r="B843" s="50">
        <v>2</v>
      </c>
      <c r="C843">
        <v>107</v>
      </c>
      <c r="D843" t="str">
        <f t="shared" ref="D843:D853" si="153">"Kumite"</f>
        <v>Kumite</v>
      </c>
      <c r="E843" t="str">
        <f>"Kumite, -, 0-50 kg, Ifjúsági (15-16"</f>
        <v>Kumite, -, 0-50 kg, Ifjúsági (15-16</v>
      </c>
      <c r="F843" t="s">
        <v>546</v>
      </c>
      <c r="G843" s="50" t="str">
        <f>"4"</f>
        <v>4</v>
      </c>
      <c r="H843" t="str">
        <f>"4 fős körmérkőzés"</f>
        <v>4 fős körmérkőzés</v>
      </c>
      <c r="I843" s="50" t="str">
        <f>"1"</f>
        <v>1</v>
      </c>
      <c r="J843" t="str">
        <f>"Németh Virág"</f>
        <v>Németh Virág</v>
      </c>
      <c r="K843" t="str">
        <f>"Castrum"</f>
        <v>Castrum</v>
      </c>
      <c r="L843" t="str">
        <f t="shared" si="151"/>
        <v>HUN</v>
      </c>
      <c r="M843">
        <v>6</v>
      </c>
      <c r="O843" s="83" t="s">
        <v>583</v>
      </c>
      <c r="P843" s="78">
        <v>45416</v>
      </c>
      <c r="Q843" t="str">
        <f t="shared" si="152"/>
        <v>Németh Virág - Castrum</v>
      </c>
      <c r="R843" t="s">
        <v>636</v>
      </c>
      <c r="S843" t="s">
        <v>636</v>
      </c>
      <c r="T843" t="s">
        <v>645</v>
      </c>
    </row>
    <row r="844" spans="1:20" x14ac:dyDescent="0.3">
      <c r="A844" s="2" t="s">
        <v>582</v>
      </c>
      <c r="B844" s="50">
        <v>2</v>
      </c>
      <c r="C844">
        <v>108</v>
      </c>
      <c r="D844" t="str">
        <f t="shared" si="153"/>
        <v>Kumite</v>
      </c>
      <c r="E844" t="str">
        <f>"Kumite, -, 0-50 kg, Ifjúsági (15-16"</f>
        <v>Kumite, -, 0-50 kg, Ifjúsági (15-16</v>
      </c>
      <c r="F844" t="s">
        <v>546</v>
      </c>
      <c r="G844" s="50" t="str">
        <f>"4"</f>
        <v>4</v>
      </c>
      <c r="H844" t="str">
        <f>"4 fős körmérkőzés"</f>
        <v>4 fős körmérkőzés</v>
      </c>
      <c r="I844" s="50" t="str">
        <f>"2"</f>
        <v>2</v>
      </c>
      <c r="J844" t="str">
        <f>"Németh Panka"</f>
        <v>Németh Panka</v>
      </c>
      <c r="K844" t="str">
        <f>"Cs.S.E."</f>
        <v>Cs.S.E.</v>
      </c>
      <c r="L844" t="str">
        <f t="shared" si="151"/>
        <v>HUN</v>
      </c>
      <c r="M844">
        <v>5</v>
      </c>
      <c r="O844" s="83" t="s">
        <v>583</v>
      </c>
      <c r="P844" s="78">
        <v>45416</v>
      </c>
      <c r="Q844" t="str">
        <f t="shared" si="152"/>
        <v>Németh Panka - Cs.S.E.</v>
      </c>
      <c r="R844" t="s">
        <v>636</v>
      </c>
      <c r="S844" t="s">
        <v>636</v>
      </c>
      <c r="T844" t="s">
        <v>645</v>
      </c>
    </row>
    <row r="845" spans="1:20" x14ac:dyDescent="0.3">
      <c r="A845" s="2" t="s">
        <v>582</v>
      </c>
      <c r="B845" s="50">
        <v>2</v>
      </c>
      <c r="C845">
        <v>109</v>
      </c>
      <c r="D845" t="str">
        <f t="shared" si="153"/>
        <v>Kumite</v>
      </c>
      <c r="E845" t="str">
        <f>"Kumite, -, 0-50 kg, Ifjúsági (15-16"</f>
        <v>Kumite, -, 0-50 kg, Ifjúsági (15-16</v>
      </c>
      <c r="F845" t="s">
        <v>546</v>
      </c>
      <c r="G845" s="50" t="str">
        <f>"4"</f>
        <v>4</v>
      </c>
      <c r="H845" t="str">
        <f>"4 fős körmérkőzés"</f>
        <v>4 fős körmérkőzés</v>
      </c>
      <c r="I845" s="50" t="str">
        <f>"3"</f>
        <v>3</v>
      </c>
      <c r="J845" t="str">
        <f>"Bőzsöny Dorka"</f>
        <v>Bőzsöny Dorka</v>
      </c>
      <c r="K845" t="str">
        <f>"BHMSE"</f>
        <v>BHMSE</v>
      </c>
      <c r="L845" t="str">
        <f t="shared" si="151"/>
        <v>HUN</v>
      </c>
      <c r="M845">
        <v>3</v>
      </c>
      <c r="O845" s="83" t="s">
        <v>583</v>
      </c>
      <c r="P845" s="78">
        <v>45416</v>
      </c>
      <c r="Q845" t="str">
        <f t="shared" si="152"/>
        <v>Bőzsöny Dorka - BHMSE</v>
      </c>
      <c r="R845" t="s">
        <v>636</v>
      </c>
      <c r="S845" t="s">
        <v>636</v>
      </c>
      <c r="T845" t="s">
        <v>645</v>
      </c>
    </row>
    <row r="846" spans="1:20" x14ac:dyDescent="0.3">
      <c r="A846" s="2" t="s">
        <v>582</v>
      </c>
      <c r="B846" s="50">
        <v>2</v>
      </c>
      <c r="C846">
        <v>110</v>
      </c>
      <c r="D846" t="str">
        <f t="shared" si="153"/>
        <v>Kumite</v>
      </c>
      <c r="E846" t="str">
        <f>"Kumite, -, 50-55 kg, Ifjúsági (15-16"</f>
        <v>Kumite, -, 50-55 kg, Ifjúsági (15-16</v>
      </c>
      <c r="F846" t="s">
        <v>550</v>
      </c>
      <c r="G846" s="50" t="str">
        <f>"2"</f>
        <v>2</v>
      </c>
      <c r="H846" t="str">
        <f>"2 fős egyenes kiesés"</f>
        <v>2 fős egyenes kiesés</v>
      </c>
      <c r="I846" s="50" t="str">
        <f>"1"</f>
        <v>1</v>
      </c>
      <c r="J846" t="str">
        <f>"Bognár Luca"</f>
        <v>Bognár Luca</v>
      </c>
      <c r="K846" t="str">
        <f>"Rakurai"</f>
        <v>Rakurai</v>
      </c>
      <c r="L846" t="str">
        <f t="shared" si="151"/>
        <v>HUN</v>
      </c>
      <c r="M846">
        <v>3</v>
      </c>
      <c r="O846" s="83" t="s">
        <v>583</v>
      </c>
      <c r="P846" s="78">
        <v>45416</v>
      </c>
      <c r="Q846" t="str">
        <f t="shared" si="152"/>
        <v>Bognár Luca - Rakurai</v>
      </c>
      <c r="R846" t="s">
        <v>636</v>
      </c>
      <c r="S846" t="s">
        <v>636</v>
      </c>
      <c r="T846" t="s">
        <v>645</v>
      </c>
    </row>
    <row r="847" spans="1:20" x14ac:dyDescent="0.3">
      <c r="A847" s="2" t="s">
        <v>582</v>
      </c>
      <c r="B847" s="50">
        <v>2</v>
      </c>
      <c r="C847">
        <v>111</v>
      </c>
      <c r="D847" t="str">
        <f t="shared" si="153"/>
        <v>Kumite</v>
      </c>
      <c r="E847" t="str">
        <f>"Kumite, -, 50-55 kg, Ifjúsági (15-16"</f>
        <v>Kumite, -, 50-55 kg, Ifjúsági (15-16</v>
      </c>
      <c r="F847" t="s">
        <v>550</v>
      </c>
      <c r="G847" s="50" t="str">
        <f>"2"</f>
        <v>2</v>
      </c>
      <c r="H847" t="str">
        <f>"2 fős egyenes kiesés"</f>
        <v>2 fős egyenes kiesés</v>
      </c>
      <c r="I847" s="50" t="str">
        <f>"2"</f>
        <v>2</v>
      </c>
      <c r="J847" t="str">
        <f>"Lara ®unić"</f>
        <v>Lara ®unić</v>
      </c>
      <c r="K847" t="str">
        <f>"KK Mladost"</f>
        <v>KK Mladost</v>
      </c>
      <c r="L847" t="str">
        <f>"HRV"</f>
        <v>HRV</v>
      </c>
      <c r="M847">
        <v>0</v>
      </c>
      <c r="O847" s="83" t="s">
        <v>583</v>
      </c>
      <c r="P847" s="78">
        <v>45416</v>
      </c>
      <c r="Q847" t="str">
        <f t="shared" si="152"/>
        <v>Lara ®unić - KK Mladost</v>
      </c>
      <c r="R847" t="s">
        <v>637</v>
      </c>
      <c r="S847" t="s">
        <v>593</v>
      </c>
      <c r="T847" t="s">
        <v>645</v>
      </c>
    </row>
    <row r="848" spans="1:20" x14ac:dyDescent="0.3">
      <c r="A848" s="2" t="s">
        <v>582</v>
      </c>
      <c r="B848" s="50">
        <v>2</v>
      </c>
      <c r="C848">
        <v>112</v>
      </c>
      <c r="D848" t="str">
        <f t="shared" si="153"/>
        <v>Kumite</v>
      </c>
      <c r="E848" t="str">
        <f>"Kumite, -, 55-60 kg, Ifjúsági (15-16"</f>
        <v>Kumite, -, 55-60 kg, Ifjúsági (15-16</v>
      </c>
      <c r="F848" t="s">
        <v>551</v>
      </c>
      <c r="G848" s="50" t="str">
        <f t="shared" ref="G848:G853" si="154">"3"</f>
        <v>3</v>
      </c>
      <c r="H848" t="str">
        <f t="shared" ref="H848:H853" si="155">"3 fős körmérkőzés"</f>
        <v>3 fős körmérkőzés</v>
      </c>
      <c r="I848" s="50" t="str">
        <f>"1"</f>
        <v>1</v>
      </c>
      <c r="J848" t="str">
        <f>"Szücs Hanna"</f>
        <v>Szücs Hanna</v>
      </c>
      <c r="K848" t="str">
        <f>"Castrum"</f>
        <v>Castrum</v>
      </c>
      <c r="L848" t="str">
        <f>"HUN"</f>
        <v>HUN</v>
      </c>
      <c r="M848">
        <v>4</v>
      </c>
      <c r="O848" s="83" t="s">
        <v>583</v>
      </c>
      <c r="P848" s="78">
        <v>45416</v>
      </c>
      <c r="Q848" t="str">
        <f t="shared" si="152"/>
        <v>Szücs Hanna - Castrum</v>
      </c>
      <c r="R848" t="s">
        <v>636</v>
      </c>
      <c r="S848" t="s">
        <v>636</v>
      </c>
      <c r="T848" t="s">
        <v>645</v>
      </c>
    </row>
    <row r="849" spans="1:20" x14ac:dyDescent="0.3">
      <c r="A849" s="2" t="s">
        <v>582</v>
      </c>
      <c r="B849" s="50">
        <v>2</v>
      </c>
      <c r="C849">
        <v>113</v>
      </c>
      <c r="D849" t="str">
        <f t="shared" si="153"/>
        <v>Kumite</v>
      </c>
      <c r="E849" t="str">
        <f>"Kumite, -, 55-60 kg, Ifjúsági (15-16"</f>
        <v>Kumite, -, 55-60 kg, Ifjúsági (15-16</v>
      </c>
      <c r="F849" t="s">
        <v>551</v>
      </c>
      <c r="G849" s="50" t="str">
        <f t="shared" si="154"/>
        <v>3</v>
      </c>
      <c r="H849" t="str">
        <f t="shared" si="155"/>
        <v>3 fős körmérkőzés</v>
      </c>
      <c r="I849" s="50" t="str">
        <f>"2"</f>
        <v>2</v>
      </c>
      <c r="J849" t="str">
        <f>"Ana Greganić"</f>
        <v>Ana Greganić</v>
      </c>
      <c r="K849" t="str">
        <f>"KK Mladost"</f>
        <v>KK Mladost</v>
      </c>
      <c r="L849" t="str">
        <f>"HRV"</f>
        <v>HRV</v>
      </c>
      <c r="M849">
        <v>3</v>
      </c>
      <c r="O849" s="83" t="s">
        <v>583</v>
      </c>
      <c r="P849" s="78">
        <v>45416</v>
      </c>
      <c r="Q849" t="str">
        <f t="shared" si="152"/>
        <v>Ana Greganić - KK Mladost</v>
      </c>
      <c r="R849" t="s">
        <v>637</v>
      </c>
      <c r="S849" t="s">
        <v>593</v>
      </c>
      <c r="T849" t="s">
        <v>645</v>
      </c>
    </row>
    <row r="850" spans="1:20" x14ac:dyDescent="0.3">
      <c r="A850" s="2" t="s">
        <v>582</v>
      </c>
      <c r="B850" s="50">
        <v>2</v>
      </c>
      <c r="C850">
        <v>114</v>
      </c>
      <c r="D850" t="str">
        <f t="shared" si="153"/>
        <v>Kumite</v>
      </c>
      <c r="E850" t="str">
        <f>"Kumite, -, 55-60 kg, Ifjúsági (15-16"</f>
        <v>Kumite, -, 55-60 kg, Ifjúsági (15-16</v>
      </c>
      <c r="F850" t="s">
        <v>551</v>
      </c>
      <c r="G850" s="50" t="str">
        <f t="shared" si="154"/>
        <v>3</v>
      </c>
      <c r="H850" t="str">
        <f t="shared" si="155"/>
        <v>3 fős körmérkőzés</v>
      </c>
      <c r="I850" s="50" t="str">
        <f>"3"</f>
        <v>3</v>
      </c>
      <c r="J850" t="str">
        <f>"Bíró Nóra"</f>
        <v>Bíró Nóra</v>
      </c>
      <c r="K850" t="str">
        <f>"Főnix Dojo"</f>
        <v>Főnix Dojo</v>
      </c>
      <c r="L850" t="str">
        <f>"HUN"</f>
        <v>HUN</v>
      </c>
      <c r="M850">
        <v>0</v>
      </c>
      <c r="N850" t="s">
        <v>584</v>
      </c>
      <c r="O850" s="83" t="s">
        <v>583</v>
      </c>
      <c r="P850" s="78">
        <v>45416</v>
      </c>
      <c r="Q850" t="str">
        <f t="shared" si="152"/>
        <v>Bíró Nóra - Főnix Dojo</v>
      </c>
      <c r="R850" t="s">
        <v>636</v>
      </c>
      <c r="S850" t="s">
        <v>636</v>
      </c>
      <c r="T850" t="s">
        <v>645</v>
      </c>
    </row>
    <row r="851" spans="1:20" x14ac:dyDescent="0.3">
      <c r="A851" s="2" t="s">
        <v>582</v>
      </c>
      <c r="B851" s="50">
        <v>2</v>
      </c>
      <c r="C851">
        <v>115</v>
      </c>
      <c r="D851" t="str">
        <f t="shared" si="153"/>
        <v>Kumite</v>
      </c>
      <c r="E851" t="str">
        <f>"Kumite, -, 65-200 kg, Ifjúsági (15-16"</f>
        <v>Kumite, -, 65-200 kg, Ifjúsági (15-16</v>
      </c>
      <c r="F851" t="s">
        <v>553</v>
      </c>
      <c r="G851" s="50" t="str">
        <f t="shared" si="154"/>
        <v>3</v>
      </c>
      <c r="H851" t="str">
        <f t="shared" si="155"/>
        <v>3 fős körmérkőzés</v>
      </c>
      <c r="I851" s="50" t="str">
        <f>"1"</f>
        <v>1</v>
      </c>
      <c r="J851" t="str">
        <f>"Szutor Anna"</f>
        <v>Szutor Anna</v>
      </c>
      <c r="K851" t="str">
        <f>"Shogun"</f>
        <v>Shogun</v>
      </c>
      <c r="L851" t="str">
        <f>"HUN"</f>
        <v>HUN</v>
      </c>
      <c r="M851">
        <v>4</v>
      </c>
      <c r="O851" s="83" t="s">
        <v>583</v>
      </c>
      <c r="P851" s="78">
        <v>45416</v>
      </c>
      <c r="Q851" t="str">
        <f t="shared" si="152"/>
        <v>Szutor Anna - Shogun</v>
      </c>
      <c r="R851" t="s">
        <v>636</v>
      </c>
      <c r="S851" t="s">
        <v>636</v>
      </c>
      <c r="T851" t="s">
        <v>645</v>
      </c>
    </row>
    <row r="852" spans="1:20" x14ac:dyDescent="0.3">
      <c r="A852" s="2" t="s">
        <v>582</v>
      </c>
      <c r="B852" s="50">
        <v>2</v>
      </c>
      <c r="C852">
        <v>116</v>
      </c>
      <c r="D852" t="str">
        <f t="shared" si="153"/>
        <v>Kumite</v>
      </c>
      <c r="E852" t="str">
        <f>"Kumite, -, 65-200 kg, Ifjúsági (15-16"</f>
        <v>Kumite, -, 65-200 kg, Ifjúsági (15-16</v>
      </c>
      <c r="F852" t="s">
        <v>553</v>
      </c>
      <c r="G852" s="50" t="str">
        <f t="shared" si="154"/>
        <v>3</v>
      </c>
      <c r="H852" t="str">
        <f t="shared" si="155"/>
        <v>3 fős körmérkőzés</v>
      </c>
      <c r="I852" s="50" t="str">
        <f>"2"</f>
        <v>2</v>
      </c>
      <c r="J852" t="str">
        <f>"Németh-Lakos Zolna"</f>
        <v>Németh-Lakos Zolna</v>
      </c>
      <c r="K852" t="str">
        <f>"Kamikaze S"</f>
        <v>Kamikaze S</v>
      </c>
      <c r="L852" t="str">
        <f>"HUN"</f>
        <v>HUN</v>
      </c>
      <c r="M852">
        <v>3</v>
      </c>
      <c r="O852" s="83" t="s">
        <v>583</v>
      </c>
      <c r="P852" s="78">
        <v>45416</v>
      </c>
      <c r="Q852" t="str">
        <f t="shared" si="152"/>
        <v>Németh-Lakos Zolna - Kamikaze S</v>
      </c>
      <c r="R852" t="s">
        <v>636</v>
      </c>
      <c r="S852" t="s">
        <v>636</v>
      </c>
      <c r="T852" t="s">
        <v>645</v>
      </c>
    </row>
    <row r="853" spans="1:20" x14ac:dyDescent="0.3">
      <c r="A853" s="2" t="s">
        <v>582</v>
      </c>
      <c r="B853" s="50">
        <v>2</v>
      </c>
      <c r="C853">
        <v>117</v>
      </c>
      <c r="D853" t="str">
        <f t="shared" si="153"/>
        <v>Kumite</v>
      </c>
      <c r="E853" t="str">
        <f>"Kumite, -, 65-200 kg, Ifjúsági (15-16"</f>
        <v>Kumite, -, 65-200 kg, Ifjúsági (15-16</v>
      </c>
      <c r="F853" t="s">
        <v>553</v>
      </c>
      <c r="G853" s="50" t="str">
        <f t="shared" si="154"/>
        <v>3</v>
      </c>
      <c r="H853" t="str">
        <f t="shared" si="155"/>
        <v>3 fős körmérkőzés</v>
      </c>
      <c r="I853" s="50" t="str">
        <f>"3"</f>
        <v>3</v>
      </c>
      <c r="J853" t="str">
        <f>"Varga Luca Zsófia "</f>
        <v xml:space="preserve">Varga Luca Zsófia </v>
      </c>
      <c r="K853" t="str">
        <f>"Rokku KKSE"</f>
        <v>Rokku KKSE</v>
      </c>
      <c r="L853" t="str">
        <f>"HUN"</f>
        <v>HUN</v>
      </c>
      <c r="M853">
        <v>0</v>
      </c>
      <c r="N853" t="s">
        <v>584</v>
      </c>
      <c r="O853" s="83" t="s">
        <v>583</v>
      </c>
      <c r="P853" s="78">
        <v>45416</v>
      </c>
      <c r="Q853" t="str">
        <f t="shared" si="152"/>
        <v>Varga Luca Zsófia  - Rokku KKSE</v>
      </c>
      <c r="R853" t="s">
        <v>636</v>
      </c>
      <c r="S853" t="s">
        <v>636</v>
      </c>
      <c r="T853" t="s">
        <v>645</v>
      </c>
    </row>
    <row r="854" spans="1:20" x14ac:dyDescent="0.3">
      <c r="A854" s="2" t="s">
        <v>600</v>
      </c>
      <c r="B854" s="50">
        <v>1</v>
      </c>
      <c r="C854">
        <v>1</v>
      </c>
      <c r="D854" t="s">
        <v>7</v>
      </c>
      <c r="E854" s="83" t="s">
        <v>489</v>
      </c>
      <c r="F854" s="83" t="s">
        <v>489</v>
      </c>
      <c r="G854" s="50" t="s">
        <v>601</v>
      </c>
      <c r="H854" t="s">
        <v>602</v>
      </c>
      <c r="I854" s="67" t="s">
        <v>302</v>
      </c>
      <c r="J854" t="s">
        <v>104</v>
      </c>
      <c r="K854" t="s">
        <v>47</v>
      </c>
      <c r="L854" t="s">
        <v>12</v>
      </c>
      <c r="M854">
        <v>15</v>
      </c>
      <c r="N854" t="s">
        <v>606</v>
      </c>
      <c r="O854" s="83" t="s">
        <v>603</v>
      </c>
      <c r="P854" s="78">
        <v>45437</v>
      </c>
      <c r="Q854" t="str">
        <f t="shared" si="152"/>
        <v>Nagy Nóra Bíborka - BHMSE</v>
      </c>
      <c r="R854" t="s">
        <v>636</v>
      </c>
      <c r="S854" t="s">
        <v>636</v>
      </c>
      <c r="T854" t="s">
        <v>644</v>
      </c>
    </row>
    <row r="855" spans="1:20" x14ac:dyDescent="0.3">
      <c r="A855" s="2" t="s">
        <v>600</v>
      </c>
      <c r="B855" s="50">
        <v>1</v>
      </c>
      <c r="C855">
        <v>2</v>
      </c>
      <c r="D855" t="s">
        <v>7</v>
      </c>
      <c r="E855" s="83" t="s">
        <v>490</v>
      </c>
      <c r="F855" s="83" t="s">
        <v>490</v>
      </c>
      <c r="G855" s="50" t="s">
        <v>601</v>
      </c>
      <c r="H855" t="s">
        <v>602</v>
      </c>
      <c r="I855" s="67" t="s">
        <v>302</v>
      </c>
      <c r="J855" t="s">
        <v>107</v>
      </c>
      <c r="K855" t="s">
        <v>35</v>
      </c>
      <c r="L855" t="s">
        <v>12</v>
      </c>
      <c r="M855">
        <v>15</v>
      </c>
      <c r="N855" t="s">
        <v>606</v>
      </c>
      <c r="O855" s="83" t="s">
        <v>603</v>
      </c>
      <c r="P855" s="78">
        <v>45437</v>
      </c>
      <c r="Q855" t="str">
        <f t="shared" si="152"/>
        <v>Litvák Lili - KHSE</v>
      </c>
      <c r="R855" t="s">
        <v>636</v>
      </c>
      <c r="S855" t="s">
        <v>636</v>
      </c>
      <c r="T855" t="s">
        <v>644</v>
      </c>
    </row>
    <row r="856" spans="1:20" x14ac:dyDescent="0.3">
      <c r="A856" s="2" t="s">
        <v>600</v>
      </c>
      <c r="B856" s="50">
        <v>1</v>
      </c>
      <c r="C856">
        <v>3</v>
      </c>
      <c r="D856" t="s">
        <v>7</v>
      </c>
      <c r="E856" t="s">
        <v>491</v>
      </c>
      <c r="F856" t="s">
        <v>491</v>
      </c>
      <c r="G856" s="50" t="s">
        <v>601</v>
      </c>
      <c r="H856" t="s">
        <v>602</v>
      </c>
      <c r="I856" s="50">
        <v>1</v>
      </c>
      <c r="J856" t="s">
        <v>112</v>
      </c>
      <c r="K856" t="s">
        <v>87</v>
      </c>
      <c r="L856" t="s">
        <v>12</v>
      </c>
      <c r="M856">
        <v>60</v>
      </c>
      <c r="N856" t="s">
        <v>606</v>
      </c>
      <c r="O856" s="83" t="s">
        <v>603</v>
      </c>
      <c r="P856" s="78">
        <v>45437</v>
      </c>
      <c r="Q856" t="str">
        <f t="shared" si="152"/>
        <v>Mező Lili - Victory</v>
      </c>
      <c r="R856" t="s">
        <v>636</v>
      </c>
      <c r="S856" t="s">
        <v>636</v>
      </c>
      <c r="T856" t="s">
        <v>644</v>
      </c>
    </row>
    <row r="857" spans="1:20" x14ac:dyDescent="0.3">
      <c r="A857" s="2" t="s">
        <v>600</v>
      </c>
      <c r="B857" s="50">
        <v>1</v>
      </c>
      <c r="C857">
        <v>4</v>
      </c>
      <c r="D857" t="s">
        <v>7</v>
      </c>
      <c r="E857" t="s">
        <v>492</v>
      </c>
      <c r="F857" t="s">
        <v>492</v>
      </c>
      <c r="G857" s="50" t="s">
        <v>601</v>
      </c>
      <c r="H857" t="s">
        <v>602</v>
      </c>
      <c r="I857" s="50">
        <v>3</v>
      </c>
      <c r="J857" t="s">
        <v>116</v>
      </c>
      <c r="K857" t="s">
        <v>117</v>
      </c>
      <c r="L857" t="str">
        <f t="shared" ref="L857" si="156">"HUN"</f>
        <v>HUN</v>
      </c>
      <c r="M857">
        <v>30</v>
      </c>
      <c r="N857" t="s">
        <v>606</v>
      </c>
      <c r="O857" s="83" t="s">
        <v>603</v>
      </c>
      <c r="P857" s="78">
        <v>45437</v>
      </c>
      <c r="Q857" t="str">
        <f t="shared" si="152"/>
        <v>Bóka Viktória - Griff SE</v>
      </c>
      <c r="R857" t="s">
        <v>636</v>
      </c>
      <c r="S857" t="s">
        <v>636</v>
      </c>
      <c r="T857" t="s">
        <v>644</v>
      </c>
    </row>
    <row r="858" spans="1:20" x14ac:dyDescent="0.3">
      <c r="A858" s="2" t="s">
        <v>600</v>
      </c>
      <c r="B858" s="50">
        <v>1</v>
      </c>
      <c r="C858">
        <v>5</v>
      </c>
      <c r="D858" t="s">
        <v>7</v>
      </c>
      <c r="E858" t="s">
        <v>492</v>
      </c>
      <c r="F858" t="s">
        <v>492</v>
      </c>
      <c r="G858" s="50" t="s">
        <v>601</v>
      </c>
      <c r="H858" t="s">
        <v>602</v>
      </c>
      <c r="I858" s="67" t="s">
        <v>302</v>
      </c>
      <c r="J858" t="s">
        <v>118</v>
      </c>
      <c r="K858" t="s">
        <v>82</v>
      </c>
      <c r="L858" t="s">
        <v>12</v>
      </c>
      <c r="M858">
        <f>15</f>
        <v>15</v>
      </c>
      <c r="N858" t="s">
        <v>606</v>
      </c>
      <c r="O858" s="83" t="s">
        <v>603</v>
      </c>
      <c r="P858" s="78">
        <v>45437</v>
      </c>
      <c r="Q858" t="str">
        <f t="shared" si="152"/>
        <v>Kerezsi Csenge - Bátor KSE</v>
      </c>
      <c r="R858" t="s">
        <v>636</v>
      </c>
      <c r="S858" t="s">
        <v>636</v>
      </c>
      <c r="T858" t="s">
        <v>644</v>
      </c>
    </row>
    <row r="859" spans="1:20" x14ac:dyDescent="0.3">
      <c r="A859" s="2" t="s">
        <v>600</v>
      </c>
      <c r="B859" s="50">
        <v>1</v>
      </c>
      <c r="C859">
        <v>6</v>
      </c>
      <c r="D859" t="s">
        <v>7</v>
      </c>
      <c r="E859" t="s">
        <v>493</v>
      </c>
      <c r="F859" t="s">
        <v>493</v>
      </c>
      <c r="G859" s="50" t="s">
        <v>601</v>
      </c>
      <c r="H859" t="s">
        <v>602</v>
      </c>
      <c r="I859" s="67" t="s">
        <v>302</v>
      </c>
      <c r="J859" t="s">
        <v>121</v>
      </c>
      <c r="K859" t="s">
        <v>87</v>
      </c>
      <c r="L859" t="s">
        <v>12</v>
      </c>
      <c r="M859" s="99">
        <f>15-15</f>
        <v>0</v>
      </c>
      <c r="N859" s="99" t="s">
        <v>609</v>
      </c>
      <c r="O859" s="83" t="s">
        <v>603</v>
      </c>
      <c r="P859" s="78">
        <v>45437</v>
      </c>
      <c r="Q859" t="str">
        <f t="shared" si="152"/>
        <v>Tóth Csenge - Victory</v>
      </c>
      <c r="R859" t="s">
        <v>636</v>
      </c>
      <c r="S859" t="s">
        <v>636</v>
      </c>
      <c r="T859" t="s">
        <v>644</v>
      </c>
    </row>
    <row r="860" spans="1:20" x14ac:dyDescent="0.3">
      <c r="A860" s="2" t="s">
        <v>600</v>
      </c>
      <c r="B860" s="50">
        <v>1</v>
      </c>
      <c r="C860">
        <v>7</v>
      </c>
      <c r="D860" t="s">
        <v>7</v>
      </c>
      <c r="E860" t="s">
        <v>493</v>
      </c>
      <c r="F860" t="s">
        <v>493</v>
      </c>
      <c r="G860" s="50" t="s">
        <v>601</v>
      </c>
      <c r="H860" t="s">
        <v>602</v>
      </c>
      <c r="I860" s="67" t="s">
        <v>302</v>
      </c>
      <c r="J860" t="s">
        <v>122</v>
      </c>
      <c r="K860" t="s">
        <v>47</v>
      </c>
      <c r="L860" t="s">
        <v>12</v>
      </c>
      <c r="M860">
        <v>15</v>
      </c>
      <c r="N860" t="s">
        <v>606</v>
      </c>
      <c r="O860" s="83" t="s">
        <v>603</v>
      </c>
      <c r="P860" s="78">
        <v>45437</v>
      </c>
      <c r="Q860" t="str">
        <f t="shared" si="152"/>
        <v>Gergely Henrietta - BHMSE</v>
      </c>
      <c r="R860" t="s">
        <v>636</v>
      </c>
      <c r="S860" t="s">
        <v>636</v>
      </c>
      <c r="T860" t="s">
        <v>644</v>
      </c>
    </row>
    <row r="861" spans="1:20" x14ac:dyDescent="0.3">
      <c r="A861" s="2" t="s">
        <v>600</v>
      </c>
      <c r="B861" s="50">
        <v>1</v>
      </c>
      <c r="C861">
        <v>8</v>
      </c>
      <c r="D861" t="s">
        <v>7</v>
      </c>
      <c r="E861" t="s">
        <v>487</v>
      </c>
      <c r="F861" t="s">
        <v>487</v>
      </c>
      <c r="G861" s="50" t="s">
        <v>601</v>
      </c>
      <c r="H861" t="s">
        <v>602</v>
      </c>
      <c r="I861" s="67" t="s">
        <v>302</v>
      </c>
      <c r="J861" t="s">
        <v>86</v>
      </c>
      <c r="K861" t="s">
        <v>87</v>
      </c>
      <c r="L861" t="str">
        <f t="shared" ref="L861" si="157">"HUN"</f>
        <v>HUN</v>
      </c>
      <c r="M861">
        <v>15</v>
      </c>
      <c r="N861" t="s">
        <v>606</v>
      </c>
      <c r="O861" s="83" t="s">
        <v>603</v>
      </c>
      <c r="P861" s="78">
        <v>45437</v>
      </c>
      <c r="Q861" t="str">
        <f t="shared" si="152"/>
        <v>Fekete Gergely - Victory</v>
      </c>
      <c r="R861" t="s">
        <v>636</v>
      </c>
      <c r="S861" t="s">
        <v>636</v>
      </c>
      <c r="T861" t="s">
        <v>644</v>
      </c>
    </row>
    <row r="862" spans="1:20" x14ac:dyDescent="0.3">
      <c r="A862" s="2" t="s">
        <v>600</v>
      </c>
      <c r="B862" s="50">
        <v>1</v>
      </c>
      <c r="C862">
        <v>9</v>
      </c>
      <c r="D862" t="s">
        <v>7</v>
      </c>
      <c r="E862" t="s">
        <v>486</v>
      </c>
      <c r="F862" t="s">
        <v>486</v>
      </c>
      <c r="G862" s="50" t="s">
        <v>601</v>
      </c>
      <c r="H862" t="s">
        <v>602</v>
      </c>
      <c r="I862" s="67" t="s">
        <v>302</v>
      </c>
      <c r="J862" t="s">
        <v>604</v>
      </c>
      <c r="K862" t="s">
        <v>79</v>
      </c>
      <c r="L862" t="s">
        <v>12</v>
      </c>
      <c r="M862">
        <v>15</v>
      </c>
      <c r="N862" t="s">
        <v>606</v>
      </c>
      <c r="O862" s="83" t="s">
        <v>603</v>
      </c>
      <c r="P862" s="78">
        <v>45437</v>
      </c>
      <c r="Q862" t="str">
        <f t="shared" si="152"/>
        <v>Újvári Bálint - Ippon KKSE</v>
      </c>
      <c r="R862" t="s">
        <v>636</v>
      </c>
      <c r="S862" t="s">
        <v>636</v>
      </c>
      <c r="T862" t="s">
        <v>644</v>
      </c>
    </row>
    <row r="863" spans="1:20" x14ac:dyDescent="0.3">
      <c r="A863" s="2" t="s">
        <v>600</v>
      </c>
      <c r="B863" s="50">
        <v>1</v>
      </c>
      <c r="C863">
        <v>10</v>
      </c>
      <c r="D863" t="s">
        <v>7</v>
      </c>
      <c r="E863" t="s">
        <v>486</v>
      </c>
      <c r="F863" t="s">
        <v>486</v>
      </c>
      <c r="G863" s="50" t="s">
        <v>601</v>
      </c>
      <c r="H863" t="s">
        <v>602</v>
      </c>
      <c r="I863" s="67" t="s">
        <v>302</v>
      </c>
      <c r="J863" t="s">
        <v>91</v>
      </c>
      <c r="K863" t="s">
        <v>65</v>
      </c>
      <c r="L863" t="s">
        <v>12</v>
      </c>
      <c r="M863">
        <v>15</v>
      </c>
      <c r="N863" t="s">
        <v>606</v>
      </c>
      <c r="O863" s="83" t="s">
        <v>603</v>
      </c>
      <c r="P863" s="78">
        <v>45437</v>
      </c>
      <c r="Q863" t="str">
        <f t="shared" si="152"/>
        <v>Ludszky Zsolt - Főnix Dojo</v>
      </c>
      <c r="R863" t="s">
        <v>636</v>
      </c>
      <c r="S863" t="s">
        <v>636</v>
      </c>
      <c r="T863" t="s">
        <v>644</v>
      </c>
    </row>
    <row r="864" spans="1:20" x14ac:dyDescent="0.3">
      <c r="A864" s="2" t="s">
        <v>600</v>
      </c>
      <c r="B864" s="50">
        <v>1</v>
      </c>
      <c r="C864">
        <v>11</v>
      </c>
      <c r="D864" t="s">
        <v>7</v>
      </c>
      <c r="E864" t="s">
        <v>488</v>
      </c>
      <c r="F864" t="s">
        <v>488</v>
      </c>
      <c r="G864" s="50" t="s">
        <v>601</v>
      </c>
      <c r="H864" t="s">
        <v>602</v>
      </c>
      <c r="I864" s="67" t="s">
        <v>302</v>
      </c>
      <c r="J864" t="s">
        <v>95</v>
      </c>
      <c r="K864" t="s">
        <v>87</v>
      </c>
      <c r="L864" t="s">
        <v>12</v>
      </c>
      <c r="M864">
        <v>15</v>
      </c>
      <c r="N864" t="s">
        <v>606</v>
      </c>
      <c r="O864" s="83" t="s">
        <v>603</v>
      </c>
      <c r="P864" s="78">
        <v>45437</v>
      </c>
      <c r="Q864" t="str">
        <f t="shared" si="152"/>
        <v>Lajtos Patrik - Victory</v>
      </c>
      <c r="R864" t="s">
        <v>636</v>
      </c>
      <c r="S864" t="s">
        <v>636</v>
      </c>
      <c r="T864" t="s">
        <v>644</v>
      </c>
    </row>
    <row r="865" spans="1:20" x14ac:dyDescent="0.3">
      <c r="A865" s="2" t="s">
        <v>600</v>
      </c>
      <c r="B865" s="50">
        <v>1</v>
      </c>
      <c r="C865">
        <v>12</v>
      </c>
      <c r="D865" t="s">
        <v>126</v>
      </c>
      <c r="E865" t="s">
        <v>494</v>
      </c>
      <c r="F865" t="s">
        <v>494</v>
      </c>
      <c r="G865" s="50" t="s">
        <v>601</v>
      </c>
      <c r="H865" t="s">
        <v>602</v>
      </c>
      <c r="I865" s="50">
        <v>3</v>
      </c>
      <c r="J865" t="s">
        <v>138</v>
      </c>
      <c r="K865" t="s">
        <v>14</v>
      </c>
      <c r="L865" t="s">
        <v>12</v>
      </c>
      <c r="M865">
        <v>20</v>
      </c>
      <c r="N865" t="s">
        <v>606</v>
      </c>
      <c r="O865" s="83" t="s">
        <v>603</v>
      </c>
      <c r="P865" s="78">
        <v>45437</v>
      </c>
      <c r="Q865" t="str">
        <f t="shared" si="152"/>
        <v>Balázs Panni - Shogun</v>
      </c>
      <c r="R865" t="s">
        <v>636</v>
      </c>
      <c r="S865" t="s">
        <v>636</v>
      </c>
      <c r="T865" t="s">
        <v>644</v>
      </c>
    </row>
    <row r="866" spans="1:20" x14ac:dyDescent="0.3">
      <c r="A866" s="2" t="s">
        <v>600</v>
      </c>
      <c r="B866" s="50">
        <v>1</v>
      </c>
      <c r="C866">
        <v>13</v>
      </c>
      <c r="D866" t="s">
        <v>7</v>
      </c>
      <c r="E866" t="s">
        <v>504</v>
      </c>
      <c r="F866" t="s">
        <v>504</v>
      </c>
      <c r="G866" s="50" t="s">
        <v>601</v>
      </c>
      <c r="H866" t="s">
        <v>602</v>
      </c>
      <c r="I866" s="50">
        <v>3</v>
      </c>
      <c r="J866" t="str">
        <f>"Kiss-Leizer Luca"</f>
        <v>Kiss-Leizer Luca</v>
      </c>
      <c r="K866" t="str">
        <f>"KKE - Spartacus"</f>
        <v>KKE - Spartacus</v>
      </c>
      <c r="L866" t="s">
        <v>12</v>
      </c>
      <c r="M866">
        <v>15</v>
      </c>
      <c r="N866" t="s">
        <v>605</v>
      </c>
      <c r="O866" s="83" t="s">
        <v>603</v>
      </c>
      <c r="P866" s="78">
        <v>45436</v>
      </c>
      <c r="Q866" t="str">
        <f t="shared" si="152"/>
        <v>Kiss-Leizer Luca - KKE - Spartacus</v>
      </c>
      <c r="R866" t="s">
        <v>636</v>
      </c>
      <c r="S866" t="s">
        <v>636</v>
      </c>
      <c r="T866" t="s">
        <v>645</v>
      </c>
    </row>
    <row r="867" spans="1:20" x14ac:dyDescent="0.3">
      <c r="A867" s="2" t="s">
        <v>600</v>
      </c>
      <c r="B867" s="50">
        <v>1</v>
      </c>
      <c r="C867">
        <v>14</v>
      </c>
      <c r="D867" t="s">
        <v>7</v>
      </c>
      <c r="E867" t="s">
        <v>504</v>
      </c>
      <c r="F867" t="s">
        <v>504</v>
      </c>
      <c r="G867" s="50" t="s">
        <v>601</v>
      </c>
      <c r="H867" t="s">
        <v>602</v>
      </c>
      <c r="I867" s="67" t="s">
        <v>302</v>
      </c>
      <c r="J867" t="str">
        <f>"Bánky Liliána"</f>
        <v>Bánky Liliána</v>
      </c>
      <c r="K867" t="str">
        <f>"BHMSE"</f>
        <v>BHMSE</v>
      </c>
      <c r="L867" t="s">
        <v>12</v>
      </c>
      <c r="M867" s="99">
        <f>8-8</f>
        <v>0</v>
      </c>
      <c r="N867" s="99" t="s">
        <v>608</v>
      </c>
      <c r="O867" s="83" t="s">
        <v>603</v>
      </c>
      <c r="P867" s="78">
        <v>45436</v>
      </c>
      <c r="Q867" t="str">
        <f t="shared" si="152"/>
        <v>Bánky Liliána - BHMSE</v>
      </c>
      <c r="R867" t="s">
        <v>636</v>
      </c>
      <c r="S867" t="s">
        <v>636</v>
      </c>
      <c r="T867" t="s">
        <v>645</v>
      </c>
    </row>
    <row r="868" spans="1:20" x14ac:dyDescent="0.3">
      <c r="A868" s="2" t="s">
        <v>600</v>
      </c>
      <c r="B868" s="50">
        <v>1</v>
      </c>
      <c r="C868">
        <v>15</v>
      </c>
      <c r="D868" t="s">
        <v>7</v>
      </c>
      <c r="E868" t="s">
        <v>505</v>
      </c>
      <c r="F868" t="s">
        <v>505</v>
      </c>
      <c r="G868" s="50" t="s">
        <v>601</v>
      </c>
      <c r="H868" t="s">
        <v>602</v>
      </c>
      <c r="I868" s="67" t="s">
        <v>302</v>
      </c>
      <c r="J868" t="str">
        <f>"Bagdi Alexa Zita"</f>
        <v>Bagdi Alexa Zita</v>
      </c>
      <c r="K868" t="str">
        <f>"BHMSE"</f>
        <v>BHMSE</v>
      </c>
      <c r="L868" t="s">
        <v>12</v>
      </c>
      <c r="M868">
        <f>8</f>
        <v>8</v>
      </c>
      <c r="N868" t="s">
        <v>605</v>
      </c>
      <c r="O868" s="83" t="s">
        <v>603</v>
      </c>
      <c r="P868" s="78">
        <v>45436</v>
      </c>
      <c r="Q868" t="str">
        <f t="shared" si="152"/>
        <v>Bagdi Alexa Zita - BHMSE</v>
      </c>
      <c r="R868" t="s">
        <v>636</v>
      </c>
      <c r="S868" t="s">
        <v>636</v>
      </c>
      <c r="T868" t="s">
        <v>645</v>
      </c>
    </row>
    <row r="869" spans="1:20" x14ac:dyDescent="0.3">
      <c r="A869" s="2" t="s">
        <v>600</v>
      </c>
      <c r="B869" s="50">
        <v>1</v>
      </c>
      <c r="C869">
        <v>16</v>
      </c>
      <c r="D869" t="s">
        <v>7</v>
      </c>
      <c r="E869" t="s">
        <v>507</v>
      </c>
      <c r="F869" t="s">
        <v>507</v>
      </c>
      <c r="G869" s="50" t="s">
        <v>601</v>
      </c>
      <c r="H869" t="s">
        <v>602</v>
      </c>
      <c r="I869" s="67" t="s">
        <v>302</v>
      </c>
      <c r="J869" t="str">
        <f>"Kozma Rebeka"</f>
        <v>Kozma Rebeka</v>
      </c>
      <c r="K869" t="str">
        <f>"KKE - Spartacus"</f>
        <v>KKE - Spartacus</v>
      </c>
      <c r="L869" t="s">
        <v>12</v>
      </c>
      <c r="M869" s="99">
        <f>8-8</f>
        <v>0</v>
      </c>
      <c r="N869" s="99" t="s">
        <v>608</v>
      </c>
      <c r="O869" s="83" t="s">
        <v>603</v>
      </c>
      <c r="P869" s="78">
        <v>45436</v>
      </c>
      <c r="Q869" t="str">
        <f t="shared" si="152"/>
        <v>Kozma Rebeka - KKE - Spartacus</v>
      </c>
      <c r="R869" t="s">
        <v>636</v>
      </c>
      <c r="S869" t="s">
        <v>636</v>
      </c>
      <c r="T869" t="s">
        <v>645</v>
      </c>
    </row>
    <row r="870" spans="1:20" x14ac:dyDescent="0.3">
      <c r="A870" s="2" t="s">
        <v>600</v>
      </c>
      <c r="B870" s="50">
        <v>1</v>
      </c>
      <c r="C870">
        <v>17</v>
      </c>
      <c r="D870" t="s">
        <v>7</v>
      </c>
      <c r="E870" t="s">
        <v>507</v>
      </c>
      <c r="F870" t="s">
        <v>507</v>
      </c>
      <c r="G870" s="50" t="s">
        <v>601</v>
      </c>
      <c r="H870" t="s">
        <v>602</v>
      </c>
      <c r="I870" s="67" t="s">
        <v>302</v>
      </c>
      <c r="J870" t="s">
        <v>69</v>
      </c>
      <c r="K870" t="s">
        <v>14</v>
      </c>
      <c r="L870" t="s">
        <v>12</v>
      </c>
      <c r="M870" s="99">
        <f>8-8</f>
        <v>0</v>
      </c>
      <c r="N870" s="99" t="s">
        <v>608</v>
      </c>
      <c r="O870" s="83" t="s">
        <v>603</v>
      </c>
      <c r="P870" s="78">
        <v>45436</v>
      </c>
      <c r="Q870" t="str">
        <f t="shared" si="152"/>
        <v>Sólyom Gréta - Shogun</v>
      </c>
      <c r="R870" t="s">
        <v>636</v>
      </c>
      <c r="S870" t="s">
        <v>636</v>
      </c>
      <c r="T870" t="s">
        <v>645</v>
      </c>
    </row>
    <row r="871" spans="1:20" x14ac:dyDescent="0.3">
      <c r="A871" s="2" t="s">
        <v>600</v>
      </c>
      <c r="B871" s="50">
        <v>1</v>
      </c>
      <c r="C871">
        <v>18</v>
      </c>
      <c r="D871" t="s">
        <v>7</v>
      </c>
      <c r="E871" t="s">
        <v>508</v>
      </c>
      <c r="F871" t="s">
        <v>508</v>
      </c>
      <c r="G871" s="50" t="s">
        <v>601</v>
      </c>
      <c r="H871" t="s">
        <v>602</v>
      </c>
      <c r="I871" s="50">
        <v>2</v>
      </c>
      <c r="J871" t="s">
        <v>74</v>
      </c>
      <c r="K871" t="s">
        <v>14</v>
      </c>
      <c r="L871" t="s">
        <v>12</v>
      </c>
      <c r="M871">
        <v>25</v>
      </c>
      <c r="N871" t="s">
        <v>605</v>
      </c>
      <c r="O871" s="83" t="s">
        <v>603</v>
      </c>
      <c r="P871" s="78">
        <v>45436</v>
      </c>
      <c r="Q871" t="str">
        <f t="shared" si="152"/>
        <v>Rácz Viktória - Shogun</v>
      </c>
      <c r="R871" t="s">
        <v>636</v>
      </c>
      <c r="S871" t="s">
        <v>636</v>
      </c>
      <c r="T871" t="s">
        <v>645</v>
      </c>
    </row>
    <row r="872" spans="1:20" x14ac:dyDescent="0.3">
      <c r="A872" s="2" t="s">
        <v>600</v>
      </c>
      <c r="B872" s="50">
        <v>1</v>
      </c>
      <c r="C872">
        <v>19</v>
      </c>
      <c r="D872" t="s">
        <v>7</v>
      </c>
      <c r="E872" t="s">
        <v>496</v>
      </c>
      <c r="F872" t="s">
        <v>496</v>
      </c>
      <c r="G872" s="50" t="s">
        <v>601</v>
      </c>
      <c r="H872" t="s">
        <v>602</v>
      </c>
      <c r="I872" s="67" t="s">
        <v>302</v>
      </c>
      <c r="J872" t="str">
        <f>"Pető Zsombor Tamás"</f>
        <v>Pető Zsombor Tamás</v>
      </c>
      <c r="K872" t="str">
        <f>"Spirit SE."</f>
        <v>Spirit SE.</v>
      </c>
      <c r="L872" t="s">
        <v>12</v>
      </c>
      <c r="M872">
        <f>8</f>
        <v>8</v>
      </c>
      <c r="N872" t="s">
        <v>605</v>
      </c>
      <c r="O872" s="83" t="s">
        <v>603</v>
      </c>
      <c r="P872" s="78">
        <v>45436</v>
      </c>
      <c r="Q872" t="str">
        <f t="shared" si="152"/>
        <v>Pető Zsombor Tamás - Spirit SE.</v>
      </c>
      <c r="R872" t="s">
        <v>636</v>
      </c>
      <c r="S872" t="s">
        <v>636</v>
      </c>
      <c r="T872" t="s">
        <v>645</v>
      </c>
    </row>
    <row r="873" spans="1:20" x14ac:dyDescent="0.3">
      <c r="A873" s="2" t="s">
        <v>600</v>
      </c>
      <c r="B873" s="50">
        <v>1</v>
      </c>
      <c r="C873">
        <v>20</v>
      </c>
      <c r="D873" t="s">
        <v>7</v>
      </c>
      <c r="E873" t="s">
        <v>496</v>
      </c>
      <c r="F873" t="s">
        <v>496</v>
      </c>
      <c r="G873" s="50" t="s">
        <v>601</v>
      </c>
      <c r="H873" t="s">
        <v>602</v>
      </c>
      <c r="I873" s="67" t="s">
        <v>302</v>
      </c>
      <c r="J873" t="str">
        <f>"Breznyiczki Benedek"</f>
        <v>Breznyiczki Benedek</v>
      </c>
      <c r="K873" t="str">
        <f>"Nozomu Dojo"</f>
        <v>Nozomu Dojo</v>
      </c>
      <c r="L873" t="s">
        <v>12</v>
      </c>
      <c r="M873">
        <f>8</f>
        <v>8</v>
      </c>
      <c r="N873" t="s">
        <v>605</v>
      </c>
      <c r="O873" s="83" t="s">
        <v>603</v>
      </c>
      <c r="P873" s="78">
        <v>45436</v>
      </c>
      <c r="Q873" t="str">
        <f t="shared" si="152"/>
        <v>Breznyiczki Benedek - Nozomu Dojo</v>
      </c>
      <c r="R873" t="s">
        <v>636</v>
      </c>
      <c r="S873" t="s">
        <v>636</v>
      </c>
      <c r="T873" t="s">
        <v>645</v>
      </c>
    </row>
    <row r="874" spans="1:20" x14ac:dyDescent="0.3">
      <c r="A874" s="2" t="s">
        <v>600</v>
      </c>
      <c r="B874" s="50">
        <v>1</v>
      </c>
      <c r="C874">
        <v>21</v>
      </c>
      <c r="D874" t="s">
        <v>7</v>
      </c>
      <c r="E874" t="s">
        <v>498</v>
      </c>
      <c r="F874" t="s">
        <v>498</v>
      </c>
      <c r="G874" s="50" t="s">
        <v>601</v>
      </c>
      <c r="H874" t="s">
        <v>602</v>
      </c>
      <c r="I874" s="50">
        <v>2</v>
      </c>
      <c r="J874" s="83" t="str">
        <f>"Hardi Balázs"</f>
        <v>Hardi Balázs</v>
      </c>
      <c r="K874" s="83" t="str">
        <f>"Siófok KSE"</f>
        <v>Siófok KSE</v>
      </c>
      <c r="L874" t="s">
        <v>12</v>
      </c>
      <c r="M874">
        <v>25</v>
      </c>
      <c r="N874" t="s">
        <v>605</v>
      </c>
      <c r="O874" s="83" t="s">
        <v>603</v>
      </c>
      <c r="P874" s="78">
        <v>45436</v>
      </c>
      <c r="Q874" t="str">
        <f t="shared" si="152"/>
        <v>Hardi Balázs - Siófok KSE</v>
      </c>
      <c r="R874" t="s">
        <v>636</v>
      </c>
      <c r="S874" t="s">
        <v>636</v>
      </c>
      <c r="T874" t="s">
        <v>645</v>
      </c>
    </row>
    <row r="875" spans="1:20" x14ac:dyDescent="0.3">
      <c r="A875" s="2" t="s">
        <v>600</v>
      </c>
      <c r="B875" s="50">
        <v>1</v>
      </c>
      <c r="C875">
        <v>22</v>
      </c>
      <c r="D875" t="s">
        <v>7</v>
      </c>
      <c r="E875" t="s">
        <v>503</v>
      </c>
      <c r="F875" t="s">
        <v>503</v>
      </c>
      <c r="G875" s="50" t="s">
        <v>601</v>
      </c>
      <c r="H875" t="s">
        <v>602</v>
      </c>
      <c r="I875" s="50">
        <v>2</v>
      </c>
      <c r="J875" s="83" t="str">
        <f>"Arnódi Gréta Bernadette"</f>
        <v>Arnódi Gréta Bernadette</v>
      </c>
      <c r="K875" s="83" t="str">
        <f>"Kagami"</f>
        <v>Kagami</v>
      </c>
      <c r="L875" t="s">
        <v>12</v>
      </c>
      <c r="M875">
        <v>15</v>
      </c>
      <c r="N875" t="s">
        <v>605</v>
      </c>
      <c r="O875" s="83" t="s">
        <v>603</v>
      </c>
      <c r="P875" s="78">
        <v>45436</v>
      </c>
      <c r="Q875" t="str">
        <f t="shared" si="152"/>
        <v>Arnódi Gréta Bernadette - Kagami</v>
      </c>
      <c r="R875" t="s">
        <v>636</v>
      </c>
      <c r="S875" t="s">
        <v>636</v>
      </c>
      <c r="T875" t="s">
        <v>645</v>
      </c>
    </row>
    <row r="876" spans="1:20" x14ac:dyDescent="0.3">
      <c r="A876" s="2" t="s">
        <v>600</v>
      </c>
      <c r="B876" s="50">
        <v>1</v>
      </c>
      <c r="C876">
        <v>23</v>
      </c>
      <c r="D876" t="s">
        <v>7</v>
      </c>
      <c r="E876" t="s">
        <v>503</v>
      </c>
      <c r="F876" t="s">
        <v>503</v>
      </c>
      <c r="G876" s="50" t="s">
        <v>601</v>
      </c>
      <c r="H876" t="s">
        <v>602</v>
      </c>
      <c r="I876" s="67" t="s">
        <v>302</v>
      </c>
      <c r="J876" t="s">
        <v>74</v>
      </c>
      <c r="K876" t="s">
        <v>14</v>
      </c>
      <c r="L876" t="s">
        <v>12</v>
      </c>
      <c r="M876">
        <v>6</v>
      </c>
      <c r="N876" t="s">
        <v>605</v>
      </c>
      <c r="O876" s="83" t="s">
        <v>603</v>
      </c>
      <c r="P876" s="78">
        <v>45436</v>
      </c>
      <c r="Q876" t="str">
        <f t="shared" si="152"/>
        <v>Rácz Viktória - Shogun</v>
      </c>
      <c r="R876" t="s">
        <v>636</v>
      </c>
      <c r="S876" t="s">
        <v>636</v>
      </c>
      <c r="T876" t="s">
        <v>645</v>
      </c>
    </row>
    <row r="877" spans="1:20" x14ac:dyDescent="0.3">
      <c r="A877" s="2" t="s">
        <v>600</v>
      </c>
      <c r="B877" s="50">
        <v>1</v>
      </c>
      <c r="C877">
        <v>24</v>
      </c>
      <c r="D877" t="s">
        <v>126</v>
      </c>
      <c r="E877" t="s">
        <v>607</v>
      </c>
      <c r="F877" t="s">
        <v>607</v>
      </c>
      <c r="G877" s="50" t="s">
        <v>601</v>
      </c>
      <c r="H877" t="s">
        <v>602</v>
      </c>
      <c r="I877" s="67">
        <v>3</v>
      </c>
      <c r="J877" t="s">
        <v>639</v>
      </c>
      <c r="K877" t="s">
        <v>149</v>
      </c>
      <c r="L877" t="s">
        <v>12</v>
      </c>
      <c r="M877" s="105">
        <f>10/3</f>
        <v>3.3333333333333335</v>
      </c>
      <c r="N877" t="s">
        <v>642</v>
      </c>
      <c r="O877" s="83" t="s">
        <v>603</v>
      </c>
      <c r="P877" s="78">
        <v>45436</v>
      </c>
      <c r="Q877" t="str">
        <f t="shared" si="152"/>
        <v>Arnódi Gréta Bernadette (csapatban) - Kagami</v>
      </c>
      <c r="R877" t="s">
        <v>636</v>
      </c>
      <c r="S877" t="s">
        <v>636</v>
      </c>
      <c r="T877" t="s">
        <v>645</v>
      </c>
    </row>
    <row r="878" spans="1:20" x14ac:dyDescent="0.3">
      <c r="A878" s="2" t="s">
        <v>600</v>
      </c>
      <c r="B878" s="50">
        <v>1</v>
      </c>
      <c r="C878">
        <v>24</v>
      </c>
      <c r="D878" t="s">
        <v>126</v>
      </c>
      <c r="E878" t="s">
        <v>607</v>
      </c>
      <c r="F878" t="s">
        <v>607</v>
      </c>
      <c r="G878" s="50" t="s">
        <v>601</v>
      </c>
      <c r="H878" t="s">
        <v>602</v>
      </c>
      <c r="I878" s="67">
        <v>3</v>
      </c>
      <c r="J878" t="s">
        <v>640</v>
      </c>
      <c r="K878" t="s">
        <v>149</v>
      </c>
      <c r="L878" t="s">
        <v>12</v>
      </c>
      <c r="M878" s="105">
        <f t="shared" ref="M878:M879" si="158">10/3</f>
        <v>3.3333333333333335</v>
      </c>
      <c r="N878" t="s">
        <v>642</v>
      </c>
      <c r="O878" s="83" t="s">
        <v>603</v>
      </c>
      <c r="P878" s="78">
        <v>45436</v>
      </c>
      <c r="Q878" t="str">
        <f t="shared" si="152"/>
        <v>Kollár Nóra (csapatban) - Kagami</v>
      </c>
      <c r="R878" t="s">
        <v>636</v>
      </c>
      <c r="S878" t="s">
        <v>636</v>
      </c>
      <c r="T878" t="s">
        <v>645</v>
      </c>
    </row>
    <row r="879" spans="1:20" x14ac:dyDescent="0.3">
      <c r="A879" s="2" t="s">
        <v>600</v>
      </c>
      <c r="B879" s="50">
        <v>1</v>
      </c>
      <c r="C879">
        <v>24</v>
      </c>
      <c r="D879" t="s">
        <v>126</v>
      </c>
      <c r="E879" t="s">
        <v>607</v>
      </c>
      <c r="F879" t="s">
        <v>607</v>
      </c>
      <c r="G879" s="50" t="s">
        <v>601</v>
      </c>
      <c r="H879" t="s">
        <v>602</v>
      </c>
      <c r="I879" s="67">
        <v>3</v>
      </c>
      <c r="J879" t="s">
        <v>641</v>
      </c>
      <c r="K879" t="s">
        <v>149</v>
      </c>
      <c r="L879" t="s">
        <v>12</v>
      </c>
      <c r="M879" s="105">
        <f t="shared" si="158"/>
        <v>3.3333333333333335</v>
      </c>
      <c r="N879" t="s">
        <v>642</v>
      </c>
      <c r="O879" s="83" t="s">
        <v>603</v>
      </c>
      <c r="P879" s="78">
        <v>45436</v>
      </c>
      <c r="Q879" t="str">
        <f t="shared" si="152"/>
        <v>Berényi Lujza Beatrix (csapatban) - Kagami</v>
      </c>
      <c r="R879" t="s">
        <v>636</v>
      </c>
      <c r="S879" t="s">
        <v>636</v>
      </c>
      <c r="T879" t="s">
        <v>645</v>
      </c>
    </row>
    <row r="880" spans="1:20" x14ac:dyDescent="0.3">
      <c r="A880" s="2" t="s">
        <v>611</v>
      </c>
      <c r="B880" s="50">
        <v>2</v>
      </c>
      <c r="C880">
        <v>1</v>
      </c>
      <c r="D880" t="str">
        <f t="shared" ref="D880:D887" si="159">"Kumite"</f>
        <v>Kumite</v>
      </c>
      <c r="E880" t="str">
        <f>"Kumite, -, 0-30 kg, Gyerek 1. (9-10"</f>
        <v>Kumite, -, 0-30 kg, Gyerek 1. (9-10</v>
      </c>
      <c r="F880" t="s">
        <v>509</v>
      </c>
      <c r="G880" s="50" t="str">
        <f>"5"</f>
        <v>5</v>
      </c>
      <c r="H880" t="str">
        <f>"5 fős körmérkőzés"</f>
        <v>5 fős körmérkőzés</v>
      </c>
      <c r="I880" s="50" t="str">
        <f>"1"</f>
        <v>1</v>
      </c>
      <c r="J880" t="str">
        <f>"Eszenyi Barnabás"</f>
        <v>Eszenyi Barnabás</v>
      </c>
      <c r="K880" t="str">
        <f>"Shogun"</f>
        <v>Shogun</v>
      </c>
      <c r="L880" t="str">
        <f t="shared" ref="L880:L906" si="160">"HUN"</f>
        <v>HUN</v>
      </c>
      <c r="M880">
        <v>8</v>
      </c>
      <c r="O880" s="83" t="s">
        <v>243</v>
      </c>
      <c r="P880" s="78">
        <v>45451</v>
      </c>
      <c r="Q880" t="str">
        <f t="shared" si="152"/>
        <v>Eszenyi Barnabás - Shogun</v>
      </c>
      <c r="R880" t="s">
        <v>636</v>
      </c>
      <c r="S880" t="s">
        <v>636</v>
      </c>
      <c r="T880" t="s">
        <v>645</v>
      </c>
    </row>
    <row r="881" spans="1:20" x14ac:dyDescent="0.3">
      <c r="A881" s="2" t="s">
        <v>611</v>
      </c>
      <c r="B881" s="50">
        <v>2</v>
      </c>
      <c r="C881">
        <v>2</v>
      </c>
      <c r="D881" t="str">
        <f t="shared" si="159"/>
        <v>Kumite</v>
      </c>
      <c r="E881" t="str">
        <f>"Kumite, -, 0-30 kg, Gyerek 1. (9-10"</f>
        <v>Kumite, -, 0-30 kg, Gyerek 1. (9-10</v>
      </c>
      <c r="F881" t="s">
        <v>509</v>
      </c>
      <c r="G881" s="50" t="str">
        <f>"5"</f>
        <v>5</v>
      </c>
      <c r="H881" t="str">
        <f>"5 fős körmérkőzés"</f>
        <v>5 fős körmérkőzés</v>
      </c>
      <c r="I881" s="50" t="str">
        <f>"2"</f>
        <v>2</v>
      </c>
      <c r="J881" t="str">
        <f>"Kiss Adrián"</f>
        <v>Kiss Adrián</v>
      </c>
      <c r="K881" t="str">
        <f>"Keizoku SE"</f>
        <v>Keizoku SE</v>
      </c>
      <c r="L881" t="str">
        <f t="shared" si="160"/>
        <v>HUN</v>
      </c>
      <c r="M881">
        <v>6</v>
      </c>
      <c r="O881" s="83" t="s">
        <v>243</v>
      </c>
      <c r="P881" s="78">
        <v>45451</v>
      </c>
      <c r="Q881" t="str">
        <f t="shared" si="152"/>
        <v>Kiss Adrián - Keizoku SE</v>
      </c>
      <c r="R881" t="s">
        <v>636</v>
      </c>
      <c r="S881" t="s">
        <v>636</v>
      </c>
      <c r="T881" t="s">
        <v>645</v>
      </c>
    </row>
    <row r="882" spans="1:20" x14ac:dyDescent="0.3">
      <c r="A882" s="2" t="s">
        <v>611</v>
      </c>
      <c r="B882" s="50">
        <v>2</v>
      </c>
      <c r="C882">
        <v>3</v>
      </c>
      <c r="D882" t="str">
        <f t="shared" si="159"/>
        <v>Kumite</v>
      </c>
      <c r="E882" t="str">
        <f>"Kumite, -, 0-30 kg, Gyerek 1. (9-10"</f>
        <v>Kumite, -, 0-30 kg, Gyerek 1. (9-10</v>
      </c>
      <c r="F882" t="s">
        <v>509</v>
      </c>
      <c r="G882" s="50" t="str">
        <f>"5"</f>
        <v>5</v>
      </c>
      <c r="H882" t="str">
        <f>"5 fős körmérkőzés"</f>
        <v>5 fős körmérkőzés</v>
      </c>
      <c r="I882" s="50" t="str">
        <f>"3"</f>
        <v>3</v>
      </c>
      <c r="J882" t="str">
        <f>"Tarr Bence"</f>
        <v>Tarr Bence</v>
      </c>
      <c r="K882" t="str">
        <f>"Shogun"</f>
        <v>Shogun</v>
      </c>
      <c r="L882" t="str">
        <f t="shared" si="160"/>
        <v>HUN</v>
      </c>
      <c r="M882">
        <v>4</v>
      </c>
      <c r="O882" s="83" t="s">
        <v>243</v>
      </c>
      <c r="P882" s="78">
        <v>45451</v>
      </c>
      <c r="Q882" t="str">
        <f t="shared" si="152"/>
        <v>Tarr Bence - Shogun</v>
      </c>
      <c r="R882" t="s">
        <v>636</v>
      </c>
      <c r="S882" t="s">
        <v>636</v>
      </c>
      <c r="T882" t="s">
        <v>645</v>
      </c>
    </row>
    <row r="883" spans="1:20" x14ac:dyDescent="0.3">
      <c r="A883" s="2" t="s">
        <v>611</v>
      </c>
      <c r="B883" s="50">
        <v>2</v>
      </c>
      <c r="C883">
        <v>3</v>
      </c>
      <c r="D883" t="str">
        <f t="shared" si="159"/>
        <v>Kumite</v>
      </c>
      <c r="E883" t="str">
        <f t="shared" ref="E883:E884" si="161">"Kumite, -, 0-30 kg, Gyerek 1. (9-10"</f>
        <v>Kumite, -, 0-30 kg, Gyerek 1. (9-10</v>
      </c>
      <c r="F883" t="s">
        <v>509</v>
      </c>
      <c r="G883" s="50" t="str">
        <f t="shared" ref="G883:G884" si="162">"5"</f>
        <v>5</v>
      </c>
      <c r="H883" t="str">
        <f t="shared" ref="H883:H884" si="163">"5 fős körmérkőzés"</f>
        <v>5 fős körmérkőzés</v>
      </c>
      <c r="I883" s="50">
        <v>4</v>
      </c>
      <c r="J883" t="s">
        <v>613</v>
      </c>
      <c r="K883" t="s">
        <v>325</v>
      </c>
      <c r="L883" t="str">
        <f t="shared" si="160"/>
        <v>HUN</v>
      </c>
      <c r="M883">
        <v>3</v>
      </c>
      <c r="N883" t="s">
        <v>589</v>
      </c>
      <c r="O883" s="83" t="s">
        <v>243</v>
      </c>
      <c r="P883" s="78">
        <v>45451</v>
      </c>
      <c r="Q883" t="str">
        <f t="shared" si="152"/>
        <v>Szabó Áron Levente - Katana SE</v>
      </c>
      <c r="R883" t="s">
        <v>636</v>
      </c>
      <c r="S883" t="s">
        <v>636</v>
      </c>
      <c r="T883" t="s">
        <v>645</v>
      </c>
    </row>
    <row r="884" spans="1:20" x14ac:dyDescent="0.3">
      <c r="A884" s="2" t="s">
        <v>611</v>
      </c>
      <c r="B884" s="50">
        <v>2</v>
      </c>
      <c r="C884">
        <v>3</v>
      </c>
      <c r="D884" t="str">
        <f t="shared" si="159"/>
        <v>Kumite</v>
      </c>
      <c r="E884" t="str">
        <f t="shared" si="161"/>
        <v>Kumite, -, 0-30 kg, Gyerek 1. (9-10</v>
      </c>
      <c r="F884" t="s">
        <v>509</v>
      </c>
      <c r="G884" s="50" t="str">
        <f t="shared" si="162"/>
        <v>5</v>
      </c>
      <c r="H884" t="str">
        <f t="shared" si="163"/>
        <v>5 fős körmérkőzés</v>
      </c>
      <c r="I884" s="50">
        <v>4</v>
      </c>
      <c r="J884" t="s">
        <v>341</v>
      </c>
      <c r="K884" t="str">
        <f>"BHMSE"</f>
        <v>BHMSE</v>
      </c>
      <c r="L884" t="str">
        <f t="shared" si="160"/>
        <v>HUN</v>
      </c>
      <c r="M884">
        <v>3</v>
      </c>
      <c r="N884" t="s">
        <v>589</v>
      </c>
      <c r="O884" s="83" t="s">
        <v>243</v>
      </c>
      <c r="P884" s="78">
        <v>45451</v>
      </c>
      <c r="Q884" t="str">
        <f t="shared" si="152"/>
        <v>Gombos-Weidinger Zsombor - BHMSE</v>
      </c>
      <c r="R884" t="s">
        <v>636</v>
      </c>
      <c r="S884" t="s">
        <v>636</v>
      </c>
      <c r="T884" t="s">
        <v>645</v>
      </c>
    </row>
    <row r="885" spans="1:20" x14ac:dyDescent="0.3">
      <c r="A885" s="2" t="s">
        <v>611</v>
      </c>
      <c r="B885" s="50">
        <v>2</v>
      </c>
      <c r="C885">
        <v>4</v>
      </c>
      <c r="D885" t="str">
        <f t="shared" si="159"/>
        <v>Kumite</v>
      </c>
      <c r="E885" t="str">
        <f>"Kumite, -, 30-35 kg, Gyerek 1. (9-10"</f>
        <v>Kumite, -, 30-35 kg, Gyerek 1. (9-10</v>
      </c>
      <c r="F885" t="s">
        <v>511</v>
      </c>
      <c r="G885" s="50" t="str">
        <f>"4"</f>
        <v>4</v>
      </c>
      <c r="H885" t="str">
        <f>"4 fős körmérkőzés"</f>
        <v>4 fős körmérkőzés</v>
      </c>
      <c r="I885" s="50" t="str">
        <f>"1"</f>
        <v>1</v>
      </c>
      <c r="J885" t="str">
        <f>"Tálas Csongor"</f>
        <v>Tálas Csongor</v>
      </c>
      <c r="K885" t="str">
        <f>"Ippon KKSE"</f>
        <v>Ippon KKSE</v>
      </c>
      <c r="L885" t="str">
        <f t="shared" si="160"/>
        <v>HUN</v>
      </c>
      <c r="M885">
        <v>6</v>
      </c>
      <c r="O885" s="83" t="s">
        <v>243</v>
      </c>
      <c r="P885" s="78">
        <v>45451</v>
      </c>
      <c r="Q885" t="str">
        <f t="shared" si="152"/>
        <v>Tálas Csongor - Ippon KKSE</v>
      </c>
      <c r="R885" t="s">
        <v>636</v>
      </c>
      <c r="S885" t="s">
        <v>636</v>
      </c>
      <c r="T885" t="s">
        <v>645</v>
      </c>
    </row>
    <row r="886" spans="1:20" x14ac:dyDescent="0.3">
      <c r="A886" s="2" t="s">
        <v>611</v>
      </c>
      <c r="B886" s="50">
        <v>2</v>
      </c>
      <c r="C886">
        <v>5</v>
      </c>
      <c r="D886" t="str">
        <f t="shared" si="159"/>
        <v>Kumite</v>
      </c>
      <c r="E886" t="str">
        <f>"Kumite, -, 30-35 kg, Gyerek 1. (9-10"</f>
        <v>Kumite, -, 30-35 kg, Gyerek 1. (9-10</v>
      </c>
      <c r="F886" t="s">
        <v>511</v>
      </c>
      <c r="G886" s="50" t="str">
        <f>"4"</f>
        <v>4</v>
      </c>
      <c r="H886" t="str">
        <f>"4 fős körmérkőzés"</f>
        <v>4 fős körmérkőzés</v>
      </c>
      <c r="I886" s="50" t="str">
        <f>"2"</f>
        <v>2</v>
      </c>
      <c r="J886" t="str">
        <f>"Hegedűs Botond"</f>
        <v>Hegedűs Botond</v>
      </c>
      <c r="K886" t="str">
        <f>"Keizoku SE"</f>
        <v>Keizoku SE</v>
      </c>
      <c r="L886" t="str">
        <f t="shared" si="160"/>
        <v>HUN</v>
      </c>
      <c r="M886">
        <v>5</v>
      </c>
      <c r="O886" s="83" t="s">
        <v>243</v>
      </c>
      <c r="P886" s="78">
        <v>45451</v>
      </c>
      <c r="Q886" t="str">
        <f t="shared" si="152"/>
        <v>Hegedűs Botond - Keizoku SE</v>
      </c>
      <c r="R886" t="s">
        <v>636</v>
      </c>
      <c r="S886" t="s">
        <v>636</v>
      </c>
      <c r="T886" t="s">
        <v>645</v>
      </c>
    </row>
    <row r="887" spans="1:20" x14ac:dyDescent="0.3">
      <c r="A887" s="2" t="s">
        <v>611</v>
      </c>
      <c r="B887" s="50">
        <v>2</v>
      </c>
      <c r="C887">
        <v>6</v>
      </c>
      <c r="D887" t="str">
        <f t="shared" si="159"/>
        <v>Kumite</v>
      </c>
      <c r="E887" t="str">
        <f>"Kumite, -, 30-35 kg, Gyerek 1. (9-10"</f>
        <v>Kumite, -, 30-35 kg, Gyerek 1. (9-10</v>
      </c>
      <c r="F887" t="s">
        <v>511</v>
      </c>
      <c r="G887" s="50" t="str">
        <f>"4"</f>
        <v>4</v>
      </c>
      <c r="H887" t="str">
        <f>"4 fős körmérkőzés"</f>
        <v>4 fős körmérkőzés</v>
      </c>
      <c r="I887" s="50" t="str">
        <f>"3"</f>
        <v>3</v>
      </c>
      <c r="J887" t="str">
        <f>"Némethy Balázs"</f>
        <v>Némethy Balázs</v>
      </c>
      <c r="K887" t="str">
        <f>"Shogun"</f>
        <v>Shogun</v>
      </c>
      <c r="L887" t="str">
        <f t="shared" si="160"/>
        <v>HUN</v>
      </c>
      <c r="M887">
        <v>3</v>
      </c>
      <c r="O887" s="83" t="s">
        <v>243</v>
      </c>
      <c r="P887" s="78">
        <v>45451</v>
      </c>
      <c r="Q887" t="str">
        <f t="shared" si="152"/>
        <v>Némethy Balázs - Shogun</v>
      </c>
      <c r="R887" t="s">
        <v>636</v>
      </c>
      <c r="S887" t="s">
        <v>636</v>
      </c>
      <c r="T887" t="s">
        <v>645</v>
      </c>
    </row>
    <row r="888" spans="1:20" x14ac:dyDescent="0.3">
      <c r="A888" s="2" t="s">
        <v>611</v>
      </c>
      <c r="B888" s="50">
        <v>2</v>
      </c>
      <c r="C888">
        <v>7</v>
      </c>
      <c r="D888" t="str">
        <f>"Kata"</f>
        <v>Kata</v>
      </c>
      <c r="E888" t="str">
        <f>"Kata, -, 0-150 kg, Gyerek 1. (9-10"</f>
        <v>Kata, -, 0-150 kg, Gyerek 1. (9-10</v>
      </c>
      <c r="F888" t="s">
        <v>514</v>
      </c>
      <c r="G888" s="50" t="str">
        <f>"6"</f>
        <v>6</v>
      </c>
      <c r="H888" t="str">
        <f>"6 fős vegyes"</f>
        <v>6 fős vegyes</v>
      </c>
      <c r="I888" s="50" t="str">
        <f>"1"</f>
        <v>1</v>
      </c>
      <c r="J888" t="str">
        <f>"Eszenyi Barnabás"</f>
        <v>Eszenyi Barnabás</v>
      </c>
      <c r="K888" t="str">
        <f>"Shogun"</f>
        <v>Shogun</v>
      </c>
      <c r="L888" t="str">
        <f t="shared" si="160"/>
        <v>HUN</v>
      </c>
      <c r="M888">
        <v>5</v>
      </c>
      <c r="O888" s="83" t="s">
        <v>243</v>
      </c>
      <c r="P888" s="78">
        <v>45451</v>
      </c>
      <c r="Q888" t="str">
        <f t="shared" si="152"/>
        <v>Eszenyi Barnabás - Shogun</v>
      </c>
      <c r="R888" t="s">
        <v>636</v>
      </c>
      <c r="S888" t="s">
        <v>636</v>
      </c>
      <c r="T888" t="s">
        <v>645</v>
      </c>
    </row>
    <row r="889" spans="1:20" x14ac:dyDescent="0.3">
      <c r="A889" s="2" t="s">
        <v>611</v>
      </c>
      <c r="B889" s="50">
        <v>2</v>
      </c>
      <c r="C889">
        <v>8</v>
      </c>
      <c r="D889" t="str">
        <f>"Kata"</f>
        <v>Kata</v>
      </c>
      <c r="E889" t="str">
        <f>"Kata, -, 0-150 kg, Gyerek 1. (9-10"</f>
        <v>Kata, -, 0-150 kg, Gyerek 1. (9-10</v>
      </c>
      <c r="F889" t="s">
        <v>514</v>
      </c>
      <c r="G889" s="50" t="str">
        <f>"6"</f>
        <v>6</v>
      </c>
      <c r="H889" t="str">
        <f>"6 fős vegyes"</f>
        <v>6 fős vegyes</v>
      </c>
      <c r="I889" s="50" t="str">
        <f>"2"</f>
        <v>2</v>
      </c>
      <c r="J889" t="str">
        <f>"Hegedűs Botond"</f>
        <v>Hegedűs Botond</v>
      </c>
      <c r="K889" t="str">
        <f>"Keizoku SE"</f>
        <v>Keizoku SE</v>
      </c>
      <c r="L889" t="str">
        <f t="shared" si="160"/>
        <v>HUN</v>
      </c>
      <c r="M889">
        <v>4</v>
      </c>
      <c r="O889" s="83" t="s">
        <v>243</v>
      </c>
      <c r="P889" s="78">
        <v>45451</v>
      </c>
      <c r="Q889" t="str">
        <f t="shared" si="152"/>
        <v>Hegedűs Botond - Keizoku SE</v>
      </c>
      <c r="R889" t="s">
        <v>636</v>
      </c>
      <c r="S889" t="s">
        <v>636</v>
      </c>
      <c r="T889" t="s">
        <v>645</v>
      </c>
    </row>
    <row r="890" spans="1:20" x14ac:dyDescent="0.3">
      <c r="A890" s="2" t="s">
        <v>611</v>
      </c>
      <c r="B890" s="50">
        <v>2</v>
      </c>
      <c r="C890">
        <v>9</v>
      </c>
      <c r="D890" t="str">
        <f>"Kata"</f>
        <v>Kata</v>
      </c>
      <c r="E890" t="str">
        <f>"Kata, -, 0-150 kg, Gyerek 1. (9-10"</f>
        <v>Kata, -, 0-150 kg, Gyerek 1. (9-10</v>
      </c>
      <c r="F890" t="s">
        <v>514</v>
      </c>
      <c r="G890" s="50" t="str">
        <f>"6"</f>
        <v>6</v>
      </c>
      <c r="H890" t="str">
        <f>"6 fős vegyes"</f>
        <v>6 fős vegyes</v>
      </c>
      <c r="I890" s="50" t="str">
        <f>"3"</f>
        <v>3</v>
      </c>
      <c r="J890" t="str">
        <f>"Tarr Bence"</f>
        <v>Tarr Bence</v>
      </c>
      <c r="K890" t="str">
        <f>"Shogun"</f>
        <v>Shogun</v>
      </c>
      <c r="L890" t="str">
        <f t="shared" si="160"/>
        <v>HUN</v>
      </c>
      <c r="M890">
        <v>2</v>
      </c>
      <c r="O890" s="83" t="s">
        <v>243</v>
      </c>
      <c r="P890" s="78">
        <v>45451</v>
      </c>
      <c r="Q890" t="str">
        <f t="shared" si="152"/>
        <v>Tarr Bence - Shogun</v>
      </c>
      <c r="R890" t="s">
        <v>636</v>
      </c>
      <c r="S890" t="s">
        <v>636</v>
      </c>
      <c r="T890" t="s">
        <v>645</v>
      </c>
    </row>
    <row r="891" spans="1:20" x14ac:dyDescent="0.3">
      <c r="A891" s="2" t="s">
        <v>611</v>
      </c>
      <c r="B891" s="50">
        <v>2</v>
      </c>
      <c r="C891">
        <v>10</v>
      </c>
      <c r="D891" t="str">
        <f t="shared" ref="D891:D896" si="164">"Kumite"</f>
        <v>Kumite</v>
      </c>
      <c r="E891" t="str">
        <f>"Kumite, -, 0-30 kg, Gyerek 1. (9-10"</f>
        <v>Kumite, -, 0-30 kg, Gyerek 1. (9-10</v>
      </c>
      <c r="F891" t="s">
        <v>515</v>
      </c>
      <c r="G891" s="50" t="str">
        <f t="shared" ref="G891:G898" si="165">"2"</f>
        <v>2</v>
      </c>
      <c r="H891" t="str">
        <f t="shared" ref="H891:H898" si="166">"2 fős egyenes kiesés"</f>
        <v>2 fős egyenes kiesés</v>
      </c>
      <c r="I891" s="50" t="str">
        <f>"1"</f>
        <v>1</v>
      </c>
      <c r="J891" t="str">
        <f>"Jakubovics Nikolett"</f>
        <v>Jakubovics Nikolett</v>
      </c>
      <c r="K891" t="str">
        <f>"BHMSE"</f>
        <v>BHMSE</v>
      </c>
      <c r="L891" t="str">
        <f t="shared" si="160"/>
        <v>HUN</v>
      </c>
      <c r="M891">
        <v>3</v>
      </c>
      <c r="O891" s="83" t="s">
        <v>243</v>
      </c>
      <c r="P891" s="78">
        <v>45451</v>
      </c>
      <c r="Q891" t="str">
        <f t="shared" si="152"/>
        <v>Jakubovics Nikolett - BHMSE</v>
      </c>
      <c r="R891" t="s">
        <v>636</v>
      </c>
      <c r="S891" t="s">
        <v>636</v>
      </c>
      <c r="T891" t="s">
        <v>645</v>
      </c>
    </row>
    <row r="892" spans="1:20" x14ac:dyDescent="0.3">
      <c r="A892" s="2" t="s">
        <v>611</v>
      </c>
      <c r="B892" s="50">
        <v>2</v>
      </c>
      <c r="C892">
        <v>11</v>
      </c>
      <c r="D892" t="str">
        <f t="shared" si="164"/>
        <v>Kumite</v>
      </c>
      <c r="E892" t="str">
        <f>"Kumite, -, 0-30 kg, Gyerek 1. (9-10"</f>
        <v>Kumite, -, 0-30 kg, Gyerek 1. (9-10</v>
      </c>
      <c r="F892" t="s">
        <v>515</v>
      </c>
      <c r="G892" s="50" t="str">
        <f t="shared" si="165"/>
        <v>2</v>
      </c>
      <c r="H892" t="str">
        <f t="shared" si="166"/>
        <v>2 fős egyenes kiesés</v>
      </c>
      <c r="I892" s="50" t="str">
        <f>"2"</f>
        <v>2</v>
      </c>
      <c r="J892" t="str">
        <f>"Pósán Fanni"</f>
        <v>Pósán Fanni</v>
      </c>
      <c r="K892" t="str">
        <f>"KHSE"</f>
        <v>KHSE</v>
      </c>
      <c r="L892" t="str">
        <f t="shared" si="160"/>
        <v>HUN</v>
      </c>
      <c r="M892">
        <v>0</v>
      </c>
      <c r="O892" s="83" t="s">
        <v>243</v>
      </c>
      <c r="P892" s="78">
        <v>45451</v>
      </c>
      <c r="Q892" t="str">
        <f t="shared" si="152"/>
        <v>Pósán Fanni - KHSE</v>
      </c>
      <c r="R892" t="s">
        <v>636</v>
      </c>
      <c r="S892" t="s">
        <v>636</v>
      </c>
      <c r="T892" t="s">
        <v>645</v>
      </c>
    </row>
    <row r="893" spans="1:20" x14ac:dyDescent="0.3">
      <c r="A893" s="2" t="s">
        <v>611</v>
      </c>
      <c r="B893" s="50">
        <v>2</v>
      </c>
      <c r="C893">
        <v>12</v>
      </c>
      <c r="D893" t="str">
        <f t="shared" si="164"/>
        <v>Kumite</v>
      </c>
      <c r="E893" t="str">
        <f>"Kumite, -, 30-35 kg, Gyerek 1. (9-10"</f>
        <v>Kumite, -, 30-35 kg, Gyerek 1. (9-10</v>
      </c>
      <c r="F893" t="s">
        <v>516</v>
      </c>
      <c r="G893" s="50" t="str">
        <f t="shared" si="165"/>
        <v>2</v>
      </c>
      <c r="H893" t="str">
        <f t="shared" si="166"/>
        <v>2 fős egyenes kiesés</v>
      </c>
      <c r="I893" s="50" t="str">
        <f>"1"</f>
        <v>1</v>
      </c>
      <c r="J893" t="str">
        <f>"Tóth Arina Bejke"</f>
        <v>Tóth Arina Bejke</v>
      </c>
      <c r="K893" t="str">
        <f>"Nagykátai Bushido SE"</f>
        <v>Nagykátai Bushido SE</v>
      </c>
      <c r="L893" t="str">
        <f t="shared" si="160"/>
        <v>HUN</v>
      </c>
      <c r="M893">
        <v>3</v>
      </c>
      <c r="O893" s="83" t="s">
        <v>243</v>
      </c>
      <c r="P893" s="78">
        <v>45451</v>
      </c>
      <c r="Q893" t="str">
        <f t="shared" si="152"/>
        <v>Tóth Arina Bejke - Nagykátai Bushido SE</v>
      </c>
      <c r="R893" t="s">
        <v>636</v>
      </c>
      <c r="S893" t="s">
        <v>636</v>
      </c>
      <c r="T893" t="s">
        <v>645</v>
      </c>
    </row>
    <row r="894" spans="1:20" x14ac:dyDescent="0.3">
      <c r="A894" s="2" t="s">
        <v>611</v>
      </c>
      <c r="B894" s="50">
        <v>2</v>
      </c>
      <c r="C894">
        <v>13</v>
      </c>
      <c r="D894" t="str">
        <f t="shared" si="164"/>
        <v>Kumite</v>
      </c>
      <c r="E894" t="str">
        <f>"Kumite, -, 30-35 kg, Gyerek 1. (9-10"</f>
        <v>Kumite, -, 30-35 kg, Gyerek 1. (9-10</v>
      </c>
      <c r="F894" t="s">
        <v>516</v>
      </c>
      <c r="G894" s="50" t="str">
        <f t="shared" si="165"/>
        <v>2</v>
      </c>
      <c r="H894" t="str">
        <f t="shared" si="166"/>
        <v>2 fős egyenes kiesés</v>
      </c>
      <c r="I894" s="50" t="str">
        <f>"2"</f>
        <v>2</v>
      </c>
      <c r="J894" t="str">
        <f>"Téglási Kamilla"</f>
        <v>Téglási Kamilla</v>
      </c>
      <c r="K894" t="str">
        <f>"Kisvárda KKDOSC"</f>
        <v>Kisvárda KKDOSC</v>
      </c>
      <c r="L894" t="str">
        <f t="shared" si="160"/>
        <v>HUN</v>
      </c>
      <c r="M894">
        <v>0</v>
      </c>
      <c r="O894" s="83" t="s">
        <v>243</v>
      </c>
      <c r="P894" s="78">
        <v>45451</v>
      </c>
      <c r="Q894" t="str">
        <f t="shared" si="152"/>
        <v>Téglási Kamilla - Kisvárda KKDOSC</v>
      </c>
      <c r="R894" t="s">
        <v>636</v>
      </c>
      <c r="S894" t="s">
        <v>636</v>
      </c>
      <c r="T894" t="s">
        <v>645</v>
      </c>
    </row>
    <row r="895" spans="1:20" x14ac:dyDescent="0.3">
      <c r="A895" s="2" t="s">
        <v>611</v>
      </c>
      <c r="B895" s="50">
        <v>2</v>
      </c>
      <c r="C895">
        <v>14</v>
      </c>
      <c r="D895" t="str">
        <f t="shared" si="164"/>
        <v>Kumite</v>
      </c>
      <c r="E895" t="str">
        <f>"Kumite, -, 35-150 kg, Gyerek 1. (9-10"</f>
        <v>Kumite, -, 35-150 kg, Gyerek 1. (9-10</v>
      </c>
      <c r="F895" t="s">
        <v>519</v>
      </c>
      <c r="G895" s="50" t="str">
        <f t="shared" si="165"/>
        <v>2</v>
      </c>
      <c r="H895" t="str">
        <f t="shared" si="166"/>
        <v>2 fős egyenes kiesés</v>
      </c>
      <c r="I895" s="50" t="str">
        <f>"1"</f>
        <v>1</v>
      </c>
      <c r="J895" t="str">
        <f>"Garamszegi Szófia"</f>
        <v>Garamszegi Szófia</v>
      </c>
      <c r="K895" t="str">
        <f>"HARCOSOK KLUBJA"</f>
        <v>HARCOSOK KLUBJA</v>
      </c>
      <c r="L895" t="str">
        <f t="shared" si="160"/>
        <v>HUN</v>
      </c>
      <c r="M895">
        <v>3</v>
      </c>
      <c r="O895" s="83" t="s">
        <v>243</v>
      </c>
      <c r="P895" s="78">
        <v>45451</v>
      </c>
      <c r="Q895" t="str">
        <f t="shared" si="152"/>
        <v>Garamszegi Szófia - HARCOSOK KLUBJA</v>
      </c>
      <c r="R895" t="s">
        <v>636</v>
      </c>
      <c r="S895" t="s">
        <v>636</v>
      </c>
      <c r="T895" t="s">
        <v>645</v>
      </c>
    </row>
    <row r="896" spans="1:20" x14ac:dyDescent="0.3">
      <c r="A896" s="2" t="s">
        <v>611</v>
      </c>
      <c r="B896" s="50">
        <v>2</v>
      </c>
      <c r="C896">
        <v>15</v>
      </c>
      <c r="D896" t="str">
        <f t="shared" si="164"/>
        <v>Kumite</v>
      </c>
      <c r="E896" t="str">
        <f>"Kumite, -, 35-150 kg, Gyerek 1. (9-10"</f>
        <v>Kumite, -, 35-150 kg, Gyerek 1. (9-10</v>
      </c>
      <c r="F896" t="s">
        <v>519</v>
      </c>
      <c r="G896" s="50" t="str">
        <f t="shared" si="165"/>
        <v>2</v>
      </c>
      <c r="H896" t="str">
        <f t="shared" si="166"/>
        <v>2 fős egyenes kiesés</v>
      </c>
      <c r="I896" s="50" t="str">
        <f>"2"</f>
        <v>2</v>
      </c>
      <c r="J896" t="str">
        <f>"Pósán Nóra"</f>
        <v>Pósán Nóra</v>
      </c>
      <c r="K896" t="str">
        <f>"Nyíradonyi KKE"</f>
        <v>Nyíradonyi KKE</v>
      </c>
      <c r="L896" t="str">
        <f t="shared" si="160"/>
        <v>HUN</v>
      </c>
      <c r="M896">
        <v>0</v>
      </c>
      <c r="O896" s="83" t="s">
        <v>243</v>
      </c>
      <c r="P896" s="78">
        <v>45451</v>
      </c>
      <c r="Q896" t="str">
        <f t="shared" si="152"/>
        <v>Pósán Nóra - Nyíradonyi KKE</v>
      </c>
      <c r="R896" t="s">
        <v>636</v>
      </c>
      <c r="S896" t="s">
        <v>636</v>
      </c>
      <c r="T896" t="s">
        <v>645</v>
      </c>
    </row>
    <row r="897" spans="1:20" x14ac:dyDescent="0.3">
      <c r="A897" s="2" t="s">
        <v>611</v>
      </c>
      <c r="B897" s="50">
        <v>2</v>
      </c>
      <c r="C897">
        <v>16</v>
      </c>
      <c r="D897" t="str">
        <f>"Kata"</f>
        <v>Kata</v>
      </c>
      <c r="E897" t="str">
        <f>"Kata, -, 0-150 kg, Gyerek 1. (9-10"</f>
        <v>Kata, -, 0-150 kg, Gyerek 1. (9-10</v>
      </c>
      <c r="F897" t="s">
        <v>520</v>
      </c>
      <c r="G897" s="50" t="str">
        <f t="shared" si="165"/>
        <v>2</v>
      </c>
      <c r="H897" t="str">
        <f t="shared" si="166"/>
        <v>2 fős egyenes kiesés</v>
      </c>
      <c r="I897" s="50" t="str">
        <f>"1"</f>
        <v>1</v>
      </c>
      <c r="J897" t="str">
        <f>"Jakubovics Nikolett"</f>
        <v>Jakubovics Nikolett</v>
      </c>
      <c r="K897" t="str">
        <f>"BHMSE"</f>
        <v>BHMSE</v>
      </c>
      <c r="L897" t="str">
        <f t="shared" si="160"/>
        <v>HUN</v>
      </c>
      <c r="M897">
        <v>0</v>
      </c>
      <c r="N897" t="s">
        <v>614</v>
      </c>
      <c r="O897" s="83" t="s">
        <v>243</v>
      </c>
      <c r="P897" s="78">
        <v>45451</v>
      </c>
      <c r="Q897" t="str">
        <f t="shared" si="152"/>
        <v>Jakubovics Nikolett - BHMSE</v>
      </c>
      <c r="R897" t="s">
        <v>636</v>
      </c>
      <c r="S897" t="s">
        <v>636</v>
      </c>
      <c r="T897" t="s">
        <v>645</v>
      </c>
    </row>
    <row r="898" spans="1:20" x14ac:dyDescent="0.3">
      <c r="A898" s="2" t="s">
        <v>611</v>
      </c>
      <c r="B898" s="50">
        <v>2</v>
      </c>
      <c r="C898">
        <v>17</v>
      </c>
      <c r="D898" t="str">
        <f>"Kata"</f>
        <v>Kata</v>
      </c>
      <c r="E898" t="str">
        <f>"Kata, -, 0-150 kg, Gyerek 1. (9-10"</f>
        <v>Kata, -, 0-150 kg, Gyerek 1. (9-10</v>
      </c>
      <c r="F898" t="s">
        <v>520</v>
      </c>
      <c r="G898" s="50" t="str">
        <f t="shared" si="165"/>
        <v>2</v>
      </c>
      <c r="H898" t="str">
        <f t="shared" si="166"/>
        <v>2 fős egyenes kiesés</v>
      </c>
      <c r="I898" s="50" t="str">
        <f>"2"</f>
        <v>2</v>
      </c>
      <c r="J898" t="str">
        <f>"Damu Zsanett"</f>
        <v>Damu Zsanett</v>
      </c>
      <c r="K898" t="str">
        <f>"Kagami"</f>
        <v>Kagami</v>
      </c>
      <c r="L898" t="str">
        <f t="shared" si="160"/>
        <v>HUN</v>
      </c>
      <c r="M898">
        <v>0</v>
      </c>
      <c r="N898" t="s">
        <v>614</v>
      </c>
      <c r="O898" s="83" t="s">
        <v>243</v>
      </c>
      <c r="P898" s="78">
        <v>45451</v>
      </c>
      <c r="Q898" t="str">
        <f t="shared" si="152"/>
        <v>Damu Zsanett - Kagami</v>
      </c>
      <c r="R898" t="s">
        <v>636</v>
      </c>
      <c r="S898" t="s">
        <v>636</v>
      </c>
      <c r="T898" t="s">
        <v>645</v>
      </c>
    </row>
    <row r="899" spans="1:20" x14ac:dyDescent="0.3">
      <c r="A899" s="2" t="s">
        <v>611</v>
      </c>
      <c r="B899" s="50">
        <v>2</v>
      </c>
      <c r="C899">
        <v>18</v>
      </c>
      <c r="D899" t="str">
        <f t="shared" ref="D899:D911" si="167">"Kumite"</f>
        <v>Kumite</v>
      </c>
      <c r="E899" t="str">
        <f>"Kumite, -, 0-35 kg, Gyerek 2. (11-12"</f>
        <v>Kumite, -, 0-35 kg, Gyerek 2. (11-12</v>
      </c>
      <c r="F899" t="s">
        <v>512</v>
      </c>
      <c r="G899" s="50" t="str">
        <f>"3"</f>
        <v>3</v>
      </c>
      <c r="H899" t="str">
        <f>"3 fős körmérkőzés"</f>
        <v>3 fős körmérkőzés</v>
      </c>
      <c r="I899" s="50" t="str">
        <f>"1"</f>
        <v>1</v>
      </c>
      <c r="J899" t="str">
        <f>"Veress Dávid"</f>
        <v>Veress Dávid</v>
      </c>
      <c r="K899" t="str">
        <f>"KHSE"</f>
        <v>KHSE</v>
      </c>
      <c r="L899" t="str">
        <f t="shared" si="160"/>
        <v>HUN</v>
      </c>
      <c r="M899">
        <v>4</v>
      </c>
      <c r="O899" s="83" t="s">
        <v>243</v>
      </c>
      <c r="P899" s="78">
        <v>45451</v>
      </c>
      <c r="Q899" t="str">
        <f t="shared" ref="Q899:Q971" si="168">J899&amp;" - "&amp;K899</f>
        <v>Veress Dávid - KHSE</v>
      </c>
      <c r="R899" t="s">
        <v>636</v>
      </c>
      <c r="S899" t="s">
        <v>636</v>
      </c>
      <c r="T899" t="s">
        <v>645</v>
      </c>
    </row>
    <row r="900" spans="1:20" x14ac:dyDescent="0.3">
      <c r="A900" s="2" t="s">
        <v>611</v>
      </c>
      <c r="B900" s="50">
        <v>2</v>
      </c>
      <c r="C900">
        <v>19</v>
      </c>
      <c r="D900" t="str">
        <f t="shared" si="167"/>
        <v>Kumite</v>
      </c>
      <c r="E900" t="str">
        <f>"Kumite, -, 0-35 kg, Gyerek 2. (11-12"</f>
        <v>Kumite, -, 0-35 kg, Gyerek 2. (11-12</v>
      </c>
      <c r="F900" t="s">
        <v>512</v>
      </c>
      <c r="G900" s="50" t="str">
        <f>"3"</f>
        <v>3</v>
      </c>
      <c r="H900" t="str">
        <f>"3 fős körmérkőzés"</f>
        <v>3 fős körmérkőzés</v>
      </c>
      <c r="I900" s="50" t="str">
        <f>"2"</f>
        <v>2</v>
      </c>
      <c r="J900" t="str">
        <f>"Sövér Levente"</f>
        <v>Sövér Levente</v>
      </c>
      <c r="K900" t="str">
        <f>"BHMSE"</f>
        <v>BHMSE</v>
      </c>
      <c r="L900" t="str">
        <f t="shared" si="160"/>
        <v>HUN</v>
      </c>
      <c r="M900">
        <v>3</v>
      </c>
      <c r="O900" s="83" t="s">
        <v>243</v>
      </c>
      <c r="P900" s="78">
        <v>45451</v>
      </c>
      <c r="Q900" t="str">
        <f t="shared" si="168"/>
        <v>Sövér Levente - BHMSE</v>
      </c>
      <c r="R900" t="s">
        <v>636</v>
      </c>
      <c r="S900" t="s">
        <v>636</v>
      </c>
      <c r="T900" t="s">
        <v>645</v>
      </c>
    </row>
    <row r="901" spans="1:20" x14ac:dyDescent="0.3">
      <c r="A901" s="2" t="s">
        <v>611</v>
      </c>
      <c r="B901" s="50">
        <v>2</v>
      </c>
      <c r="C901">
        <v>20</v>
      </c>
      <c r="D901" t="str">
        <f t="shared" si="167"/>
        <v>Kumite</v>
      </c>
      <c r="E901" t="str">
        <f>"Kumite, -, 0-35 kg, Gyerek 2. (11-12"</f>
        <v>Kumite, -, 0-35 kg, Gyerek 2. (11-12</v>
      </c>
      <c r="F901" t="s">
        <v>512</v>
      </c>
      <c r="G901" s="50" t="str">
        <f>"3"</f>
        <v>3</v>
      </c>
      <c r="H901" t="str">
        <f>"3 fős körmérkőzés"</f>
        <v>3 fős körmérkőzés</v>
      </c>
      <c r="I901" s="50" t="str">
        <f>"3"</f>
        <v>3</v>
      </c>
      <c r="J901" t="str">
        <f>"Andrési Balázs"</f>
        <v>Andrési Balázs</v>
      </c>
      <c r="K901" t="str">
        <f>"KHSE"</f>
        <v>KHSE</v>
      </c>
      <c r="L901" t="str">
        <f t="shared" si="160"/>
        <v>HUN</v>
      </c>
      <c r="M901">
        <v>0</v>
      </c>
      <c r="N901" t="s">
        <v>584</v>
      </c>
      <c r="O901" s="83" t="s">
        <v>243</v>
      </c>
      <c r="P901" s="78">
        <v>45451</v>
      </c>
      <c r="Q901" t="str">
        <f t="shared" si="168"/>
        <v>Andrési Balázs - KHSE</v>
      </c>
      <c r="R901" t="s">
        <v>636</v>
      </c>
      <c r="S901" t="s">
        <v>636</v>
      </c>
      <c r="T901" t="s">
        <v>645</v>
      </c>
    </row>
    <row r="902" spans="1:20" x14ac:dyDescent="0.3">
      <c r="A902" s="2" t="s">
        <v>611</v>
      </c>
      <c r="B902" s="50">
        <v>2</v>
      </c>
      <c r="C902">
        <v>21</v>
      </c>
      <c r="D902" t="str">
        <f t="shared" si="167"/>
        <v>Kumite</v>
      </c>
      <c r="E902" t="str">
        <f>"Kumite, -, 40-45 kg, Gyerek 2. (11-12"</f>
        <v>Kumite, -, 40-45 kg, Gyerek 2. (11-12</v>
      </c>
      <c r="F902" t="s">
        <v>521</v>
      </c>
      <c r="G902" s="50" t="str">
        <f>"4"</f>
        <v>4</v>
      </c>
      <c r="H902" t="str">
        <f>"4 fős körmérkőzés"</f>
        <v>4 fős körmérkőzés</v>
      </c>
      <c r="I902" s="50" t="str">
        <f>"1"</f>
        <v>1</v>
      </c>
      <c r="J902" t="str">
        <f>"Ferenczhalmy Félix"</f>
        <v>Ferenczhalmy Félix</v>
      </c>
      <c r="K902" t="str">
        <f>"BHMSE"</f>
        <v>BHMSE</v>
      </c>
      <c r="L902" t="str">
        <f t="shared" si="160"/>
        <v>HUN</v>
      </c>
      <c r="M902">
        <v>6</v>
      </c>
      <c r="O902" s="83" t="s">
        <v>243</v>
      </c>
      <c r="P902" s="78">
        <v>45451</v>
      </c>
      <c r="Q902" t="str">
        <f t="shared" si="168"/>
        <v>Ferenczhalmy Félix - BHMSE</v>
      </c>
      <c r="R902" t="s">
        <v>636</v>
      </c>
      <c r="S902" t="s">
        <v>636</v>
      </c>
      <c r="T902" t="s">
        <v>645</v>
      </c>
    </row>
    <row r="903" spans="1:20" x14ac:dyDescent="0.3">
      <c r="A903" s="2" t="s">
        <v>611</v>
      </c>
      <c r="B903" s="50">
        <v>2</v>
      </c>
      <c r="C903">
        <v>22</v>
      </c>
      <c r="D903" t="str">
        <f t="shared" si="167"/>
        <v>Kumite</v>
      </c>
      <c r="E903" t="str">
        <f>"Kumite, -, 40-45 kg, Gyerek 2. (11-12"</f>
        <v>Kumite, -, 40-45 kg, Gyerek 2. (11-12</v>
      </c>
      <c r="F903" t="s">
        <v>521</v>
      </c>
      <c r="G903" s="50" t="str">
        <f>"4"</f>
        <v>4</v>
      </c>
      <c r="H903" t="str">
        <f>"4 fős körmérkőzés"</f>
        <v>4 fős körmérkőzés</v>
      </c>
      <c r="I903" s="50" t="str">
        <f>"2"</f>
        <v>2</v>
      </c>
      <c r="J903" t="str">
        <f>"Szabó Péter Nimród"</f>
        <v>Szabó Péter Nimród</v>
      </c>
      <c r="K903" t="str">
        <f>"Shogun"</f>
        <v>Shogun</v>
      </c>
      <c r="L903" t="str">
        <f t="shared" si="160"/>
        <v>HUN</v>
      </c>
      <c r="M903">
        <v>5</v>
      </c>
      <c r="O903" s="83" t="s">
        <v>243</v>
      </c>
      <c r="P903" s="78">
        <v>45451</v>
      </c>
      <c r="Q903" t="str">
        <f t="shared" si="168"/>
        <v>Szabó Péter Nimród - Shogun</v>
      </c>
      <c r="R903" t="s">
        <v>636</v>
      </c>
      <c r="S903" t="s">
        <v>636</v>
      </c>
      <c r="T903" t="s">
        <v>645</v>
      </c>
    </row>
    <row r="904" spans="1:20" x14ac:dyDescent="0.3">
      <c r="A904" s="2" t="s">
        <v>611</v>
      </c>
      <c r="B904" s="50">
        <v>2</v>
      </c>
      <c r="C904">
        <v>23</v>
      </c>
      <c r="D904" t="str">
        <f t="shared" si="167"/>
        <v>Kumite</v>
      </c>
      <c r="E904" t="str">
        <f>"Kumite, -, 40-45 kg, Gyerek 2. (11-12"</f>
        <v>Kumite, -, 40-45 kg, Gyerek 2. (11-12</v>
      </c>
      <c r="F904" t="s">
        <v>521</v>
      </c>
      <c r="G904" s="50" t="str">
        <f>"4"</f>
        <v>4</v>
      </c>
      <c r="H904" t="str">
        <f>"4 fős körmérkőzés"</f>
        <v>4 fős körmérkőzés</v>
      </c>
      <c r="I904" s="50" t="str">
        <f>"3"</f>
        <v>3</v>
      </c>
      <c r="J904" t="str">
        <f>"Vass János"</f>
        <v>Vass János</v>
      </c>
      <c r="K904" t="str">
        <f>"Nyíradonyi KKE"</f>
        <v>Nyíradonyi KKE</v>
      </c>
      <c r="L904" t="str">
        <f t="shared" si="160"/>
        <v>HUN</v>
      </c>
      <c r="M904">
        <v>3</v>
      </c>
      <c r="O904" s="83" t="s">
        <v>243</v>
      </c>
      <c r="P904" s="78">
        <v>45451</v>
      </c>
      <c r="Q904" t="str">
        <f t="shared" si="168"/>
        <v>Vass János - Nyíradonyi KKE</v>
      </c>
      <c r="R904" t="s">
        <v>636</v>
      </c>
      <c r="S904" t="s">
        <v>636</v>
      </c>
      <c r="T904" t="s">
        <v>645</v>
      </c>
    </row>
    <row r="905" spans="1:20" x14ac:dyDescent="0.3">
      <c r="A905" s="2" t="s">
        <v>611</v>
      </c>
      <c r="B905" s="50">
        <v>2</v>
      </c>
      <c r="C905">
        <v>24</v>
      </c>
      <c r="D905" t="str">
        <f t="shared" si="167"/>
        <v>Kumite</v>
      </c>
      <c r="E905" t="str">
        <f>"Kumite, -, 45-55 kg, Gyerek 2. (11-12"</f>
        <v>Kumite, -, 45-55 kg, Gyerek 2. (11-12</v>
      </c>
      <c r="F905" t="s">
        <v>522</v>
      </c>
      <c r="G905" s="50" t="str">
        <f>"5"</f>
        <v>5</v>
      </c>
      <c r="H905" t="str">
        <f>"5 fős körmérkőzés"</f>
        <v>5 fős körmérkőzés</v>
      </c>
      <c r="I905" s="50" t="str">
        <f>"1"</f>
        <v>1</v>
      </c>
      <c r="J905" t="str">
        <f>"Gyurcsán Levente"</f>
        <v>Gyurcsán Levente</v>
      </c>
      <c r="K905" t="str">
        <f>"Fight-team"</f>
        <v>Fight-team</v>
      </c>
      <c r="L905" t="str">
        <f t="shared" si="160"/>
        <v>HUN</v>
      </c>
      <c r="M905">
        <v>8</v>
      </c>
      <c r="O905" s="83" t="s">
        <v>243</v>
      </c>
      <c r="P905" s="78">
        <v>45451</v>
      </c>
      <c r="Q905" t="str">
        <f t="shared" si="168"/>
        <v>Gyurcsán Levente - Fight-team</v>
      </c>
      <c r="R905" t="s">
        <v>636</v>
      </c>
      <c r="S905" t="s">
        <v>636</v>
      </c>
      <c r="T905" t="s">
        <v>645</v>
      </c>
    </row>
    <row r="906" spans="1:20" x14ac:dyDescent="0.3">
      <c r="A906" s="2" t="s">
        <v>611</v>
      </c>
      <c r="B906" s="50">
        <v>2</v>
      </c>
      <c r="C906">
        <v>25</v>
      </c>
      <c r="D906" t="str">
        <f t="shared" si="167"/>
        <v>Kumite</v>
      </c>
      <c r="E906" t="str">
        <f>"Kumite, -, 45-55 kg, Gyerek 2. (11-12"</f>
        <v>Kumite, -, 45-55 kg, Gyerek 2. (11-12</v>
      </c>
      <c r="F906" t="s">
        <v>522</v>
      </c>
      <c r="G906" s="50" t="str">
        <f>"5"</f>
        <v>5</v>
      </c>
      <c r="H906" t="str">
        <f>"5 fős körmérkőzés"</f>
        <v>5 fős körmérkőzés</v>
      </c>
      <c r="I906" s="50" t="str">
        <f>"2"</f>
        <v>2</v>
      </c>
      <c r="J906" t="str">
        <f>"Kiss Zoltán János"</f>
        <v>Kiss Zoltán János</v>
      </c>
      <c r="K906" t="str">
        <f>"Derecske BUDO"</f>
        <v>Derecske BUDO</v>
      </c>
      <c r="L906" t="str">
        <f t="shared" si="160"/>
        <v>HUN</v>
      </c>
      <c r="M906">
        <v>6</v>
      </c>
      <c r="O906" s="83" t="s">
        <v>243</v>
      </c>
      <c r="P906" s="78">
        <v>45451</v>
      </c>
      <c r="Q906" t="str">
        <f t="shared" si="168"/>
        <v>Kiss Zoltán János - Derecske BUDO</v>
      </c>
      <c r="R906" t="s">
        <v>636</v>
      </c>
      <c r="S906" t="s">
        <v>636</v>
      </c>
      <c r="T906" t="s">
        <v>645</v>
      </c>
    </row>
    <row r="907" spans="1:20" x14ac:dyDescent="0.3">
      <c r="A907" s="2" t="s">
        <v>611</v>
      </c>
      <c r="B907" s="50">
        <v>2</v>
      </c>
      <c r="C907">
        <v>26</v>
      </c>
      <c r="D907" t="str">
        <f t="shared" si="167"/>
        <v>Kumite</v>
      </c>
      <c r="E907" t="str">
        <f>"Kumite, -, 45-55 kg, Gyerek 2. (11-12"</f>
        <v>Kumite, -, 45-55 kg, Gyerek 2. (11-12</v>
      </c>
      <c r="F907" t="s">
        <v>522</v>
      </c>
      <c r="G907" s="50" t="str">
        <f>"5"</f>
        <v>5</v>
      </c>
      <c r="H907" t="str">
        <f>"5 fős körmérkőzés"</f>
        <v>5 fős körmérkőzés</v>
      </c>
      <c r="I907" s="50" t="str">
        <f>"3"</f>
        <v>3</v>
      </c>
      <c r="J907" t="str">
        <f>"Patrik Husta "</f>
        <v xml:space="preserve">Patrik Husta </v>
      </c>
      <c r="K907" t="str">
        <f>"KK Mladost"</f>
        <v>KK Mladost</v>
      </c>
      <c r="L907" t="str">
        <f>"HRV"</f>
        <v>HRV</v>
      </c>
      <c r="M907">
        <v>4</v>
      </c>
      <c r="O907" s="83" t="s">
        <v>243</v>
      </c>
      <c r="P907" s="78">
        <v>45451</v>
      </c>
      <c r="Q907" t="str">
        <f t="shared" si="168"/>
        <v>Patrik Husta  - KK Mladost</v>
      </c>
      <c r="R907" t="s">
        <v>637</v>
      </c>
      <c r="S907" t="s">
        <v>593</v>
      </c>
      <c r="T907" t="s">
        <v>645</v>
      </c>
    </row>
    <row r="908" spans="1:20" x14ac:dyDescent="0.3">
      <c r="A908" s="2" t="s">
        <v>611</v>
      </c>
      <c r="B908" s="50">
        <v>2</v>
      </c>
      <c r="C908">
        <v>26</v>
      </c>
      <c r="D908" t="str">
        <f t="shared" si="167"/>
        <v>Kumite</v>
      </c>
      <c r="E908" t="str">
        <f t="shared" ref="E908:E909" si="169">"Kumite, -, 45-55 kg, Gyerek 2. (11-12"</f>
        <v>Kumite, -, 45-55 kg, Gyerek 2. (11-12</v>
      </c>
      <c r="F908" t="s">
        <v>522</v>
      </c>
      <c r="G908" s="50" t="str">
        <f t="shared" ref="G908:G909" si="170">"5"</f>
        <v>5</v>
      </c>
      <c r="H908" t="str">
        <f t="shared" ref="H908:H909" si="171">"5 fős körmérkőzés"</f>
        <v>5 fős körmérkőzés</v>
      </c>
      <c r="I908" s="50">
        <v>4</v>
      </c>
      <c r="J908" t="s">
        <v>615</v>
      </c>
      <c r="K908" t="s">
        <v>150</v>
      </c>
      <c r="L908" t="s">
        <v>12</v>
      </c>
      <c r="M908">
        <v>3</v>
      </c>
      <c r="N908" t="s">
        <v>589</v>
      </c>
      <c r="O908" s="83" t="s">
        <v>243</v>
      </c>
      <c r="P908" s="78">
        <v>45451</v>
      </c>
      <c r="Q908" t="str">
        <f t="shared" si="168"/>
        <v>Varga Bence - KSE Tarján</v>
      </c>
      <c r="R908" t="s">
        <v>636</v>
      </c>
      <c r="S908" t="s">
        <v>636</v>
      </c>
      <c r="T908" t="s">
        <v>645</v>
      </c>
    </row>
    <row r="909" spans="1:20" x14ac:dyDescent="0.3">
      <c r="A909" s="2" t="s">
        <v>611</v>
      </c>
      <c r="B909" s="50">
        <v>2</v>
      </c>
      <c r="C909">
        <v>26</v>
      </c>
      <c r="D909" t="str">
        <f t="shared" si="167"/>
        <v>Kumite</v>
      </c>
      <c r="E909" t="str">
        <f t="shared" si="169"/>
        <v>Kumite, -, 45-55 kg, Gyerek 2. (11-12</v>
      </c>
      <c r="F909" t="s">
        <v>522</v>
      </c>
      <c r="G909" s="50" t="str">
        <f t="shared" si="170"/>
        <v>5</v>
      </c>
      <c r="H909" t="str">
        <f t="shared" si="171"/>
        <v>5 fős körmérkőzés</v>
      </c>
      <c r="I909" s="50">
        <v>4</v>
      </c>
      <c r="J909" t="s">
        <v>432</v>
      </c>
      <c r="K909" t="s">
        <v>65</v>
      </c>
      <c r="L909" t="s">
        <v>12</v>
      </c>
      <c r="M909">
        <v>3</v>
      </c>
      <c r="N909" t="s">
        <v>589</v>
      </c>
      <c r="O909" s="83" t="s">
        <v>243</v>
      </c>
      <c r="P909" s="78">
        <v>45451</v>
      </c>
      <c r="Q909" t="str">
        <f t="shared" si="168"/>
        <v>Gaál-Vajai Tamás - Főnix Dojo</v>
      </c>
      <c r="R909" t="s">
        <v>636</v>
      </c>
      <c r="S909" t="s">
        <v>636</v>
      </c>
      <c r="T909" t="s">
        <v>645</v>
      </c>
    </row>
    <row r="910" spans="1:20" x14ac:dyDescent="0.3">
      <c r="A910" s="2" t="s">
        <v>611</v>
      </c>
      <c r="B910" s="50">
        <v>2</v>
      </c>
      <c r="C910">
        <v>27</v>
      </c>
      <c r="D910" t="str">
        <f t="shared" si="167"/>
        <v>Kumite</v>
      </c>
      <c r="E910" t="str">
        <f>"Kumite, -, 55-150 kg, Gyerek 2. (11-12"</f>
        <v>Kumite, -, 55-150 kg, Gyerek 2. (11-12</v>
      </c>
      <c r="F910" t="s">
        <v>524</v>
      </c>
      <c r="G910" s="50" t="str">
        <f>"2"</f>
        <v>2</v>
      </c>
      <c r="H910" t="str">
        <f>"2 fős egyenes kiesés"</f>
        <v>2 fős egyenes kiesés</v>
      </c>
      <c r="I910" s="50" t="str">
        <f>"1"</f>
        <v>1</v>
      </c>
      <c r="J910" t="str">
        <f>"Riczu Bendegúz"</f>
        <v>Riczu Bendegúz</v>
      </c>
      <c r="K910" t="str">
        <f>"Nozomu Dojo"</f>
        <v>Nozomu Dojo</v>
      </c>
      <c r="L910" t="str">
        <f>"HUN"</f>
        <v>HUN</v>
      </c>
      <c r="M910">
        <v>3</v>
      </c>
      <c r="O910" s="83" t="s">
        <v>243</v>
      </c>
      <c r="P910" s="78">
        <v>45451</v>
      </c>
      <c r="Q910" t="str">
        <f t="shared" si="168"/>
        <v>Riczu Bendegúz - Nozomu Dojo</v>
      </c>
      <c r="R910" t="s">
        <v>636</v>
      </c>
      <c r="S910" t="s">
        <v>636</v>
      </c>
      <c r="T910" t="s">
        <v>645</v>
      </c>
    </row>
    <row r="911" spans="1:20" x14ac:dyDescent="0.3">
      <c r="A911" s="2" t="s">
        <v>611</v>
      </c>
      <c r="B911" s="50">
        <v>2</v>
      </c>
      <c r="C911">
        <v>28</v>
      </c>
      <c r="D911" t="str">
        <f t="shared" si="167"/>
        <v>Kumite</v>
      </c>
      <c r="E911" t="str">
        <f>"Kumite, -, 55-150 kg, Gyerek 2. (11-12"</f>
        <v>Kumite, -, 55-150 kg, Gyerek 2. (11-12</v>
      </c>
      <c r="F911" t="s">
        <v>524</v>
      </c>
      <c r="G911" s="50" t="str">
        <f>"2"</f>
        <v>2</v>
      </c>
      <c r="H911" t="str">
        <f>"2 fős egyenes kiesés"</f>
        <v>2 fős egyenes kiesés</v>
      </c>
      <c r="I911" s="50" t="str">
        <f>"2"</f>
        <v>2</v>
      </c>
      <c r="J911" t="str">
        <f>"Martin Boąnjak"</f>
        <v>Martin Boąnjak</v>
      </c>
      <c r="K911" t="str">
        <f>"KK Mladost"</f>
        <v>KK Mladost</v>
      </c>
      <c r="L911" t="str">
        <f>"HRV"</f>
        <v>HRV</v>
      </c>
      <c r="M911">
        <v>0</v>
      </c>
      <c r="O911" s="83" t="s">
        <v>243</v>
      </c>
      <c r="P911" s="78">
        <v>45451</v>
      </c>
      <c r="Q911" t="str">
        <f t="shared" si="168"/>
        <v>Martin Boąnjak - KK Mladost</v>
      </c>
      <c r="R911" t="s">
        <v>637</v>
      </c>
      <c r="S911" t="s">
        <v>593</v>
      </c>
      <c r="T911" t="s">
        <v>645</v>
      </c>
    </row>
    <row r="912" spans="1:20" x14ac:dyDescent="0.3">
      <c r="A912" s="2" t="s">
        <v>611</v>
      </c>
      <c r="B912" s="50">
        <v>2</v>
      </c>
      <c r="C912">
        <v>29</v>
      </c>
      <c r="D912" t="str">
        <f>"Kata"</f>
        <v>Kata</v>
      </c>
      <c r="E912" t="str">
        <f>"Kata, -, 0-150 kg, Gyerek 2. (11-12"</f>
        <v>Kata, -, 0-150 kg, Gyerek 2. (11-12</v>
      </c>
      <c r="F912" t="s">
        <v>525</v>
      </c>
      <c r="G912" s="50" t="str">
        <f>"7"</f>
        <v>7</v>
      </c>
      <c r="H912" t="str">
        <f>"8 fős egyenes kiesés"</f>
        <v>8 fős egyenes kiesés</v>
      </c>
      <c r="I912" s="50" t="str">
        <f>"1"</f>
        <v>1</v>
      </c>
      <c r="J912" t="str">
        <f>"Szabó Péter Nimród"</f>
        <v>Szabó Péter Nimród</v>
      </c>
      <c r="K912" t="str">
        <f>"Shogun"</f>
        <v>Shogun</v>
      </c>
      <c r="L912" t="str">
        <f t="shared" ref="L912:L939" si="172">"HUN"</f>
        <v>HUN</v>
      </c>
      <c r="M912">
        <v>5</v>
      </c>
      <c r="O912" s="83" t="s">
        <v>243</v>
      </c>
      <c r="P912" s="78">
        <v>45451</v>
      </c>
      <c r="Q912" t="str">
        <f t="shared" si="168"/>
        <v>Szabó Péter Nimród - Shogun</v>
      </c>
      <c r="R912" t="s">
        <v>636</v>
      </c>
      <c r="S912" t="s">
        <v>636</v>
      </c>
      <c r="T912" t="s">
        <v>645</v>
      </c>
    </row>
    <row r="913" spans="1:20" x14ac:dyDescent="0.3">
      <c r="A913" s="2" t="s">
        <v>611</v>
      </c>
      <c r="B913" s="50">
        <v>2</v>
      </c>
      <c r="C913">
        <v>30</v>
      </c>
      <c r="D913" t="str">
        <f>"Kata"</f>
        <v>Kata</v>
      </c>
      <c r="E913" t="str">
        <f>"Kata, -, 0-150 kg, Gyerek 2. (11-12"</f>
        <v>Kata, -, 0-150 kg, Gyerek 2. (11-12</v>
      </c>
      <c r="F913" t="s">
        <v>525</v>
      </c>
      <c r="G913" s="50" t="str">
        <f>"7"</f>
        <v>7</v>
      </c>
      <c r="H913" t="str">
        <f>"8 fős egyenes kiesés"</f>
        <v>8 fős egyenes kiesés</v>
      </c>
      <c r="I913" s="50" t="str">
        <f>"2"</f>
        <v>2</v>
      </c>
      <c r="J913" t="str">
        <f>"Maklaga Norbert"</f>
        <v>Maklaga Norbert</v>
      </c>
      <c r="K913" t="str">
        <f>"Kagami"</f>
        <v>Kagami</v>
      </c>
      <c r="L913" t="str">
        <f t="shared" si="172"/>
        <v>HUN</v>
      </c>
      <c r="M913">
        <v>4</v>
      </c>
      <c r="O913" s="83" t="s">
        <v>243</v>
      </c>
      <c r="P913" s="78">
        <v>45451</v>
      </c>
      <c r="Q913" t="str">
        <f t="shared" si="168"/>
        <v>Maklaga Norbert - Kagami</v>
      </c>
      <c r="R913" t="s">
        <v>636</v>
      </c>
      <c r="S913" t="s">
        <v>636</v>
      </c>
      <c r="T913" t="s">
        <v>645</v>
      </c>
    </row>
    <row r="914" spans="1:20" x14ac:dyDescent="0.3">
      <c r="A914" s="2" t="s">
        <v>611</v>
      </c>
      <c r="B914" s="50">
        <v>2</v>
      </c>
      <c r="C914">
        <v>31</v>
      </c>
      <c r="D914" t="str">
        <f>"Kata"</f>
        <v>Kata</v>
      </c>
      <c r="E914" t="str">
        <f>"Kata, -, 0-150 kg, Gyerek 2. (11-12"</f>
        <v>Kata, -, 0-150 kg, Gyerek 2. (11-12</v>
      </c>
      <c r="F914" t="s">
        <v>525</v>
      </c>
      <c r="G914" s="50" t="str">
        <f>"7"</f>
        <v>7</v>
      </c>
      <c r="H914" t="str">
        <f>"8 fős egyenes kiesés"</f>
        <v>8 fős egyenes kiesés</v>
      </c>
      <c r="I914" s="50" t="str">
        <f>"3"</f>
        <v>3</v>
      </c>
      <c r="J914" t="str">
        <f>"Moosbauer Kevin"</f>
        <v>Moosbauer Kevin</v>
      </c>
      <c r="K914" t="str">
        <f>"KSE Tarján"</f>
        <v>KSE Tarján</v>
      </c>
      <c r="L914" t="str">
        <f t="shared" si="172"/>
        <v>HUN</v>
      </c>
      <c r="M914">
        <v>0</v>
      </c>
      <c r="N914" t="s">
        <v>584</v>
      </c>
      <c r="O914" s="83" t="s">
        <v>243</v>
      </c>
      <c r="P914" s="78">
        <v>45451</v>
      </c>
      <c r="Q914" t="str">
        <f t="shared" si="168"/>
        <v>Moosbauer Kevin - KSE Tarján</v>
      </c>
      <c r="R914" t="s">
        <v>636</v>
      </c>
      <c r="S914" t="s">
        <v>636</v>
      </c>
      <c r="T914" t="s">
        <v>645</v>
      </c>
    </row>
    <row r="915" spans="1:20" x14ac:dyDescent="0.3">
      <c r="A915" s="2" t="s">
        <v>611</v>
      </c>
      <c r="B915" s="50">
        <v>2</v>
      </c>
      <c r="C915">
        <v>32</v>
      </c>
      <c r="D915" t="str">
        <f>"Kata"</f>
        <v>Kata</v>
      </c>
      <c r="E915" t="str">
        <f>"Kata, -, 0-150 kg, Gyerek 2. (11-12"</f>
        <v>Kata, -, 0-150 kg, Gyerek 2. (11-12</v>
      </c>
      <c r="F915" t="s">
        <v>525</v>
      </c>
      <c r="G915" s="50" t="str">
        <f>"7"</f>
        <v>7</v>
      </c>
      <c r="H915" t="str">
        <f>"8 fős egyenes kiesés"</f>
        <v>8 fős egyenes kiesés</v>
      </c>
      <c r="I915" s="50" t="str">
        <f>"3"</f>
        <v>3</v>
      </c>
      <c r="J915" t="str">
        <f>"Kiss Zoltán János"</f>
        <v>Kiss Zoltán János</v>
      </c>
      <c r="K915" t="str">
        <f>"Derecske BUDO"</f>
        <v>Derecske BUDO</v>
      </c>
      <c r="L915" t="str">
        <f t="shared" si="172"/>
        <v>HUN</v>
      </c>
      <c r="M915">
        <v>2</v>
      </c>
      <c r="O915" s="83" t="s">
        <v>243</v>
      </c>
      <c r="P915" s="78">
        <v>45451</v>
      </c>
      <c r="Q915" t="str">
        <f t="shared" si="168"/>
        <v>Kiss Zoltán János - Derecske BUDO</v>
      </c>
      <c r="R915" t="s">
        <v>636</v>
      </c>
      <c r="S915" t="s">
        <v>636</v>
      </c>
      <c r="T915" t="s">
        <v>645</v>
      </c>
    </row>
    <row r="916" spans="1:20" x14ac:dyDescent="0.3">
      <c r="A916" s="2" t="s">
        <v>611</v>
      </c>
      <c r="B916" s="50">
        <v>2</v>
      </c>
      <c r="C916">
        <v>33</v>
      </c>
      <c r="D916" t="str">
        <f t="shared" ref="D916:D924" si="173">"Kumite"</f>
        <v>Kumite</v>
      </c>
      <c r="E916" t="str">
        <f>"Kumite, -, 0-35 kg, Gyerek 2. (11-12"</f>
        <v>Kumite, -, 0-35 kg, Gyerek 2. (11-12</v>
      </c>
      <c r="F916" t="s">
        <v>517</v>
      </c>
      <c r="G916" s="50" t="str">
        <f>"2"</f>
        <v>2</v>
      </c>
      <c r="H916" t="str">
        <f>"2 fős egyenes kiesés"</f>
        <v>2 fős egyenes kiesés</v>
      </c>
      <c r="I916" s="50" t="str">
        <f>"1"</f>
        <v>1</v>
      </c>
      <c r="J916" t="str">
        <f>"Csató Réka"</f>
        <v>Csató Réka</v>
      </c>
      <c r="K916" t="str">
        <f>"Keizoku SE"</f>
        <v>Keizoku SE</v>
      </c>
      <c r="L916" t="str">
        <f t="shared" si="172"/>
        <v>HUN</v>
      </c>
      <c r="M916">
        <v>3</v>
      </c>
      <c r="O916" s="83" t="s">
        <v>243</v>
      </c>
      <c r="P916" s="78">
        <v>45451</v>
      </c>
      <c r="Q916" t="str">
        <f t="shared" si="168"/>
        <v>Csató Réka - Keizoku SE</v>
      </c>
      <c r="R916" t="s">
        <v>636</v>
      </c>
      <c r="S916" t="s">
        <v>636</v>
      </c>
      <c r="T916" t="s">
        <v>645</v>
      </c>
    </row>
    <row r="917" spans="1:20" x14ac:dyDescent="0.3">
      <c r="A917" s="2" t="s">
        <v>611</v>
      </c>
      <c r="B917" s="50">
        <v>2</v>
      </c>
      <c r="C917">
        <v>34</v>
      </c>
      <c r="D917" t="str">
        <f t="shared" si="173"/>
        <v>Kumite</v>
      </c>
      <c r="E917" t="str">
        <f>"Kumite, -, 0-35 kg, Gyerek 2. (11-12"</f>
        <v>Kumite, -, 0-35 kg, Gyerek 2. (11-12</v>
      </c>
      <c r="F917" t="s">
        <v>517</v>
      </c>
      <c r="G917" s="50" t="str">
        <f>"2"</f>
        <v>2</v>
      </c>
      <c r="H917" t="str">
        <f>"2 fős egyenes kiesés"</f>
        <v>2 fős egyenes kiesés</v>
      </c>
      <c r="I917" s="50" t="str">
        <f>"2"</f>
        <v>2</v>
      </c>
      <c r="J917" t="str">
        <f>"Koszorus Brigitta"</f>
        <v>Koszorus Brigitta</v>
      </c>
      <c r="K917" t="str">
        <f>"SONGOKU SE"</f>
        <v>SONGOKU SE</v>
      </c>
      <c r="L917" t="str">
        <f t="shared" si="172"/>
        <v>HUN</v>
      </c>
      <c r="M917">
        <v>0</v>
      </c>
      <c r="O917" s="83" t="s">
        <v>243</v>
      </c>
      <c r="P917" s="78">
        <v>45451</v>
      </c>
      <c r="Q917" t="str">
        <f t="shared" si="168"/>
        <v>Koszorus Brigitta - SONGOKU SE</v>
      </c>
      <c r="R917" t="s">
        <v>636</v>
      </c>
      <c r="S917" t="s">
        <v>636</v>
      </c>
      <c r="T917" t="s">
        <v>645</v>
      </c>
    </row>
    <row r="918" spans="1:20" x14ac:dyDescent="0.3">
      <c r="A918" s="2" t="s">
        <v>611</v>
      </c>
      <c r="B918" s="50">
        <v>2</v>
      </c>
      <c r="C918">
        <v>35</v>
      </c>
      <c r="D918" t="str">
        <f t="shared" si="173"/>
        <v>Kumite</v>
      </c>
      <c r="E918" t="str">
        <f>"Kumite, -, 40-45 kg, Gyerek 2. (11-12"</f>
        <v>Kumite, -, 40-45 kg, Gyerek 2. (11-12</v>
      </c>
      <c r="F918" t="s">
        <v>527</v>
      </c>
      <c r="G918" s="50" t="str">
        <f>"5"</f>
        <v>5</v>
      </c>
      <c r="H918" t="str">
        <f>"5 fős körmérkőzés"</f>
        <v>5 fős körmérkőzés</v>
      </c>
      <c r="I918" s="50" t="str">
        <f>"1"</f>
        <v>1</v>
      </c>
      <c r="J918" t="str">
        <f>"Szabó Zsófi"</f>
        <v>Szabó Zsófi</v>
      </c>
      <c r="K918" t="str">
        <f>"ShinzóDojo"</f>
        <v>ShinzóDojo</v>
      </c>
      <c r="L918" t="str">
        <f t="shared" si="172"/>
        <v>HUN</v>
      </c>
      <c r="M918">
        <v>8</v>
      </c>
      <c r="O918" s="83" t="s">
        <v>243</v>
      </c>
      <c r="P918" s="78">
        <v>45451</v>
      </c>
      <c r="Q918" t="str">
        <f t="shared" si="168"/>
        <v>Szabó Zsófi - ShinzóDojo</v>
      </c>
      <c r="R918" t="s">
        <v>636</v>
      </c>
      <c r="S918" t="s">
        <v>636</v>
      </c>
      <c r="T918" t="s">
        <v>645</v>
      </c>
    </row>
    <row r="919" spans="1:20" x14ac:dyDescent="0.3">
      <c r="A919" s="2" t="s">
        <v>611</v>
      </c>
      <c r="B919" s="50">
        <v>2</v>
      </c>
      <c r="C919">
        <v>36</v>
      </c>
      <c r="D919" t="str">
        <f t="shared" si="173"/>
        <v>Kumite</v>
      </c>
      <c r="E919" t="str">
        <f>"Kumite, -, 40-45 kg, Gyerek 2. (11-12"</f>
        <v>Kumite, -, 40-45 kg, Gyerek 2. (11-12</v>
      </c>
      <c r="F919" t="s">
        <v>527</v>
      </c>
      <c r="G919" s="50" t="str">
        <f>"5"</f>
        <v>5</v>
      </c>
      <c r="H919" t="str">
        <f>"5 fős körmérkőzés"</f>
        <v>5 fős körmérkőzés</v>
      </c>
      <c r="I919" s="50" t="str">
        <f>"2"</f>
        <v>2</v>
      </c>
      <c r="J919" t="str">
        <f>"Mészáros Lili Dóra"</f>
        <v>Mészáros Lili Dóra</v>
      </c>
      <c r="K919" t="str">
        <f>"KSE Tarján"</f>
        <v>KSE Tarján</v>
      </c>
      <c r="L919" t="str">
        <f t="shared" si="172"/>
        <v>HUN</v>
      </c>
      <c r="M919">
        <v>6</v>
      </c>
      <c r="O919" s="83" t="s">
        <v>243</v>
      </c>
      <c r="P919" s="78">
        <v>45451</v>
      </c>
      <c r="Q919" t="str">
        <f t="shared" si="168"/>
        <v>Mészáros Lili Dóra - KSE Tarján</v>
      </c>
      <c r="R919" t="s">
        <v>636</v>
      </c>
      <c r="S919" t="s">
        <v>636</v>
      </c>
      <c r="T919" t="s">
        <v>645</v>
      </c>
    </row>
    <row r="920" spans="1:20" x14ac:dyDescent="0.3">
      <c r="A920" s="2" t="s">
        <v>611</v>
      </c>
      <c r="B920" s="50">
        <v>2</v>
      </c>
      <c r="C920">
        <v>37</v>
      </c>
      <c r="D920" t="str">
        <f t="shared" si="173"/>
        <v>Kumite</v>
      </c>
      <c r="E920" t="str">
        <f>"Kumite, -, 40-45 kg, Gyerek 2. (11-12"</f>
        <v>Kumite, -, 40-45 kg, Gyerek 2. (11-12</v>
      </c>
      <c r="F920" t="s">
        <v>527</v>
      </c>
      <c r="G920" s="50" t="str">
        <f>"5"</f>
        <v>5</v>
      </c>
      <c r="H920" t="str">
        <f>"5 fős körmérkőzés"</f>
        <v>5 fős körmérkőzés</v>
      </c>
      <c r="I920" s="50" t="str">
        <f>"3"</f>
        <v>3</v>
      </c>
      <c r="J920" t="str">
        <f>"Ványi Amira"</f>
        <v>Ványi Amira</v>
      </c>
      <c r="K920" t="str">
        <f>"POWER SE."</f>
        <v>POWER SE.</v>
      </c>
      <c r="L920" t="str">
        <f t="shared" si="172"/>
        <v>HUN</v>
      </c>
      <c r="M920">
        <v>4</v>
      </c>
      <c r="O920" s="83" t="s">
        <v>243</v>
      </c>
      <c r="P920" s="78">
        <v>45451</v>
      </c>
      <c r="Q920" t="str">
        <f t="shared" si="168"/>
        <v>Ványi Amira - POWER SE.</v>
      </c>
      <c r="R920" t="s">
        <v>636</v>
      </c>
      <c r="S920" t="s">
        <v>636</v>
      </c>
      <c r="T920" t="s">
        <v>645</v>
      </c>
    </row>
    <row r="921" spans="1:20" x14ac:dyDescent="0.3">
      <c r="A921" s="2" t="s">
        <v>611</v>
      </c>
      <c r="B921" s="50">
        <v>2</v>
      </c>
      <c r="C921">
        <v>37</v>
      </c>
      <c r="D921" t="str">
        <f t="shared" si="173"/>
        <v>Kumite</v>
      </c>
      <c r="E921" t="str">
        <f>"Kumite, -, 40-45 kg, Gyerek 2. (11-12"</f>
        <v>Kumite, -, 40-45 kg, Gyerek 2. (11-12</v>
      </c>
      <c r="F921" t="s">
        <v>527</v>
      </c>
      <c r="G921" s="50" t="str">
        <f>"5"</f>
        <v>5</v>
      </c>
      <c r="H921" t="str">
        <f>"5 fős körmérkőzés"</f>
        <v>5 fős körmérkőzés</v>
      </c>
      <c r="I921" s="50">
        <v>4</v>
      </c>
      <c r="J921" t="s">
        <v>451</v>
      </c>
      <c r="K921" t="str">
        <f>"POWER SE."</f>
        <v>POWER SE.</v>
      </c>
      <c r="L921" t="str">
        <f t="shared" si="172"/>
        <v>HUN</v>
      </c>
      <c r="M921">
        <v>3</v>
      </c>
      <c r="N921" t="s">
        <v>589</v>
      </c>
      <c r="O921" s="83" t="s">
        <v>243</v>
      </c>
      <c r="P921" s="78">
        <v>45451</v>
      </c>
      <c r="Q921" t="str">
        <f t="shared" si="168"/>
        <v>Radnóti Lilla - POWER SE.</v>
      </c>
      <c r="R921" t="s">
        <v>636</v>
      </c>
      <c r="S921" t="s">
        <v>636</v>
      </c>
      <c r="T921" t="s">
        <v>645</v>
      </c>
    </row>
    <row r="922" spans="1:20" x14ac:dyDescent="0.3">
      <c r="A922" s="2" t="s">
        <v>611</v>
      </c>
      <c r="B922" s="50">
        <v>2</v>
      </c>
      <c r="C922">
        <v>38</v>
      </c>
      <c r="D922" t="str">
        <f t="shared" si="173"/>
        <v>Kumite</v>
      </c>
      <c r="E922" t="str">
        <f>"Kumite, -, 45-150 kg, Gyerek 2. (11-12"</f>
        <v>Kumite, -, 45-150 kg, Gyerek 2. (11-12</v>
      </c>
      <c r="F922" t="s">
        <v>528</v>
      </c>
      <c r="G922" s="50" t="str">
        <f>"6"</f>
        <v>6</v>
      </c>
      <c r="H922" t="str">
        <f>"6 fős vegyes"</f>
        <v>6 fős vegyes</v>
      </c>
      <c r="I922" s="50" t="str">
        <f>"1"</f>
        <v>1</v>
      </c>
      <c r="J922" t="str">
        <f>"Horváth Eszter"</f>
        <v>Horváth Eszter</v>
      </c>
      <c r="K922" t="str">
        <f>"HARCOSOK KLUBJA"</f>
        <v>HARCOSOK KLUBJA</v>
      </c>
      <c r="L922" t="str">
        <f t="shared" si="172"/>
        <v>HUN</v>
      </c>
      <c r="M922">
        <v>6</v>
      </c>
      <c r="O922" s="83" t="s">
        <v>243</v>
      </c>
      <c r="P922" s="78">
        <v>45451</v>
      </c>
      <c r="Q922" t="str">
        <f t="shared" si="168"/>
        <v>Horváth Eszter - HARCOSOK KLUBJA</v>
      </c>
      <c r="R922" t="s">
        <v>636</v>
      </c>
      <c r="S922" t="s">
        <v>636</v>
      </c>
      <c r="T922" t="s">
        <v>645</v>
      </c>
    </row>
    <row r="923" spans="1:20" x14ac:dyDescent="0.3">
      <c r="A923" s="2" t="s">
        <v>611</v>
      </c>
      <c r="B923" s="50">
        <v>2</v>
      </c>
      <c r="C923">
        <v>39</v>
      </c>
      <c r="D923" t="str">
        <f t="shared" si="173"/>
        <v>Kumite</v>
      </c>
      <c r="E923" t="str">
        <f>"Kumite, -, 45-150 kg, Gyerek 2. (11-12"</f>
        <v>Kumite, -, 45-150 kg, Gyerek 2. (11-12</v>
      </c>
      <c r="F923" t="s">
        <v>528</v>
      </c>
      <c r="G923" s="50" t="str">
        <f>"6"</f>
        <v>6</v>
      </c>
      <c r="H923" t="str">
        <f>"6 fős vegyes"</f>
        <v>6 fős vegyes</v>
      </c>
      <c r="I923" s="50" t="str">
        <f>"2"</f>
        <v>2</v>
      </c>
      <c r="J923" t="str">
        <f>"Galyas Edit"</f>
        <v>Galyas Edit</v>
      </c>
      <c r="K923" t="str">
        <f>"Nyíradonyi KKE"</f>
        <v>Nyíradonyi KKE</v>
      </c>
      <c r="L923" t="str">
        <f t="shared" si="172"/>
        <v>HUN</v>
      </c>
      <c r="M923">
        <v>5</v>
      </c>
      <c r="O923" s="83" t="s">
        <v>243</v>
      </c>
      <c r="P923" s="78">
        <v>45451</v>
      </c>
      <c r="Q923" t="str">
        <f t="shared" si="168"/>
        <v>Galyas Edit - Nyíradonyi KKE</v>
      </c>
      <c r="R923" t="s">
        <v>636</v>
      </c>
      <c r="S923" t="s">
        <v>636</v>
      </c>
      <c r="T923" t="s">
        <v>645</v>
      </c>
    </row>
    <row r="924" spans="1:20" x14ac:dyDescent="0.3">
      <c r="A924" s="2" t="s">
        <v>611</v>
      </c>
      <c r="B924" s="50">
        <v>2</v>
      </c>
      <c r="C924">
        <v>40</v>
      </c>
      <c r="D924" t="str">
        <f t="shared" si="173"/>
        <v>Kumite</v>
      </c>
      <c r="E924" t="str">
        <f>"Kumite, -, 45-150 kg, Gyerek 2. (11-12"</f>
        <v>Kumite, -, 45-150 kg, Gyerek 2. (11-12</v>
      </c>
      <c r="F924" t="s">
        <v>528</v>
      </c>
      <c r="G924" s="50" t="str">
        <f>"6"</f>
        <v>6</v>
      </c>
      <c r="H924" t="str">
        <f>"6 fős vegyes"</f>
        <v>6 fős vegyes</v>
      </c>
      <c r="I924" s="50" t="str">
        <f>"3"</f>
        <v>3</v>
      </c>
      <c r="J924" t="str">
        <f>"Bennárik Bella"</f>
        <v>Bennárik Bella</v>
      </c>
      <c r="K924" t="str">
        <f>"HARCOSOK KLUBJA"</f>
        <v>HARCOSOK KLUBJA</v>
      </c>
      <c r="L924" t="str">
        <f t="shared" si="172"/>
        <v>HUN</v>
      </c>
      <c r="M924">
        <v>3</v>
      </c>
      <c r="O924" s="83" t="s">
        <v>243</v>
      </c>
      <c r="P924" s="78">
        <v>45451</v>
      </c>
      <c r="Q924" t="str">
        <f t="shared" si="168"/>
        <v>Bennárik Bella - HARCOSOK KLUBJA</v>
      </c>
      <c r="R924" t="s">
        <v>636</v>
      </c>
      <c r="S924" t="s">
        <v>636</v>
      </c>
      <c r="T924" t="s">
        <v>645</v>
      </c>
    </row>
    <row r="925" spans="1:20" x14ac:dyDescent="0.3">
      <c r="A925" s="2" t="s">
        <v>611</v>
      </c>
      <c r="B925" s="50">
        <v>2</v>
      </c>
      <c r="C925">
        <v>41</v>
      </c>
      <c r="D925" t="str">
        <f>"Kata"</f>
        <v>Kata</v>
      </c>
      <c r="E925" t="str">
        <f>"Kata, -, 0-150 kg, Gyerek 2. (11-12"</f>
        <v>Kata, -, 0-150 kg, Gyerek 2. (11-12</v>
      </c>
      <c r="F925" t="s">
        <v>526</v>
      </c>
      <c r="G925" s="50" t="str">
        <f>"7"</f>
        <v>7</v>
      </c>
      <c r="H925" t="str">
        <f>"8 fős egyenes kiesés"</f>
        <v>8 fős egyenes kiesés</v>
      </c>
      <c r="I925" s="50" t="str">
        <f>"1"</f>
        <v>1</v>
      </c>
      <c r="J925" t="str">
        <f>"Nándori Emma"</f>
        <v>Nándori Emma</v>
      </c>
      <c r="K925" t="str">
        <f>"Kemecse SE"</f>
        <v>Kemecse SE</v>
      </c>
      <c r="L925" t="str">
        <f t="shared" si="172"/>
        <v>HUN</v>
      </c>
      <c r="M925">
        <v>5</v>
      </c>
      <c r="O925" s="83" t="s">
        <v>243</v>
      </c>
      <c r="P925" s="78">
        <v>45451</v>
      </c>
      <c r="Q925" t="str">
        <f t="shared" si="168"/>
        <v>Nándori Emma - Kemecse SE</v>
      </c>
      <c r="R925" t="s">
        <v>636</v>
      </c>
      <c r="S925" t="s">
        <v>636</v>
      </c>
      <c r="T925" t="s">
        <v>645</v>
      </c>
    </row>
    <row r="926" spans="1:20" x14ac:dyDescent="0.3">
      <c r="A926" s="2" t="s">
        <v>611</v>
      </c>
      <c r="B926" s="50">
        <v>2</v>
      </c>
      <c r="C926">
        <v>42</v>
      </c>
      <c r="D926" t="str">
        <f>"Kata"</f>
        <v>Kata</v>
      </c>
      <c r="E926" t="str">
        <f>"Kata, -, 0-150 kg, Gyerek 2. (11-12"</f>
        <v>Kata, -, 0-150 kg, Gyerek 2. (11-12</v>
      </c>
      <c r="F926" t="s">
        <v>526</v>
      </c>
      <c r="G926" s="50" t="str">
        <f>"7"</f>
        <v>7</v>
      </c>
      <c r="H926" t="str">
        <f>"8 fős egyenes kiesés"</f>
        <v>8 fős egyenes kiesés</v>
      </c>
      <c r="I926" s="50" t="str">
        <f>"2"</f>
        <v>2</v>
      </c>
      <c r="J926" t="str">
        <f>"Szabó Zsófi"</f>
        <v>Szabó Zsófi</v>
      </c>
      <c r="K926" t="str">
        <f>"ShinzóDojo"</f>
        <v>ShinzóDojo</v>
      </c>
      <c r="L926" t="str">
        <f t="shared" si="172"/>
        <v>HUN</v>
      </c>
      <c r="M926">
        <v>4</v>
      </c>
      <c r="O926" s="83" t="s">
        <v>243</v>
      </c>
      <c r="P926" s="78">
        <v>45451</v>
      </c>
      <c r="Q926" t="str">
        <f t="shared" si="168"/>
        <v>Szabó Zsófi - ShinzóDojo</v>
      </c>
      <c r="R926" t="s">
        <v>636</v>
      </c>
      <c r="S926" t="s">
        <v>636</v>
      </c>
      <c r="T926" t="s">
        <v>645</v>
      </c>
    </row>
    <row r="927" spans="1:20" x14ac:dyDescent="0.3">
      <c r="A927" s="2" t="s">
        <v>611</v>
      </c>
      <c r="B927" s="50">
        <v>2</v>
      </c>
      <c r="C927">
        <v>43</v>
      </c>
      <c r="D927" t="str">
        <f>"Kata"</f>
        <v>Kata</v>
      </c>
      <c r="E927" t="str">
        <f>"Kata, -, 0-150 kg, Gyerek 2. (11-12"</f>
        <v>Kata, -, 0-150 kg, Gyerek 2. (11-12</v>
      </c>
      <c r="F927" t="s">
        <v>526</v>
      </c>
      <c r="G927" s="50" t="str">
        <f>"7"</f>
        <v>7</v>
      </c>
      <c r="H927" t="str">
        <f>"8 fős egyenes kiesés"</f>
        <v>8 fős egyenes kiesés</v>
      </c>
      <c r="I927" s="50" t="str">
        <f>"3"</f>
        <v>3</v>
      </c>
      <c r="J927" t="str">
        <f>"Csató Réka"</f>
        <v>Csató Réka</v>
      </c>
      <c r="K927" t="str">
        <f>"Keizoku SE"</f>
        <v>Keizoku SE</v>
      </c>
      <c r="L927" t="str">
        <f t="shared" si="172"/>
        <v>HUN</v>
      </c>
      <c r="M927">
        <v>2</v>
      </c>
      <c r="O927" s="83" t="s">
        <v>243</v>
      </c>
      <c r="P927" s="78">
        <v>45451</v>
      </c>
      <c r="Q927" t="str">
        <f t="shared" si="168"/>
        <v>Csató Réka - Keizoku SE</v>
      </c>
      <c r="R927" t="s">
        <v>636</v>
      </c>
      <c r="S927" t="s">
        <v>636</v>
      </c>
      <c r="T927" t="s">
        <v>645</v>
      </c>
    </row>
    <row r="928" spans="1:20" x14ac:dyDescent="0.3">
      <c r="A928" s="2" t="s">
        <v>611</v>
      </c>
      <c r="B928" s="50">
        <v>2</v>
      </c>
      <c r="C928">
        <v>44</v>
      </c>
      <c r="D928" t="str">
        <f>"Kata"</f>
        <v>Kata</v>
      </c>
      <c r="E928" t="str">
        <f>"Kata, -, 0-150 kg, Gyerek 2. (11-12"</f>
        <v>Kata, -, 0-150 kg, Gyerek 2. (11-12</v>
      </c>
      <c r="F928" t="s">
        <v>526</v>
      </c>
      <c r="G928" s="50" t="str">
        <f>"7"</f>
        <v>7</v>
      </c>
      <c r="H928" t="str">
        <f>"8 fős egyenes kiesés"</f>
        <v>8 fős egyenes kiesés</v>
      </c>
      <c r="I928" s="50" t="str">
        <f>"3"</f>
        <v>3</v>
      </c>
      <c r="J928" t="str">
        <f>"Radnóti Lilla"</f>
        <v>Radnóti Lilla</v>
      </c>
      <c r="K928" t="str">
        <f>"POWER SE."</f>
        <v>POWER SE.</v>
      </c>
      <c r="L928" t="str">
        <f t="shared" si="172"/>
        <v>HUN</v>
      </c>
      <c r="M928">
        <v>0</v>
      </c>
      <c r="N928" t="s">
        <v>584</v>
      </c>
      <c r="O928" s="83" t="s">
        <v>243</v>
      </c>
      <c r="P928" s="78">
        <v>45451</v>
      </c>
      <c r="Q928" t="str">
        <f t="shared" si="168"/>
        <v>Radnóti Lilla - POWER SE.</v>
      </c>
      <c r="R928" t="s">
        <v>636</v>
      </c>
      <c r="S928" t="s">
        <v>636</v>
      </c>
      <c r="T928" t="s">
        <v>645</v>
      </c>
    </row>
    <row r="929" spans="1:20" x14ac:dyDescent="0.3">
      <c r="A929" s="2" t="s">
        <v>611</v>
      </c>
      <c r="B929" s="50">
        <v>2</v>
      </c>
      <c r="C929">
        <v>45</v>
      </c>
      <c r="D929" t="str">
        <f t="shared" ref="D929:D940" si="174">"Kumite"</f>
        <v>Kumite</v>
      </c>
      <c r="E929" t="str">
        <f>"Kumite, -, 0-40 kg, Serdülő (13-14"</f>
        <v>Kumite, -, 0-40 kg, Serdülő (13-14</v>
      </c>
      <c r="F929" t="s">
        <v>529</v>
      </c>
      <c r="G929" s="50" t="str">
        <f>"2"</f>
        <v>2</v>
      </c>
      <c r="H929" t="str">
        <f>"2 fős egyenes kiesés"</f>
        <v>2 fős egyenes kiesés</v>
      </c>
      <c r="I929" s="50" t="str">
        <f>"1"</f>
        <v>1</v>
      </c>
      <c r="J929" t="str">
        <f>"Gombos-Weidinger Barnabás"</f>
        <v>Gombos-Weidinger Barnabás</v>
      </c>
      <c r="K929" t="str">
        <f>"BHMSE"</f>
        <v>BHMSE</v>
      </c>
      <c r="L929" t="str">
        <f t="shared" si="172"/>
        <v>HUN</v>
      </c>
      <c r="M929">
        <v>3</v>
      </c>
      <c r="O929" s="83" t="s">
        <v>243</v>
      </c>
      <c r="P929" s="78">
        <v>45451</v>
      </c>
      <c r="Q929" t="str">
        <f t="shared" si="168"/>
        <v>Gombos-Weidinger Barnabás - BHMSE</v>
      </c>
      <c r="R929" t="s">
        <v>636</v>
      </c>
      <c r="S929" t="s">
        <v>636</v>
      </c>
      <c r="T929" t="s">
        <v>645</v>
      </c>
    </row>
    <row r="930" spans="1:20" x14ac:dyDescent="0.3">
      <c r="A930" s="2" t="s">
        <v>611</v>
      </c>
      <c r="B930" s="50">
        <v>2</v>
      </c>
      <c r="C930">
        <v>46</v>
      </c>
      <c r="D930" t="str">
        <f t="shared" si="174"/>
        <v>Kumite</v>
      </c>
      <c r="E930" t="str">
        <f>"Kumite, -, 0-40 kg, Serdülő (13-14"</f>
        <v>Kumite, -, 0-40 kg, Serdülő (13-14</v>
      </c>
      <c r="F930" t="s">
        <v>529</v>
      </c>
      <c r="G930" s="50" t="str">
        <f>"2"</f>
        <v>2</v>
      </c>
      <c r="H930" t="str">
        <f>"2 fős egyenes kiesés"</f>
        <v>2 fős egyenes kiesés</v>
      </c>
      <c r="I930" s="50" t="str">
        <f>"2"</f>
        <v>2</v>
      </c>
      <c r="J930" t="str">
        <f>"Nagy Hunor"</f>
        <v>Nagy Hunor</v>
      </c>
      <c r="K930" t="str">
        <f>"Derecske BUDO"</f>
        <v>Derecske BUDO</v>
      </c>
      <c r="L930" t="str">
        <f t="shared" si="172"/>
        <v>HUN</v>
      </c>
      <c r="M930">
        <v>0</v>
      </c>
      <c r="O930" s="83" t="s">
        <v>243</v>
      </c>
      <c r="P930" s="78">
        <v>45451</v>
      </c>
      <c r="Q930" t="str">
        <f t="shared" si="168"/>
        <v>Nagy Hunor - Derecske BUDO</v>
      </c>
      <c r="R930" t="s">
        <v>636</v>
      </c>
      <c r="S930" t="s">
        <v>636</v>
      </c>
      <c r="T930" t="s">
        <v>645</v>
      </c>
    </row>
    <row r="931" spans="1:20" x14ac:dyDescent="0.3">
      <c r="A931" s="2" t="s">
        <v>611</v>
      </c>
      <c r="B931" s="50">
        <v>2</v>
      </c>
      <c r="C931">
        <v>47</v>
      </c>
      <c r="D931" t="str">
        <f t="shared" si="174"/>
        <v>Kumite</v>
      </c>
      <c r="E931" t="str">
        <f>"Kumite, -, 40-45 kg, Serdülő (13-14"</f>
        <v>Kumite, -, 40-45 kg, Serdülő (13-14</v>
      </c>
      <c r="F931" t="s">
        <v>530</v>
      </c>
      <c r="G931" s="50" t="str">
        <f>"3"</f>
        <v>3</v>
      </c>
      <c r="H931" t="str">
        <f>"3 fős körmérkőzés"</f>
        <v>3 fős körmérkőzés</v>
      </c>
      <c r="I931" s="50" t="str">
        <f>"1"</f>
        <v>1</v>
      </c>
      <c r="J931" t="str">
        <f>"Berényi Imre Márk"</f>
        <v>Berényi Imre Márk</v>
      </c>
      <c r="K931" t="str">
        <f>"Shogun"</f>
        <v>Shogun</v>
      </c>
      <c r="L931" t="str">
        <f t="shared" si="172"/>
        <v>HUN</v>
      </c>
      <c r="M931">
        <v>4</v>
      </c>
      <c r="O931" s="83" t="s">
        <v>243</v>
      </c>
      <c r="P931" s="78">
        <v>45451</v>
      </c>
      <c r="Q931" t="str">
        <f t="shared" si="168"/>
        <v>Berényi Imre Márk - Shogun</v>
      </c>
      <c r="R931" t="s">
        <v>636</v>
      </c>
      <c r="S931" t="s">
        <v>636</v>
      </c>
      <c r="T931" t="s">
        <v>645</v>
      </c>
    </row>
    <row r="932" spans="1:20" x14ac:dyDescent="0.3">
      <c r="A932" s="2" t="s">
        <v>611</v>
      </c>
      <c r="B932" s="50">
        <v>2</v>
      </c>
      <c r="C932">
        <v>48</v>
      </c>
      <c r="D932" t="str">
        <f t="shared" si="174"/>
        <v>Kumite</v>
      </c>
      <c r="E932" t="str">
        <f>"Kumite, -, 40-45 kg, Serdülő (13-14"</f>
        <v>Kumite, -, 40-45 kg, Serdülő (13-14</v>
      </c>
      <c r="F932" t="s">
        <v>530</v>
      </c>
      <c r="G932" s="50" t="str">
        <f>"3"</f>
        <v>3</v>
      </c>
      <c r="H932" t="str">
        <f>"3 fős körmérkőzés"</f>
        <v>3 fős körmérkőzés</v>
      </c>
      <c r="I932" s="50" t="str">
        <f>"2"</f>
        <v>2</v>
      </c>
      <c r="J932" t="str">
        <f>"Dorka Zalán"</f>
        <v>Dorka Zalán</v>
      </c>
      <c r="K932" t="str">
        <f>"KHSE"</f>
        <v>KHSE</v>
      </c>
      <c r="L932" t="str">
        <f t="shared" si="172"/>
        <v>HUN</v>
      </c>
      <c r="M932">
        <v>3</v>
      </c>
      <c r="O932" s="83" t="s">
        <v>243</v>
      </c>
      <c r="P932" s="78">
        <v>45451</v>
      </c>
      <c r="Q932" t="str">
        <f t="shared" si="168"/>
        <v>Dorka Zalán - KHSE</v>
      </c>
      <c r="R932" t="s">
        <v>636</v>
      </c>
      <c r="S932" t="s">
        <v>636</v>
      </c>
      <c r="T932" t="s">
        <v>645</v>
      </c>
    </row>
    <row r="933" spans="1:20" x14ac:dyDescent="0.3">
      <c r="A933" s="2" t="s">
        <v>611</v>
      </c>
      <c r="B933" s="50">
        <v>2</v>
      </c>
      <c r="C933">
        <v>49</v>
      </c>
      <c r="D933" t="str">
        <f t="shared" si="174"/>
        <v>Kumite</v>
      </c>
      <c r="E933" t="str">
        <f>"Kumite, -, 40-45 kg, Serdülő (13-14"</f>
        <v>Kumite, -, 40-45 kg, Serdülő (13-14</v>
      </c>
      <c r="F933" t="s">
        <v>530</v>
      </c>
      <c r="G933" s="50" t="str">
        <f>"3"</f>
        <v>3</v>
      </c>
      <c r="H933" t="str">
        <f>"3 fős körmérkőzés"</f>
        <v>3 fős körmérkőzés</v>
      </c>
      <c r="I933" s="50" t="str">
        <f>"3"</f>
        <v>3</v>
      </c>
      <c r="J933" t="str">
        <f>"Valkovszki Máté"</f>
        <v>Valkovszki Máté</v>
      </c>
      <c r="K933" t="str">
        <f>"BHMSE"</f>
        <v>BHMSE</v>
      </c>
      <c r="L933" t="str">
        <f t="shared" si="172"/>
        <v>HUN</v>
      </c>
      <c r="M933">
        <v>0</v>
      </c>
      <c r="N933" t="s">
        <v>584</v>
      </c>
      <c r="O933" s="83" t="s">
        <v>243</v>
      </c>
      <c r="P933" s="78">
        <v>45451</v>
      </c>
      <c r="Q933" t="str">
        <f t="shared" si="168"/>
        <v>Valkovszki Máté - BHMSE</v>
      </c>
      <c r="R933" t="s">
        <v>636</v>
      </c>
      <c r="S933" t="s">
        <v>636</v>
      </c>
      <c r="T933" t="s">
        <v>645</v>
      </c>
    </row>
    <row r="934" spans="1:20" x14ac:dyDescent="0.3">
      <c r="A934" s="2" t="s">
        <v>611</v>
      </c>
      <c r="B934" s="50">
        <v>2</v>
      </c>
      <c r="C934">
        <v>50</v>
      </c>
      <c r="D934" t="str">
        <f t="shared" si="174"/>
        <v>Kumite</v>
      </c>
      <c r="E934" t="str">
        <f>"Kumite, -, 50-60 kg, Serdülő (13-14"</f>
        <v>Kumite, -, 50-60 kg, Serdülő (13-14</v>
      </c>
      <c r="F934" t="s">
        <v>532</v>
      </c>
      <c r="G934" s="50" t="str">
        <f>"7"</f>
        <v>7</v>
      </c>
      <c r="H934" t="str">
        <f>"8 fős egyenes kiesés"</f>
        <v>8 fős egyenes kiesés</v>
      </c>
      <c r="I934" s="50" t="str">
        <f>"1"</f>
        <v>1</v>
      </c>
      <c r="J934" t="str">
        <f>"Ménes Milán"</f>
        <v>Ménes Milán</v>
      </c>
      <c r="K934" t="str">
        <f>"KHSE"</f>
        <v>KHSE</v>
      </c>
      <c r="L934" t="str">
        <f t="shared" si="172"/>
        <v>HUN</v>
      </c>
      <c r="M934">
        <v>6</v>
      </c>
      <c r="O934" s="83" t="s">
        <v>243</v>
      </c>
      <c r="P934" s="78">
        <v>45451</v>
      </c>
      <c r="Q934" t="str">
        <f t="shared" si="168"/>
        <v>Ménes Milán - KHSE</v>
      </c>
      <c r="R934" t="s">
        <v>636</v>
      </c>
      <c r="S934" t="s">
        <v>636</v>
      </c>
      <c r="T934" t="s">
        <v>645</v>
      </c>
    </row>
    <row r="935" spans="1:20" x14ac:dyDescent="0.3">
      <c r="A935" s="2" t="s">
        <v>611</v>
      </c>
      <c r="B935" s="50">
        <v>2</v>
      </c>
      <c r="C935">
        <v>50</v>
      </c>
      <c r="D935" t="str">
        <f t="shared" si="174"/>
        <v>Kumite</v>
      </c>
      <c r="E935" t="str">
        <f>"Kumite, -, 50-60 kg, Serdülő (13-14"</f>
        <v>Kumite, -, 50-60 kg, Serdülő (13-14</v>
      </c>
      <c r="F935" t="s">
        <v>532</v>
      </c>
      <c r="G935" s="50" t="str">
        <f>"7"</f>
        <v>7</v>
      </c>
      <c r="H935" t="str">
        <f>"8 fős egyenes kiesés"</f>
        <v>8 fős egyenes kiesés</v>
      </c>
      <c r="I935" s="50">
        <v>2</v>
      </c>
      <c r="J935" t="s">
        <v>616</v>
      </c>
      <c r="K935" t="s">
        <v>320</v>
      </c>
      <c r="L935" t="str">
        <f t="shared" si="172"/>
        <v>HUN</v>
      </c>
      <c r="M935">
        <v>5</v>
      </c>
      <c r="O935" s="83" t="s">
        <v>243</v>
      </c>
      <c r="P935" s="78">
        <v>45451</v>
      </c>
      <c r="Q935" t="str">
        <f t="shared" si="168"/>
        <v>Gyurcsán Tibor Balázs - Fight-team</v>
      </c>
      <c r="R935" t="s">
        <v>636</v>
      </c>
      <c r="S935" t="s">
        <v>636</v>
      </c>
      <c r="T935" t="s">
        <v>645</v>
      </c>
    </row>
    <row r="936" spans="1:20" x14ac:dyDescent="0.3">
      <c r="A936" s="2" t="s">
        <v>611</v>
      </c>
      <c r="B936" s="50">
        <v>2</v>
      </c>
      <c r="C936">
        <v>51</v>
      </c>
      <c r="D936" t="str">
        <f t="shared" si="174"/>
        <v>Kumite</v>
      </c>
      <c r="E936" t="str">
        <f>"Kumite, -, 50-60 kg, Serdülő (13-14"</f>
        <v>Kumite, -, 50-60 kg, Serdülő (13-14</v>
      </c>
      <c r="F936" t="s">
        <v>532</v>
      </c>
      <c r="G936" s="50" t="str">
        <f>"7"</f>
        <v>7</v>
      </c>
      <c r="H936" t="str">
        <f>"8 fős egyenes kiesés"</f>
        <v>8 fős egyenes kiesés</v>
      </c>
      <c r="I936" s="50" t="str">
        <f>"3"</f>
        <v>3</v>
      </c>
      <c r="J936" t="str">
        <f>"Lóránt Varga Milán"</f>
        <v>Lóránt Varga Milán</v>
      </c>
      <c r="K936" t="str">
        <f>"Shogun"</f>
        <v>Shogun</v>
      </c>
      <c r="L936" t="str">
        <f t="shared" si="172"/>
        <v>HUN</v>
      </c>
      <c r="M936">
        <v>0</v>
      </c>
      <c r="N936" t="s">
        <v>584</v>
      </c>
      <c r="O936" s="83" t="s">
        <v>243</v>
      </c>
      <c r="P936" s="78">
        <v>45451</v>
      </c>
      <c r="Q936" t="str">
        <f t="shared" si="168"/>
        <v>Lóránt Varga Milán - Shogun</v>
      </c>
      <c r="R936" t="s">
        <v>636</v>
      </c>
      <c r="S936" t="s">
        <v>636</v>
      </c>
      <c r="T936" t="s">
        <v>645</v>
      </c>
    </row>
    <row r="937" spans="1:20" x14ac:dyDescent="0.3">
      <c r="A937" s="2" t="s">
        <v>611</v>
      </c>
      <c r="B937" s="50">
        <v>2</v>
      </c>
      <c r="C937">
        <v>51</v>
      </c>
      <c r="D937" t="str">
        <f t="shared" si="174"/>
        <v>Kumite</v>
      </c>
      <c r="E937" t="str">
        <f>"Kumite, -, 50-60 kg, Serdülő (13-14"</f>
        <v>Kumite, -, 50-60 kg, Serdülő (13-14</v>
      </c>
      <c r="F937" t="s">
        <v>532</v>
      </c>
      <c r="G937" s="50" t="str">
        <f>"7"</f>
        <v>7</v>
      </c>
      <c r="H937" t="str">
        <f>"8 fős egyenes kiesés"</f>
        <v>8 fős egyenes kiesés</v>
      </c>
      <c r="I937" s="50" t="str">
        <f>"3"</f>
        <v>3</v>
      </c>
      <c r="J937" t="s">
        <v>617</v>
      </c>
      <c r="K937" t="s">
        <v>35</v>
      </c>
      <c r="L937" t="str">
        <f t="shared" si="172"/>
        <v>HUN</v>
      </c>
      <c r="M937">
        <v>3</v>
      </c>
      <c r="O937" s="83" t="s">
        <v>243</v>
      </c>
      <c r="P937" s="78">
        <v>45451</v>
      </c>
      <c r="Q937" t="str">
        <f t="shared" si="168"/>
        <v>Ágoston Bence - KHSE</v>
      </c>
      <c r="R937" t="s">
        <v>636</v>
      </c>
      <c r="S937" t="s">
        <v>636</v>
      </c>
      <c r="T937" t="s">
        <v>645</v>
      </c>
    </row>
    <row r="938" spans="1:20" x14ac:dyDescent="0.3">
      <c r="A938" s="2" t="s">
        <v>611</v>
      </c>
      <c r="B938" s="50">
        <v>2</v>
      </c>
      <c r="C938">
        <v>52</v>
      </c>
      <c r="D938" t="str">
        <f t="shared" si="174"/>
        <v>Kumite</v>
      </c>
      <c r="E938" t="str">
        <f>"Kumite, -, 60-70 kg, Serdülő (13-14"</f>
        <v>Kumite, -, 60-70 kg, Serdülő (13-14</v>
      </c>
      <c r="F938" t="s">
        <v>533</v>
      </c>
      <c r="G938" s="50" t="str">
        <f>"3"</f>
        <v>3</v>
      </c>
      <c r="H938" t="str">
        <f>"3 fős körmérkőzés"</f>
        <v>3 fős körmérkőzés</v>
      </c>
      <c r="I938" s="50" t="str">
        <f>"1"</f>
        <v>1</v>
      </c>
      <c r="J938" t="str">
        <f>"Szalontai Levente"</f>
        <v>Szalontai Levente</v>
      </c>
      <c r="K938" t="str">
        <f>"KSE Tarján"</f>
        <v>KSE Tarján</v>
      </c>
      <c r="L938" t="str">
        <f t="shared" si="172"/>
        <v>HUN</v>
      </c>
      <c r="M938">
        <v>4</v>
      </c>
      <c r="O938" s="83" t="s">
        <v>243</v>
      </c>
      <c r="P938" s="78">
        <v>45451</v>
      </c>
      <c r="Q938" t="str">
        <f t="shared" si="168"/>
        <v>Szalontai Levente - KSE Tarján</v>
      </c>
      <c r="R938" t="s">
        <v>636</v>
      </c>
      <c r="S938" t="s">
        <v>636</v>
      </c>
      <c r="T938" t="s">
        <v>645</v>
      </c>
    </row>
    <row r="939" spans="1:20" x14ac:dyDescent="0.3">
      <c r="A939" s="2" t="s">
        <v>611</v>
      </c>
      <c r="B939" s="50">
        <v>2</v>
      </c>
      <c r="C939">
        <v>53</v>
      </c>
      <c r="D939" t="str">
        <f t="shared" si="174"/>
        <v>Kumite</v>
      </c>
      <c r="E939" t="str">
        <f>"Kumite, -, 60-70 kg, Serdülő (13-14"</f>
        <v>Kumite, -, 60-70 kg, Serdülő (13-14</v>
      </c>
      <c r="F939" t="s">
        <v>533</v>
      </c>
      <c r="G939" s="50" t="str">
        <f>"3"</f>
        <v>3</v>
      </c>
      <c r="H939" t="str">
        <f>"3 fős körmérkőzés"</f>
        <v>3 fős körmérkőzés</v>
      </c>
      <c r="I939" s="50" t="str">
        <f>"2"</f>
        <v>2</v>
      </c>
      <c r="J939" t="str">
        <f>"Lisztes Barnabás"</f>
        <v>Lisztes Barnabás</v>
      </c>
      <c r="K939" t="str">
        <f>"Shogun"</f>
        <v>Shogun</v>
      </c>
      <c r="L939" t="str">
        <f t="shared" si="172"/>
        <v>HUN</v>
      </c>
      <c r="M939">
        <v>3</v>
      </c>
      <c r="O939" s="83" t="s">
        <v>243</v>
      </c>
      <c r="P939" s="78">
        <v>45451</v>
      </c>
      <c r="Q939" t="str">
        <f t="shared" si="168"/>
        <v>Lisztes Barnabás - Shogun</v>
      </c>
      <c r="R939" t="s">
        <v>636</v>
      </c>
      <c r="S939" t="s">
        <v>636</v>
      </c>
      <c r="T939" t="s">
        <v>645</v>
      </c>
    </row>
    <row r="940" spans="1:20" x14ac:dyDescent="0.3">
      <c r="A940" s="2" t="s">
        <v>611</v>
      </c>
      <c r="B940" s="50">
        <v>2</v>
      </c>
      <c r="C940">
        <v>54</v>
      </c>
      <c r="D940" t="str">
        <f t="shared" si="174"/>
        <v>Kumite</v>
      </c>
      <c r="E940" t="str">
        <f>"Kumite, -, 60-70 kg, Serdülő (13-14"</f>
        <v>Kumite, -, 60-70 kg, Serdülő (13-14</v>
      </c>
      <c r="F940" t="s">
        <v>533</v>
      </c>
      <c r="G940" s="50" t="str">
        <f>"3"</f>
        <v>3</v>
      </c>
      <c r="H940" t="str">
        <f>"3 fős körmérkőzés"</f>
        <v>3 fős körmérkőzés</v>
      </c>
      <c r="I940" s="50" t="str">
        <f>"3"</f>
        <v>3</v>
      </c>
      <c r="J940" t="str">
        <f>"Yaroslav Pankov"</f>
        <v>Yaroslav Pankov</v>
      </c>
      <c r="K940" t="str">
        <f>"KK Mladost"</f>
        <v>KK Mladost</v>
      </c>
      <c r="L940" t="str">
        <f>"HRV"</f>
        <v>HRV</v>
      </c>
      <c r="M940">
        <v>0</v>
      </c>
      <c r="N940" t="s">
        <v>584</v>
      </c>
      <c r="O940" s="83" t="s">
        <v>243</v>
      </c>
      <c r="P940" s="78">
        <v>45451</v>
      </c>
      <c r="Q940" t="str">
        <f t="shared" si="168"/>
        <v>Yaroslav Pankov - KK Mladost</v>
      </c>
      <c r="R940" t="s">
        <v>637</v>
      </c>
      <c r="S940" t="s">
        <v>593</v>
      </c>
      <c r="T940" t="s">
        <v>645</v>
      </c>
    </row>
    <row r="941" spans="1:20" x14ac:dyDescent="0.3">
      <c r="A941" s="2" t="s">
        <v>611</v>
      </c>
      <c r="B941" s="50">
        <v>2</v>
      </c>
      <c r="C941">
        <v>55</v>
      </c>
      <c r="D941" t="str">
        <f>"Kata"</f>
        <v>Kata</v>
      </c>
      <c r="E941" t="str">
        <f>"Kata, -, 0-200 kg, Serdülő (13-14"</f>
        <v>Kata, -, 0-200 kg, Serdülő (13-14</v>
      </c>
      <c r="F941" t="s">
        <v>537</v>
      </c>
      <c r="G941" s="50" t="str">
        <f>"5"</f>
        <v>5</v>
      </c>
      <c r="H941" t="str">
        <f>"8 fős egyenes kiesés"</f>
        <v>8 fős egyenes kiesés</v>
      </c>
      <c r="I941" s="50" t="str">
        <f>"1"</f>
        <v>1</v>
      </c>
      <c r="J941" t="str">
        <f>"Szalontai Levente"</f>
        <v>Szalontai Levente</v>
      </c>
      <c r="K941" t="str">
        <f>"KSE Tarján"</f>
        <v>KSE Tarján</v>
      </c>
      <c r="L941" t="str">
        <f t="shared" ref="L941:L946" si="175">"HUN"</f>
        <v>HUN</v>
      </c>
      <c r="M941">
        <v>5</v>
      </c>
      <c r="O941" s="83" t="s">
        <v>243</v>
      </c>
      <c r="P941" s="78">
        <v>45451</v>
      </c>
      <c r="Q941" t="str">
        <f t="shared" si="168"/>
        <v>Szalontai Levente - KSE Tarján</v>
      </c>
      <c r="R941" t="s">
        <v>636</v>
      </c>
      <c r="S941" t="s">
        <v>636</v>
      </c>
      <c r="T941" t="s">
        <v>645</v>
      </c>
    </row>
    <row r="942" spans="1:20" x14ac:dyDescent="0.3">
      <c r="A942" s="2" t="s">
        <v>611</v>
      </c>
      <c r="B942" s="50">
        <v>2</v>
      </c>
      <c r="C942">
        <v>56</v>
      </c>
      <c r="D942" t="str">
        <f>"Kata"</f>
        <v>Kata</v>
      </c>
      <c r="E942" t="str">
        <f>"Kata, -, 0-200 kg, Serdülő (13-14"</f>
        <v>Kata, -, 0-200 kg, Serdülő (13-14</v>
      </c>
      <c r="F942" t="s">
        <v>537</v>
      </c>
      <c r="G942" s="50" t="str">
        <f>"5"</f>
        <v>5</v>
      </c>
      <c r="H942" t="str">
        <f>"8 fős egyenes kiesés"</f>
        <v>8 fős egyenes kiesés</v>
      </c>
      <c r="I942" s="50" t="str">
        <f>"2"</f>
        <v>2</v>
      </c>
      <c r="J942" t="str">
        <f>"Lóránt Varga Milán"</f>
        <v>Lóránt Varga Milán</v>
      </c>
      <c r="K942" t="str">
        <f>"Shogun"</f>
        <v>Shogun</v>
      </c>
      <c r="L942" t="str">
        <f t="shared" si="175"/>
        <v>HUN</v>
      </c>
      <c r="M942">
        <v>4</v>
      </c>
      <c r="O942" s="83" t="s">
        <v>243</v>
      </c>
      <c r="P942" s="78">
        <v>45451</v>
      </c>
      <c r="Q942" t="str">
        <f t="shared" si="168"/>
        <v>Lóránt Varga Milán - Shogun</v>
      </c>
      <c r="R942" t="s">
        <v>636</v>
      </c>
      <c r="S942" t="s">
        <v>636</v>
      </c>
      <c r="T942" t="s">
        <v>645</v>
      </c>
    </row>
    <row r="943" spans="1:20" x14ac:dyDescent="0.3">
      <c r="A943" s="2" t="s">
        <v>611</v>
      </c>
      <c r="B943" s="50">
        <v>2</v>
      </c>
      <c r="C943">
        <v>57</v>
      </c>
      <c r="D943" t="str">
        <f>"Kata"</f>
        <v>Kata</v>
      </c>
      <c r="E943" t="str">
        <f>"Kata, -, 0-200 kg, Serdülő (13-14"</f>
        <v>Kata, -, 0-200 kg, Serdülő (13-14</v>
      </c>
      <c r="F943" t="s">
        <v>537</v>
      </c>
      <c r="G943" s="50" t="str">
        <f>"5"</f>
        <v>5</v>
      </c>
      <c r="H943" t="str">
        <f>"8 fős egyenes kiesés"</f>
        <v>8 fős egyenes kiesés</v>
      </c>
      <c r="I943" s="50" t="str">
        <f>"3"</f>
        <v>3</v>
      </c>
      <c r="J943" t="str">
        <f>"Berényi Imre Márk"</f>
        <v>Berényi Imre Márk</v>
      </c>
      <c r="K943" t="str">
        <f>"Shogun"</f>
        <v>Shogun</v>
      </c>
      <c r="L943" t="str">
        <f t="shared" si="175"/>
        <v>HUN</v>
      </c>
      <c r="M943">
        <v>0</v>
      </c>
      <c r="N943" t="s">
        <v>584</v>
      </c>
      <c r="O943" s="83" t="s">
        <v>243</v>
      </c>
      <c r="P943" s="78">
        <v>45451</v>
      </c>
      <c r="Q943" t="str">
        <f t="shared" si="168"/>
        <v>Berényi Imre Márk - Shogun</v>
      </c>
      <c r="R943" t="s">
        <v>636</v>
      </c>
      <c r="S943" t="s">
        <v>636</v>
      </c>
      <c r="T943" t="s">
        <v>645</v>
      </c>
    </row>
    <row r="944" spans="1:20" x14ac:dyDescent="0.3">
      <c r="A944" s="2" t="s">
        <v>611</v>
      </c>
      <c r="B944" s="50">
        <v>2</v>
      </c>
      <c r="C944">
        <v>58</v>
      </c>
      <c r="D944" t="str">
        <f>"Kata"</f>
        <v>Kata</v>
      </c>
      <c r="E944" t="str">
        <f>"Kata, -, 0-200 kg, Serdülő (13-14"</f>
        <v>Kata, -, 0-200 kg, Serdülő (13-14</v>
      </c>
      <c r="F944" t="s">
        <v>537</v>
      </c>
      <c r="G944" s="50" t="str">
        <f>"5"</f>
        <v>5</v>
      </c>
      <c r="H944" t="str">
        <f>"8 fős egyenes kiesés"</f>
        <v>8 fős egyenes kiesés</v>
      </c>
      <c r="I944" s="50" t="str">
        <f>"3"</f>
        <v>3</v>
      </c>
      <c r="J944" t="str">
        <f>"Kajtár Bendegúz"</f>
        <v>Kajtár Bendegúz</v>
      </c>
      <c r="K944" t="str">
        <f>"Tora HSE"</f>
        <v>Tora HSE</v>
      </c>
      <c r="L944" t="str">
        <f t="shared" si="175"/>
        <v>HUN</v>
      </c>
      <c r="M944">
        <v>0</v>
      </c>
      <c r="N944" t="s">
        <v>584</v>
      </c>
      <c r="O944" s="83" t="s">
        <v>243</v>
      </c>
      <c r="P944" s="78">
        <v>45451</v>
      </c>
      <c r="Q944" t="str">
        <f t="shared" si="168"/>
        <v>Kajtár Bendegúz - Tora HSE</v>
      </c>
      <c r="R944" t="s">
        <v>637</v>
      </c>
      <c r="S944" t="s">
        <v>169</v>
      </c>
      <c r="T944" t="s">
        <v>645</v>
      </c>
    </row>
    <row r="945" spans="1:20" x14ac:dyDescent="0.3">
      <c r="A945" s="2" t="s">
        <v>611</v>
      </c>
      <c r="B945" s="50">
        <v>2</v>
      </c>
      <c r="C945">
        <v>59</v>
      </c>
      <c r="D945" t="str">
        <f t="shared" ref="D945:D953" si="176">"Kumite"</f>
        <v>Kumite</v>
      </c>
      <c r="E945" t="str">
        <f>"Kumite, -, 0-45 kg, Serdülő (13-14"</f>
        <v>Kumite, -, 0-45 kg, Serdülő (13-14</v>
      </c>
      <c r="F945" t="s">
        <v>536</v>
      </c>
      <c r="G945" s="50" t="str">
        <f>"3"</f>
        <v>3</v>
      </c>
      <c r="H945" t="str">
        <f>"3 fős körmérkőzés"</f>
        <v>3 fős körmérkőzés</v>
      </c>
      <c r="I945" s="50" t="str">
        <f>"1"</f>
        <v>1</v>
      </c>
      <c r="J945" t="str">
        <f>"Bábel Jázmin"</f>
        <v>Bábel Jázmin</v>
      </c>
      <c r="K945" t="str">
        <f>"Spirit SE."</f>
        <v>Spirit SE.</v>
      </c>
      <c r="L945" t="str">
        <f t="shared" si="175"/>
        <v>HUN</v>
      </c>
      <c r="M945">
        <v>4</v>
      </c>
      <c r="O945" s="83" t="s">
        <v>243</v>
      </c>
      <c r="P945" s="78">
        <v>45451</v>
      </c>
      <c r="Q945" t="str">
        <f t="shared" si="168"/>
        <v>Bábel Jázmin - Spirit SE.</v>
      </c>
      <c r="R945" t="s">
        <v>636</v>
      </c>
      <c r="S945" t="s">
        <v>636</v>
      </c>
      <c r="T945" t="s">
        <v>645</v>
      </c>
    </row>
    <row r="946" spans="1:20" x14ac:dyDescent="0.3">
      <c r="A946" s="2" t="s">
        <v>611</v>
      </c>
      <c r="B946" s="50">
        <v>2</v>
      </c>
      <c r="C946">
        <v>60</v>
      </c>
      <c r="D946" t="str">
        <f t="shared" si="176"/>
        <v>Kumite</v>
      </c>
      <c r="E946" t="str">
        <f>"Kumite, -, 0-45 kg, Serdülő (13-14"</f>
        <v>Kumite, -, 0-45 kg, Serdülő (13-14</v>
      </c>
      <c r="F946" t="s">
        <v>536</v>
      </c>
      <c r="G946" s="50" t="str">
        <f>"3"</f>
        <v>3</v>
      </c>
      <c r="H946" t="str">
        <f>"3 fős körmérkőzés"</f>
        <v>3 fős körmérkőzés</v>
      </c>
      <c r="I946" s="50" t="str">
        <f>"2"</f>
        <v>2</v>
      </c>
      <c r="J946" t="str">
        <f>"Sülyi Luca"</f>
        <v>Sülyi Luca</v>
      </c>
      <c r="K946" t="str">
        <f>"Főnix Dojo"</f>
        <v>Főnix Dojo</v>
      </c>
      <c r="L946" t="str">
        <f t="shared" si="175"/>
        <v>HUN</v>
      </c>
      <c r="M946">
        <v>3</v>
      </c>
      <c r="O946" s="83" t="s">
        <v>243</v>
      </c>
      <c r="P946" s="78">
        <v>45451</v>
      </c>
      <c r="Q946" t="str">
        <f t="shared" si="168"/>
        <v>Sülyi Luca - Főnix Dojo</v>
      </c>
      <c r="R946" t="s">
        <v>636</v>
      </c>
      <c r="S946" t="s">
        <v>636</v>
      </c>
      <c r="T946" t="s">
        <v>645</v>
      </c>
    </row>
    <row r="947" spans="1:20" x14ac:dyDescent="0.3">
      <c r="A947" s="2" t="s">
        <v>611</v>
      </c>
      <c r="B947" s="50">
        <v>2</v>
      </c>
      <c r="C947">
        <v>61</v>
      </c>
      <c r="D947" t="str">
        <f t="shared" si="176"/>
        <v>Kumite</v>
      </c>
      <c r="E947" t="str">
        <f>"Kumite, -, 0-45 kg, Serdülő (13-14"</f>
        <v>Kumite, -, 0-45 kg, Serdülő (13-14</v>
      </c>
      <c r="F947" t="s">
        <v>536</v>
      </c>
      <c r="G947" s="50" t="str">
        <f>"3"</f>
        <v>3</v>
      </c>
      <c r="H947" t="str">
        <f>"3 fős körmérkőzés"</f>
        <v>3 fős körmérkőzés</v>
      </c>
      <c r="I947" s="50" t="str">
        <f>"3"</f>
        <v>3</v>
      </c>
      <c r="J947" t="str">
        <f>"TRIPON ELENA "</f>
        <v xml:space="preserve">TRIPON ELENA </v>
      </c>
      <c r="K947" t="str">
        <f>"FRKK"</f>
        <v>FRKK</v>
      </c>
      <c r="L947" t="str">
        <f>"ROU"</f>
        <v>ROU</v>
      </c>
      <c r="M947">
        <v>0</v>
      </c>
      <c r="N947" t="s">
        <v>584</v>
      </c>
      <c r="O947" s="83" t="s">
        <v>243</v>
      </c>
      <c r="P947" s="78">
        <v>45451</v>
      </c>
      <c r="Q947" t="str">
        <f t="shared" si="168"/>
        <v>TRIPON ELENA  - FRKK</v>
      </c>
      <c r="R947" t="s">
        <v>637</v>
      </c>
      <c r="S947" t="s">
        <v>628</v>
      </c>
      <c r="T947" t="s">
        <v>645</v>
      </c>
    </row>
    <row r="948" spans="1:20" x14ac:dyDescent="0.3">
      <c r="A948" s="2" t="s">
        <v>611</v>
      </c>
      <c r="B948" s="50">
        <v>2</v>
      </c>
      <c r="C948">
        <v>62</v>
      </c>
      <c r="D948" t="str">
        <f t="shared" si="176"/>
        <v>Kumite</v>
      </c>
      <c r="E948" t="str">
        <f>"Kumite, -, 45-55 kg, Serdülő (13-14"</f>
        <v>Kumite, -, 45-55 kg, Serdülő (13-14</v>
      </c>
      <c r="F948" t="s">
        <v>539</v>
      </c>
      <c r="G948" s="50" t="str">
        <f>"5"</f>
        <v>5</v>
      </c>
      <c r="H948" t="str">
        <f>"5 fős körmérkőzés"</f>
        <v>5 fős körmérkőzés</v>
      </c>
      <c r="I948" s="50" t="str">
        <f>"1"</f>
        <v>1</v>
      </c>
      <c r="J948" t="str">
        <f>"Fúró Liliána"</f>
        <v>Fúró Liliána</v>
      </c>
      <c r="K948" t="str">
        <f>"KHSE"</f>
        <v>KHSE</v>
      </c>
      <c r="L948" t="str">
        <f t="shared" ref="L948:L962" si="177">"HUN"</f>
        <v>HUN</v>
      </c>
      <c r="M948">
        <v>8</v>
      </c>
      <c r="O948" s="83" t="s">
        <v>243</v>
      </c>
      <c r="P948" s="78">
        <v>45451</v>
      </c>
      <c r="Q948" t="str">
        <f t="shared" si="168"/>
        <v>Fúró Liliána - KHSE</v>
      </c>
      <c r="R948" t="s">
        <v>636</v>
      </c>
      <c r="S948" t="s">
        <v>636</v>
      </c>
      <c r="T948" t="s">
        <v>645</v>
      </c>
    </row>
    <row r="949" spans="1:20" x14ac:dyDescent="0.3">
      <c r="A949" s="2" t="s">
        <v>611</v>
      </c>
      <c r="B949" s="50">
        <v>2</v>
      </c>
      <c r="C949">
        <v>63</v>
      </c>
      <c r="D949" t="str">
        <f t="shared" si="176"/>
        <v>Kumite</v>
      </c>
      <c r="E949" t="str">
        <f>"Kumite, -, 45-55 kg, Serdülő (13-14"</f>
        <v>Kumite, -, 45-55 kg, Serdülő (13-14</v>
      </c>
      <c r="F949" t="s">
        <v>539</v>
      </c>
      <c r="G949" s="50" t="str">
        <f>"5"</f>
        <v>5</v>
      </c>
      <c r="H949" t="str">
        <f>"5 fős körmérkőzés"</f>
        <v>5 fős körmérkőzés</v>
      </c>
      <c r="I949" s="50" t="str">
        <f>"2"</f>
        <v>2</v>
      </c>
      <c r="J949" t="str">
        <f>"Karap Anna"</f>
        <v>Karap Anna</v>
      </c>
      <c r="K949" t="str">
        <f>"Shogun"</f>
        <v>Shogun</v>
      </c>
      <c r="L949" t="str">
        <f t="shared" si="177"/>
        <v>HUN</v>
      </c>
      <c r="M949">
        <v>6</v>
      </c>
      <c r="O949" s="83" t="s">
        <v>243</v>
      </c>
      <c r="P949" s="78">
        <v>45451</v>
      </c>
      <c r="Q949" t="str">
        <f t="shared" si="168"/>
        <v>Karap Anna - Shogun</v>
      </c>
      <c r="R949" t="s">
        <v>636</v>
      </c>
      <c r="S949" t="s">
        <v>636</v>
      </c>
      <c r="T949" t="s">
        <v>645</v>
      </c>
    </row>
    <row r="950" spans="1:20" x14ac:dyDescent="0.3">
      <c r="A950" s="2" t="s">
        <v>611</v>
      </c>
      <c r="B950" s="50">
        <v>2</v>
      </c>
      <c r="C950">
        <v>64</v>
      </c>
      <c r="D950" t="str">
        <f t="shared" si="176"/>
        <v>Kumite</v>
      </c>
      <c r="E950" t="str">
        <f>"Kumite, -, 45-55 kg, Serdülő (13-14"</f>
        <v>Kumite, -, 45-55 kg, Serdülő (13-14</v>
      </c>
      <c r="F950" t="s">
        <v>539</v>
      </c>
      <c r="G950" s="50" t="str">
        <f>"5"</f>
        <v>5</v>
      </c>
      <c r="H950" t="str">
        <f>"5 fős körmérkőzés"</f>
        <v>5 fős körmérkőzés</v>
      </c>
      <c r="I950" s="50" t="str">
        <f>"3"</f>
        <v>3</v>
      </c>
      <c r="J950" t="str">
        <f>"Karap Virág"</f>
        <v>Karap Virág</v>
      </c>
      <c r="K950" t="str">
        <f>"Shogun"</f>
        <v>Shogun</v>
      </c>
      <c r="L950" t="str">
        <f t="shared" si="177"/>
        <v>HUN</v>
      </c>
      <c r="M950">
        <v>4</v>
      </c>
      <c r="O950" s="83" t="s">
        <v>243</v>
      </c>
      <c r="P950" s="78">
        <v>45451</v>
      </c>
      <c r="Q950" t="str">
        <f t="shared" si="168"/>
        <v>Karap Virág - Shogun</v>
      </c>
      <c r="R950" t="s">
        <v>636</v>
      </c>
      <c r="S950" t="s">
        <v>636</v>
      </c>
      <c r="T950" t="s">
        <v>645</v>
      </c>
    </row>
    <row r="951" spans="1:20" x14ac:dyDescent="0.3">
      <c r="A951" s="2" t="s">
        <v>611</v>
      </c>
      <c r="B951" s="50">
        <v>2</v>
      </c>
      <c r="C951">
        <v>64</v>
      </c>
      <c r="D951" t="str">
        <f t="shared" si="176"/>
        <v>Kumite</v>
      </c>
      <c r="E951" t="str">
        <f>"Kumite, -, 45-55 kg, Serdülő (13-14"</f>
        <v>Kumite, -, 45-55 kg, Serdülő (13-14</v>
      </c>
      <c r="F951" t="s">
        <v>539</v>
      </c>
      <c r="G951" s="50" t="str">
        <f>"5"</f>
        <v>5</v>
      </c>
      <c r="H951" t="str">
        <f>"5 fős körmérkőzés"</f>
        <v>5 fős körmérkőzés</v>
      </c>
      <c r="I951" s="50">
        <v>4</v>
      </c>
      <c r="J951" t="s">
        <v>618</v>
      </c>
      <c r="K951" t="s">
        <v>47</v>
      </c>
      <c r="L951" t="str">
        <f t="shared" si="177"/>
        <v>HUN</v>
      </c>
      <c r="M951">
        <v>3</v>
      </c>
      <c r="N951" t="s">
        <v>589</v>
      </c>
      <c r="O951" s="83" t="s">
        <v>243</v>
      </c>
      <c r="P951" s="78">
        <v>45451</v>
      </c>
      <c r="Q951" t="str">
        <f t="shared" si="168"/>
        <v>Zsin Zsófia - BHMSE</v>
      </c>
      <c r="R951" t="s">
        <v>636</v>
      </c>
      <c r="S951" t="s">
        <v>636</v>
      </c>
      <c r="T951" t="s">
        <v>645</v>
      </c>
    </row>
    <row r="952" spans="1:20" x14ac:dyDescent="0.3">
      <c r="A952" s="2" t="s">
        <v>611</v>
      </c>
      <c r="B952" s="50">
        <v>2</v>
      </c>
      <c r="C952">
        <v>65</v>
      </c>
      <c r="D952" t="str">
        <f t="shared" si="176"/>
        <v>Kumite</v>
      </c>
      <c r="E952" t="str">
        <f>"Kumite, -, 65-200 kg, Serdülő (13-14"</f>
        <v>Kumite, -, 65-200 kg, Serdülő (13-14</v>
      </c>
      <c r="F952" t="s">
        <v>543</v>
      </c>
      <c r="G952" s="50" t="str">
        <f>"2"</f>
        <v>2</v>
      </c>
      <c r="H952" t="str">
        <f>"2 fős egyenes kiesés"</f>
        <v>2 fős egyenes kiesés</v>
      </c>
      <c r="I952" s="50" t="str">
        <f>"1"</f>
        <v>1</v>
      </c>
      <c r="J952" t="str">
        <f>"Pénzes Zsófia"</f>
        <v>Pénzes Zsófia</v>
      </c>
      <c r="K952" t="str">
        <f>"KHSE"</f>
        <v>KHSE</v>
      </c>
      <c r="L952" t="str">
        <f t="shared" si="177"/>
        <v>HUN</v>
      </c>
      <c r="M952">
        <v>3</v>
      </c>
      <c r="O952" s="83" t="s">
        <v>243</v>
      </c>
      <c r="P952" s="78">
        <v>45451</v>
      </c>
      <c r="Q952" t="str">
        <f t="shared" si="168"/>
        <v>Pénzes Zsófia - KHSE</v>
      </c>
      <c r="R952" t="s">
        <v>636</v>
      </c>
      <c r="S952" t="s">
        <v>636</v>
      </c>
      <c r="T952" t="s">
        <v>645</v>
      </c>
    </row>
    <row r="953" spans="1:20" x14ac:dyDescent="0.3">
      <c r="A953" s="2" t="s">
        <v>611</v>
      </c>
      <c r="B953" s="50">
        <v>2</v>
      </c>
      <c r="C953">
        <v>66</v>
      </c>
      <c r="D953" t="str">
        <f t="shared" si="176"/>
        <v>Kumite</v>
      </c>
      <c r="E953" t="str">
        <f>"Kumite, -, 65-200 kg, Serdülő (13-14"</f>
        <v>Kumite, -, 65-200 kg, Serdülő (13-14</v>
      </c>
      <c r="F953" t="s">
        <v>543</v>
      </c>
      <c r="G953" s="50" t="str">
        <f>"2"</f>
        <v>2</v>
      </c>
      <c r="H953" t="str">
        <f>"2 fős egyenes kiesés"</f>
        <v>2 fős egyenes kiesés</v>
      </c>
      <c r="I953" s="50" t="str">
        <f>"2"</f>
        <v>2</v>
      </c>
      <c r="J953" t="str">
        <f>"Soós Flóra"</f>
        <v>Soós Flóra</v>
      </c>
      <c r="K953" t="str">
        <f>"Nagykátai Bushido SE"</f>
        <v>Nagykátai Bushido SE</v>
      </c>
      <c r="L953" t="str">
        <f t="shared" si="177"/>
        <v>HUN</v>
      </c>
      <c r="M953">
        <v>0</v>
      </c>
      <c r="O953" s="83" t="s">
        <v>243</v>
      </c>
      <c r="P953" s="78">
        <v>45451</v>
      </c>
      <c r="Q953" t="str">
        <f t="shared" si="168"/>
        <v>Soós Flóra - Nagykátai Bushido SE</v>
      </c>
      <c r="R953" t="s">
        <v>636</v>
      </c>
      <c r="S953" t="s">
        <v>636</v>
      </c>
      <c r="T953" t="s">
        <v>645</v>
      </c>
    </row>
    <row r="954" spans="1:20" x14ac:dyDescent="0.3">
      <c r="A954" s="2" t="s">
        <v>611</v>
      </c>
      <c r="B954" s="50">
        <v>2</v>
      </c>
      <c r="C954">
        <v>67</v>
      </c>
      <c r="D954" t="str">
        <f>"Kata"</f>
        <v>Kata</v>
      </c>
      <c r="E954" t="str">
        <f>"Kata, -, 0-200 kg, Serdülő (13-14"</f>
        <v>Kata, -, 0-200 kg, Serdülő (13-14</v>
      </c>
      <c r="F954" t="s">
        <v>538</v>
      </c>
      <c r="G954" s="50" t="str">
        <f>"4"</f>
        <v>4</v>
      </c>
      <c r="H954" t="str">
        <f>"4 fős egyenes kiesés"</f>
        <v>4 fős egyenes kiesés</v>
      </c>
      <c r="I954" s="50" t="str">
        <f>"1"</f>
        <v>1</v>
      </c>
      <c r="J954" t="str">
        <f>"Karap Anna"</f>
        <v>Karap Anna</v>
      </c>
      <c r="K954" t="str">
        <f>"Shogun"</f>
        <v>Shogun</v>
      </c>
      <c r="L954" t="str">
        <f t="shared" si="177"/>
        <v>HUN</v>
      </c>
      <c r="M954">
        <v>3</v>
      </c>
      <c r="O954" s="83" t="s">
        <v>243</v>
      </c>
      <c r="P954" s="78">
        <v>45451</v>
      </c>
      <c r="Q954" t="str">
        <f t="shared" si="168"/>
        <v>Karap Anna - Shogun</v>
      </c>
      <c r="R954" t="s">
        <v>636</v>
      </c>
      <c r="S954" t="s">
        <v>636</v>
      </c>
      <c r="T954" t="s">
        <v>645</v>
      </c>
    </row>
    <row r="955" spans="1:20" x14ac:dyDescent="0.3">
      <c r="A955" s="2" t="s">
        <v>611</v>
      </c>
      <c r="B955" s="50">
        <v>2</v>
      </c>
      <c r="C955">
        <v>68</v>
      </c>
      <c r="D955" t="str">
        <f>"Kata"</f>
        <v>Kata</v>
      </c>
      <c r="E955" t="str">
        <f>"Kata, -, 0-200 kg, Serdülő (13-14"</f>
        <v>Kata, -, 0-200 kg, Serdülő (13-14</v>
      </c>
      <c r="F955" t="s">
        <v>538</v>
      </c>
      <c r="G955" s="50" t="str">
        <f>"4"</f>
        <v>4</v>
      </c>
      <c r="H955" t="str">
        <f>"4 fős egyenes kiesés"</f>
        <v>4 fős egyenes kiesés</v>
      </c>
      <c r="I955" s="50" t="str">
        <f>"2"</f>
        <v>2</v>
      </c>
      <c r="J955" t="str">
        <f>"Karap Virág"</f>
        <v>Karap Virág</v>
      </c>
      <c r="K955" t="str">
        <f>"Shogun"</f>
        <v>Shogun</v>
      </c>
      <c r="L955" t="str">
        <f t="shared" si="177"/>
        <v>HUN</v>
      </c>
      <c r="M955">
        <v>2</v>
      </c>
      <c r="O955" s="83" t="s">
        <v>243</v>
      </c>
      <c r="P955" s="78">
        <v>45451</v>
      </c>
      <c r="Q955" t="str">
        <f t="shared" si="168"/>
        <v>Karap Virág - Shogun</v>
      </c>
      <c r="R955" t="s">
        <v>636</v>
      </c>
      <c r="S955" t="s">
        <v>636</v>
      </c>
      <c r="T955" t="s">
        <v>645</v>
      </c>
    </row>
    <row r="956" spans="1:20" x14ac:dyDescent="0.3">
      <c r="A956" s="2" t="s">
        <v>611</v>
      </c>
      <c r="B956" s="50">
        <v>2</v>
      </c>
      <c r="C956">
        <v>69</v>
      </c>
      <c r="D956" t="str">
        <f>"Kata"</f>
        <v>Kata</v>
      </c>
      <c r="E956" t="str">
        <f>"Kata, -, 0-200 kg, Serdülő (13-14"</f>
        <v>Kata, -, 0-200 kg, Serdülő (13-14</v>
      </c>
      <c r="F956" t="s">
        <v>538</v>
      </c>
      <c r="G956" s="50" t="str">
        <f>"4"</f>
        <v>4</v>
      </c>
      <c r="H956" t="str">
        <f>"4 fős egyenes kiesés"</f>
        <v>4 fős egyenes kiesés</v>
      </c>
      <c r="I956" s="50" t="str">
        <f>"3"</f>
        <v>3</v>
      </c>
      <c r="J956" t="str">
        <f>"Czakó Natália"</f>
        <v>Czakó Natália</v>
      </c>
      <c r="K956" t="str">
        <f>"Nagykátai Bushido SE"</f>
        <v>Nagykátai Bushido SE</v>
      </c>
      <c r="L956" t="str">
        <f t="shared" si="177"/>
        <v>HUN</v>
      </c>
      <c r="M956">
        <v>0</v>
      </c>
      <c r="N956" t="s">
        <v>584</v>
      </c>
      <c r="O956" s="83" t="s">
        <v>243</v>
      </c>
      <c r="P956" s="78">
        <v>45451</v>
      </c>
      <c r="Q956" t="str">
        <f t="shared" si="168"/>
        <v>Czakó Natália - Nagykátai Bushido SE</v>
      </c>
      <c r="R956" t="s">
        <v>636</v>
      </c>
      <c r="S956" t="s">
        <v>636</v>
      </c>
      <c r="T956" t="s">
        <v>645</v>
      </c>
    </row>
    <row r="957" spans="1:20" x14ac:dyDescent="0.3">
      <c r="A957" s="2" t="s">
        <v>611</v>
      </c>
      <c r="B957" s="50">
        <v>2</v>
      </c>
      <c r="C957">
        <v>70</v>
      </c>
      <c r="D957" t="str">
        <f>"Kata"</f>
        <v>Kata</v>
      </c>
      <c r="E957" t="str">
        <f>"Kata, -, 0-200 kg, Serdülő (13-14"</f>
        <v>Kata, -, 0-200 kg, Serdülő (13-14</v>
      </c>
      <c r="F957" t="s">
        <v>538</v>
      </c>
      <c r="G957" s="50" t="str">
        <f>"4"</f>
        <v>4</v>
      </c>
      <c r="H957" t="str">
        <f>"4 fős egyenes kiesés"</f>
        <v>4 fős egyenes kiesés</v>
      </c>
      <c r="I957" s="50" t="str">
        <f>"3"</f>
        <v>3</v>
      </c>
      <c r="J957" t="str">
        <f>"Sülyi Luca"</f>
        <v>Sülyi Luca</v>
      </c>
      <c r="K957" t="str">
        <f>"Főnix Dojo"</f>
        <v>Főnix Dojo</v>
      </c>
      <c r="L957" t="str">
        <f t="shared" si="177"/>
        <v>HUN</v>
      </c>
      <c r="M957">
        <v>0</v>
      </c>
      <c r="N957" t="s">
        <v>584</v>
      </c>
      <c r="O957" s="83" t="s">
        <v>243</v>
      </c>
      <c r="P957" s="78">
        <v>45451</v>
      </c>
      <c r="Q957" t="str">
        <f t="shared" si="168"/>
        <v>Sülyi Luca - Főnix Dojo</v>
      </c>
      <c r="R957" t="s">
        <v>636</v>
      </c>
      <c r="S957" t="s">
        <v>636</v>
      </c>
      <c r="T957" t="s">
        <v>645</v>
      </c>
    </row>
    <row r="958" spans="1:20" x14ac:dyDescent="0.3">
      <c r="A958" s="2" t="s">
        <v>611</v>
      </c>
      <c r="B958" s="50">
        <v>2</v>
      </c>
      <c r="C958">
        <v>71</v>
      </c>
      <c r="D958" t="str">
        <f t="shared" ref="D958:D1014" si="178">"Kumite"</f>
        <v>Kumite</v>
      </c>
      <c r="E958" t="str">
        <f>"Kumite, -, 0-50 kg, Ifjúsági (15-16"</f>
        <v>Kumite, -, 0-50 kg, Ifjúsági (15-16</v>
      </c>
      <c r="F958" t="s">
        <v>541</v>
      </c>
      <c r="G958" s="50" t="str">
        <f>"2"</f>
        <v>2</v>
      </c>
      <c r="H958" t="str">
        <f>"2 fős egyenes kiesés"</f>
        <v>2 fős egyenes kiesés</v>
      </c>
      <c r="I958" s="50" t="str">
        <f>"1"</f>
        <v>1</v>
      </c>
      <c r="J958" t="str">
        <f>"Nagy Péter"</f>
        <v>Nagy Péter</v>
      </c>
      <c r="K958" t="str">
        <f>"KHSE"</f>
        <v>KHSE</v>
      </c>
      <c r="L958" t="str">
        <f t="shared" si="177"/>
        <v>HUN</v>
      </c>
      <c r="M958">
        <v>3</v>
      </c>
      <c r="O958" s="83" t="s">
        <v>243</v>
      </c>
      <c r="P958" s="78">
        <v>45451</v>
      </c>
      <c r="Q958" t="str">
        <f t="shared" si="168"/>
        <v>Nagy Péter - KHSE</v>
      </c>
      <c r="R958" t="s">
        <v>636</v>
      </c>
      <c r="S958" t="s">
        <v>636</v>
      </c>
      <c r="T958" t="s">
        <v>645</v>
      </c>
    </row>
    <row r="959" spans="1:20" x14ac:dyDescent="0.3">
      <c r="A959" s="2" t="s">
        <v>611</v>
      </c>
      <c r="B959" s="50">
        <v>2</v>
      </c>
      <c r="C959">
        <v>72</v>
      </c>
      <c r="D959" t="str">
        <f t="shared" si="178"/>
        <v>Kumite</v>
      </c>
      <c r="E959" t="str">
        <f>"Kumite, -, 0-50 kg, Ifjúsági (15-16"</f>
        <v>Kumite, -, 0-50 kg, Ifjúsági (15-16</v>
      </c>
      <c r="F959" t="s">
        <v>541</v>
      </c>
      <c r="G959" s="50" t="str">
        <f>"2"</f>
        <v>2</v>
      </c>
      <c r="H959" t="str">
        <f>"2 fős egyenes kiesés"</f>
        <v>2 fős egyenes kiesés</v>
      </c>
      <c r="I959" s="50" t="str">
        <f>"2"</f>
        <v>2</v>
      </c>
      <c r="J959" t="str">
        <f>"Geiszt Márton"</f>
        <v>Geiszt Márton</v>
      </c>
      <c r="K959" t="str">
        <f>"Főnix Dojo"</f>
        <v>Főnix Dojo</v>
      </c>
      <c r="L959" t="str">
        <f t="shared" si="177"/>
        <v>HUN</v>
      </c>
      <c r="M959">
        <v>0</v>
      </c>
      <c r="O959" s="83" t="s">
        <v>243</v>
      </c>
      <c r="P959" s="78">
        <v>45451</v>
      </c>
      <c r="Q959" t="str">
        <f t="shared" si="168"/>
        <v>Geiszt Márton - Főnix Dojo</v>
      </c>
      <c r="R959" t="s">
        <v>636</v>
      </c>
      <c r="S959" t="s">
        <v>636</v>
      </c>
      <c r="T959" t="s">
        <v>645</v>
      </c>
    </row>
    <row r="960" spans="1:20" x14ac:dyDescent="0.3">
      <c r="A960" s="2" t="s">
        <v>611</v>
      </c>
      <c r="B960" s="50">
        <v>2</v>
      </c>
      <c r="C960">
        <v>73</v>
      </c>
      <c r="D960" t="str">
        <f t="shared" si="178"/>
        <v>Kumite</v>
      </c>
      <c r="E960" t="str">
        <f>"Kumite, -, 55-60 kg, Ifjúsági (15-16"</f>
        <v>Kumite, -, 55-60 kg, Ifjúsági (15-16</v>
      </c>
      <c r="F960" t="s">
        <v>544</v>
      </c>
      <c r="G960" s="50" t="str">
        <f>"7"</f>
        <v>7</v>
      </c>
      <c r="H960" t="str">
        <f>"8 fős egyenes kiesés"</f>
        <v>8 fős egyenes kiesés</v>
      </c>
      <c r="I960" s="50" t="str">
        <f>"1"</f>
        <v>1</v>
      </c>
      <c r="J960" t="str">
        <f>"Bacskai Bence"</f>
        <v>Bacskai Bence</v>
      </c>
      <c r="K960" t="str">
        <f>"KHSE"</f>
        <v>KHSE</v>
      </c>
      <c r="L960" t="str">
        <f t="shared" si="177"/>
        <v>HUN</v>
      </c>
      <c r="M960">
        <v>6</v>
      </c>
      <c r="O960" s="83" t="s">
        <v>243</v>
      </c>
      <c r="P960" s="78">
        <v>45451</v>
      </c>
      <c r="Q960" t="str">
        <f t="shared" si="168"/>
        <v>Bacskai Bence - KHSE</v>
      </c>
      <c r="R960" t="s">
        <v>636</v>
      </c>
      <c r="S960" t="s">
        <v>636</v>
      </c>
      <c r="T960" t="s">
        <v>645</v>
      </c>
    </row>
    <row r="961" spans="1:20" x14ac:dyDescent="0.3">
      <c r="A961" s="2" t="s">
        <v>611</v>
      </c>
      <c r="B961" s="50">
        <v>2</v>
      </c>
      <c r="C961">
        <v>74</v>
      </c>
      <c r="D961" t="str">
        <f t="shared" si="178"/>
        <v>Kumite</v>
      </c>
      <c r="E961" t="str">
        <f>"Kumite, -, 55-60 kg, Ifjúsági (15-16"</f>
        <v>Kumite, -, 55-60 kg, Ifjúsági (15-16</v>
      </c>
      <c r="F961" t="s">
        <v>544</v>
      </c>
      <c r="G961" s="50" t="str">
        <f>"7"</f>
        <v>7</v>
      </c>
      <c r="H961" t="str">
        <f>"8 fős egyenes kiesés"</f>
        <v>8 fős egyenes kiesés</v>
      </c>
      <c r="I961" s="50" t="str">
        <f>"2"</f>
        <v>2</v>
      </c>
      <c r="J961" t="str">
        <f>"Fazakas Áprád"</f>
        <v>Fazakas Áprád</v>
      </c>
      <c r="K961" t="str">
        <f>"HARCOSOK KLUBJA"</f>
        <v>HARCOSOK KLUBJA</v>
      </c>
      <c r="L961" t="str">
        <f t="shared" si="177"/>
        <v>HUN</v>
      </c>
      <c r="M961">
        <v>5</v>
      </c>
      <c r="O961" s="83" t="s">
        <v>243</v>
      </c>
      <c r="P961" s="78">
        <v>45451</v>
      </c>
      <c r="Q961" t="str">
        <f t="shared" si="168"/>
        <v>Fazakas Áprád - HARCOSOK KLUBJA</v>
      </c>
      <c r="R961" t="s">
        <v>636</v>
      </c>
      <c r="S961" t="s">
        <v>636</v>
      </c>
      <c r="T961" t="s">
        <v>645</v>
      </c>
    </row>
    <row r="962" spans="1:20" x14ac:dyDescent="0.3">
      <c r="A962" s="2" t="s">
        <v>611</v>
      </c>
      <c r="B962" s="50">
        <v>2</v>
      </c>
      <c r="C962">
        <v>75</v>
      </c>
      <c r="D962" t="str">
        <f t="shared" si="178"/>
        <v>Kumite</v>
      </c>
      <c r="E962" t="str">
        <f>"Kumite, -, 55-60 kg, Ifjúsági (15-16"</f>
        <v>Kumite, -, 55-60 kg, Ifjúsági (15-16</v>
      </c>
      <c r="F962" t="s">
        <v>544</v>
      </c>
      <c r="G962" s="50" t="str">
        <f>"7"</f>
        <v>7</v>
      </c>
      <c r="H962" t="str">
        <f>"8 fős egyenes kiesés"</f>
        <v>8 fős egyenes kiesés</v>
      </c>
      <c r="I962" s="50" t="str">
        <f>"3"</f>
        <v>3</v>
      </c>
      <c r="J962" t="str">
        <f>"Takács-Sárkány Csanád"</f>
        <v>Takács-Sárkány Csanád</v>
      </c>
      <c r="K962" t="str">
        <f>"KHSE"</f>
        <v>KHSE</v>
      </c>
      <c r="L962" t="str">
        <f t="shared" si="177"/>
        <v>HUN</v>
      </c>
      <c r="M962">
        <v>0</v>
      </c>
      <c r="N962" t="s">
        <v>584</v>
      </c>
      <c r="O962" s="83" t="s">
        <v>243</v>
      </c>
      <c r="P962" s="78">
        <v>45451</v>
      </c>
      <c r="Q962" t="str">
        <f t="shared" si="168"/>
        <v>Takács-Sárkány Csanád - KHSE</v>
      </c>
      <c r="R962" t="s">
        <v>636</v>
      </c>
      <c r="S962" t="s">
        <v>636</v>
      </c>
      <c r="T962" t="s">
        <v>645</v>
      </c>
    </row>
    <row r="963" spans="1:20" x14ac:dyDescent="0.3">
      <c r="A963" s="2" t="s">
        <v>611</v>
      </c>
      <c r="B963" s="50">
        <v>2</v>
      </c>
      <c r="C963">
        <v>76</v>
      </c>
      <c r="D963" t="str">
        <f t="shared" si="178"/>
        <v>Kumite</v>
      </c>
      <c r="E963" t="str">
        <f>"Kumite, -, 55-60 kg, Ifjúsági (15-16"</f>
        <v>Kumite, -, 55-60 kg, Ifjúsági (15-16</v>
      </c>
      <c r="F963" t="s">
        <v>544</v>
      </c>
      <c r="G963" s="50" t="str">
        <f>"7"</f>
        <v>7</v>
      </c>
      <c r="H963" t="str">
        <f>"8 fős egyenes kiesés"</f>
        <v>8 fős egyenes kiesés</v>
      </c>
      <c r="I963" s="50" t="str">
        <f>"3"</f>
        <v>3</v>
      </c>
      <c r="J963" t="str">
        <f>"Sárai Csongor"</f>
        <v>Sárai Csongor</v>
      </c>
      <c r="K963" t="str">
        <f>"Seishin Karate Klub"</f>
        <v>Seishin Karate Klub</v>
      </c>
      <c r="L963" t="str">
        <f>"SVK"</f>
        <v>SVK</v>
      </c>
      <c r="M963">
        <v>3</v>
      </c>
      <c r="O963" s="83" t="s">
        <v>243</v>
      </c>
      <c r="P963" s="78">
        <v>45451</v>
      </c>
      <c r="Q963" t="str">
        <f t="shared" si="168"/>
        <v>Sárai Csongor - Seishin Karate Klub</v>
      </c>
      <c r="R963" t="s">
        <v>637</v>
      </c>
      <c r="S963" t="s">
        <v>594</v>
      </c>
      <c r="T963" t="s">
        <v>645</v>
      </c>
    </row>
    <row r="964" spans="1:20" x14ac:dyDescent="0.3">
      <c r="A964" s="2" t="s">
        <v>611</v>
      </c>
      <c r="B964" s="50">
        <v>2</v>
      </c>
      <c r="C964">
        <v>77</v>
      </c>
      <c r="D964" t="str">
        <f t="shared" si="178"/>
        <v>Kumite</v>
      </c>
      <c r="E964" t="str">
        <f>"Kumite, -, 65-70 kg, Ifjúsági (15-16"</f>
        <v>Kumite, -, 65-70 kg, Ifjúsági (15-16</v>
      </c>
      <c r="F964" t="s">
        <v>545</v>
      </c>
      <c r="G964" s="50" t="str">
        <f>"5"</f>
        <v>5</v>
      </c>
      <c r="H964" t="str">
        <f>"5 fős körmérkőzés"</f>
        <v>5 fős körmérkőzés</v>
      </c>
      <c r="I964" s="50" t="str">
        <f>"1"</f>
        <v>1</v>
      </c>
      <c r="J964" t="str">
        <f>"Tóth Kálmán"</f>
        <v>Tóth Kálmán</v>
      </c>
      <c r="K964" t="str">
        <f>"Shogun"</f>
        <v>Shogun</v>
      </c>
      <c r="L964" t="str">
        <f t="shared" ref="L964:L969" si="179">"HUN"</f>
        <v>HUN</v>
      </c>
      <c r="M964">
        <v>8</v>
      </c>
      <c r="O964" s="83" t="s">
        <v>243</v>
      </c>
      <c r="P964" s="78">
        <v>45451</v>
      </c>
      <c r="Q964" t="str">
        <f t="shared" si="168"/>
        <v>Tóth Kálmán - Shogun</v>
      </c>
      <c r="R964" t="s">
        <v>636</v>
      </c>
      <c r="S964" t="s">
        <v>636</v>
      </c>
      <c r="T964" t="s">
        <v>645</v>
      </c>
    </row>
    <row r="965" spans="1:20" x14ac:dyDescent="0.3">
      <c r="A965" s="2" t="s">
        <v>611</v>
      </c>
      <c r="B965" s="50">
        <v>2</v>
      </c>
      <c r="C965">
        <v>78</v>
      </c>
      <c r="D965" t="str">
        <f t="shared" si="178"/>
        <v>Kumite</v>
      </c>
      <c r="E965" t="str">
        <f>"Kumite, -, 65-70 kg, Ifjúsági (15-16"</f>
        <v>Kumite, -, 65-70 kg, Ifjúsági (15-16</v>
      </c>
      <c r="F965" t="s">
        <v>545</v>
      </c>
      <c r="G965" s="50" t="str">
        <f>"5"</f>
        <v>5</v>
      </c>
      <c r="H965" t="str">
        <f>"5 fős körmérkőzés"</f>
        <v>5 fős körmérkőzés</v>
      </c>
      <c r="I965" s="50" t="str">
        <f>"2"</f>
        <v>2</v>
      </c>
      <c r="J965" t="str">
        <f>"Kolláth-Pataki Gergely"</f>
        <v>Kolláth-Pataki Gergely</v>
      </c>
      <c r="K965" t="str">
        <f>"BHMSE"</f>
        <v>BHMSE</v>
      </c>
      <c r="L965" t="str">
        <f t="shared" si="179"/>
        <v>HUN</v>
      </c>
      <c r="M965">
        <v>6</v>
      </c>
      <c r="O965" s="83" t="s">
        <v>243</v>
      </c>
      <c r="P965" s="78">
        <v>45451</v>
      </c>
      <c r="Q965" t="str">
        <f t="shared" si="168"/>
        <v>Kolláth-Pataki Gergely - BHMSE</v>
      </c>
      <c r="R965" t="s">
        <v>636</v>
      </c>
      <c r="S965" t="s">
        <v>636</v>
      </c>
      <c r="T965" t="s">
        <v>645</v>
      </c>
    </row>
    <row r="966" spans="1:20" x14ac:dyDescent="0.3">
      <c r="A966" s="2" t="s">
        <v>611</v>
      </c>
      <c r="B966" s="50">
        <v>2</v>
      </c>
      <c r="C966">
        <v>79</v>
      </c>
      <c r="D966" t="str">
        <f t="shared" si="178"/>
        <v>Kumite</v>
      </c>
      <c r="E966" t="str">
        <f>"Kumite, -, 65-70 kg, Ifjúsági (15-16"</f>
        <v>Kumite, -, 65-70 kg, Ifjúsági (15-16</v>
      </c>
      <c r="F966" t="s">
        <v>545</v>
      </c>
      <c r="G966" s="50" t="str">
        <f>"5"</f>
        <v>5</v>
      </c>
      <c r="H966" t="str">
        <f>"5 fős körmérkőzés"</f>
        <v>5 fős körmérkőzés</v>
      </c>
      <c r="I966" s="50" t="str">
        <f>"3"</f>
        <v>3</v>
      </c>
      <c r="J966" t="str">
        <f>"Vass Balázs Benedek"</f>
        <v>Vass Balázs Benedek</v>
      </c>
      <c r="K966" t="str">
        <f>"Shogun"</f>
        <v>Shogun</v>
      </c>
      <c r="L966" t="str">
        <f t="shared" si="179"/>
        <v>HUN</v>
      </c>
      <c r="M966">
        <v>4</v>
      </c>
      <c r="O966" s="83" t="s">
        <v>243</v>
      </c>
      <c r="P966" s="78">
        <v>45451</v>
      </c>
      <c r="Q966" t="str">
        <f t="shared" si="168"/>
        <v>Vass Balázs Benedek - Shogun</v>
      </c>
      <c r="R966" t="s">
        <v>636</v>
      </c>
      <c r="S966" t="s">
        <v>636</v>
      </c>
      <c r="T966" t="s">
        <v>645</v>
      </c>
    </row>
    <row r="967" spans="1:20" x14ac:dyDescent="0.3">
      <c r="A967" s="2" t="s">
        <v>611</v>
      </c>
      <c r="B967" s="50">
        <v>2</v>
      </c>
      <c r="C967">
        <v>79</v>
      </c>
      <c r="D967" t="str">
        <f t="shared" si="178"/>
        <v>Kumite</v>
      </c>
      <c r="E967" t="str">
        <f>"Kumite, -, 65-70 kg, Ifjúsági (15-16"</f>
        <v>Kumite, -, 65-70 kg, Ifjúsági (15-16</v>
      </c>
      <c r="F967" t="s">
        <v>545</v>
      </c>
      <c r="G967" s="50" t="str">
        <f>"5"</f>
        <v>5</v>
      </c>
      <c r="H967" t="str">
        <f>"5 fős körmérkőzés"</f>
        <v>5 fős körmérkőzés</v>
      </c>
      <c r="I967" s="50">
        <v>4</v>
      </c>
      <c r="J967" t="s">
        <v>619</v>
      </c>
      <c r="K967" t="s">
        <v>35</v>
      </c>
      <c r="L967" t="str">
        <f t="shared" si="179"/>
        <v>HUN</v>
      </c>
      <c r="M967">
        <v>3</v>
      </c>
      <c r="N967" t="s">
        <v>589</v>
      </c>
      <c r="O967" s="83" t="s">
        <v>243</v>
      </c>
      <c r="P967" s="78">
        <v>45451</v>
      </c>
      <c r="Q967" t="str">
        <f t="shared" si="168"/>
        <v>Szabó Ákos Roland - KHSE</v>
      </c>
      <c r="R967" t="s">
        <v>636</v>
      </c>
      <c r="S967" t="s">
        <v>636</v>
      </c>
      <c r="T967" t="s">
        <v>645</v>
      </c>
    </row>
    <row r="968" spans="1:20" x14ac:dyDescent="0.3">
      <c r="A968" s="2" t="s">
        <v>611</v>
      </c>
      <c r="B968" s="50">
        <v>2</v>
      </c>
      <c r="C968">
        <v>80</v>
      </c>
      <c r="D968" t="str">
        <f t="shared" si="178"/>
        <v>Kumite</v>
      </c>
      <c r="E968" t="str">
        <f>"Kumite, -, 70-75 kg, Ifjúsági (15-16"</f>
        <v>Kumite, -, 70-75 kg, Ifjúsági (15-16</v>
      </c>
      <c r="F968" t="s">
        <v>556</v>
      </c>
      <c r="G968" s="50" t="str">
        <f>"6"</f>
        <v>6</v>
      </c>
      <c r="H968" t="str">
        <f>"6 fős vegyes"</f>
        <v>6 fős vegyes</v>
      </c>
      <c r="I968" s="50" t="str">
        <f>"1"</f>
        <v>1</v>
      </c>
      <c r="J968" t="str">
        <f>"Bessenyei Csongor"</f>
        <v>Bessenyei Csongor</v>
      </c>
      <c r="K968" t="str">
        <f>"Shogun"</f>
        <v>Shogun</v>
      </c>
      <c r="L968" t="str">
        <f t="shared" si="179"/>
        <v>HUN</v>
      </c>
      <c r="M968">
        <v>6</v>
      </c>
      <c r="O968" s="83" t="s">
        <v>243</v>
      </c>
      <c r="P968" s="78">
        <v>45451</v>
      </c>
      <c r="Q968" t="str">
        <f t="shared" si="168"/>
        <v>Bessenyei Csongor - Shogun</v>
      </c>
      <c r="R968" t="s">
        <v>636</v>
      </c>
      <c r="S968" t="s">
        <v>636</v>
      </c>
      <c r="T968" t="s">
        <v>645</v>
      </c>
    </row>
    <row r="969" spans="1:20" x14ac:dyDescent="0.3">
      <c r="A969" s="2" t="s">
        <v>611</v>
      </c>
      <c r="B969" s="50">
        <v>2</v>
      </c>
      <c r="C969">
        <v>81</v>
      </c>
      <c r="D969" t="str">
        <f t="shared" si="178"/>
        <v>Kumite</v>
      </c>
      <c r="E969" t="str">
        <f>"Kumite, -, 70-75 kg, Ifjúsági (15-16"</f>
        <v>Kumite, -, 70-75 kg, Ifjúsági (15-16</v>
      </c>
      <c r="F969" t="s">
        <v>556</v>
      </c>
      <c r="G969" s="50" t="str">
        <f>"6"</f>
        <v>6</v>
      </c>
      <c r="H969" t="str">
        <f>"6 fős vegyes"</f>
        <v>6 fős vegyes</v>
      </c>
      <c r="I969" s="50" t="str">
        <f>"2"</f>
        <v>2</v>
      </c>
      <c r="J969" t="str">
        <f>"Bede Szabolcs"</f>
        <v>Bede Szabolcs</v>
      </c>
      <c r="K969" t="str">
        <f>"Ippon KKSE"</f>
        <v>Ippon KKSE</v>
      </c>
      <c r="L969" t="str">
        <f t="shared" si="179"/>
        <v>HUN</v>
      </c>
      <c r="M969">
        <v>5</v>
      </c>
      <c r="O969" s="83" t="s">
        <v>243</v>
      </c>
      <c r="P969" s="78">
        <v>45451</v>
      </c>
      <c r="Q969" t="str">
        <f t="shared" si="168"/>
        <v>Bede Szabolcs - Ippon KKSE</v>
      </c>
      <c r="R969" t="s">
        <v>636</v>
      </c>
      <c r="S969" t="s">
        <v>636</v>
      </c>
      <c r="T969" t="s">
        <v>645</v>
      </c>
    </row>
    <row r="970" spans="1:20" x14ac:dyDescent="0.3">
      <c r="A970" s="2" t="s">
        <v>611</v>
      </c>
      <c r="B970" s="50">
        <v>2</v>
      </c>
      <c r="C970">
        <v>82</v>
      </c>
      <c r="D970" t="str">
        <f t="shared" si="178"/>
        <v>Kumite</v>
      </c>
      <c r="E970" t="str">
        <f>"Kumite, -, 70-75 kg, Ifjúsági (15-16"</f>
        <v>Kumite, -, 70-75 kg, Ifjúsági (15-16</v>
      </c>
      <c r="F970" t="s">
        <v>556</v>
      </c>
      <c r="G970" s="50" t="str">
        <f>"6"</f>
        <v>6</v>
      </c>
      <c r="H970" t="str">
        <f>"6 fős vegyes"</f>
        <v>6 fős vegyes</v>
      </c>
      <c r="I970" s="50" t="str">
        <f>"3"</f>
        <v>3</v>
      </c>
      <c r="J970" t="str">
        <f>"Bíró Bendegúz"</f>
        <v>Bíró Bendegúz</v>
      </c>
      <c r="K970" t="str">
        <f>"Seishin Karate Klub"</f>
        <v>Seishin Karate Klub</v>
      </c>
      <c r="L970" t="str">
        <f>"SVK"</f>
        <v>SVK</v>
      </c>
      <c r="M970">
        <v>3</v>
      </c>
      <c r="O970" s="83" t="s">
        <v>243</v>
      </c>
      <c r="P970" s="78">
        <v>45451</v>
      </c>
      <c r="Q970" t="str">
        <f t="shared" si="168"/>
        <v>Bíró Bendegúz - Seishin Karate Klub</v>
      </c>
      <c r="R970" t="s">
        <v>637</v>
      </c>
      <c r="S970" t="s">
        <v>594</v>
      </c>
      <c r="T970" t="s">
        <v>645</v>
      </c>
    </row>
    <row r="971" spans="1:20" x14ac:dyDescent="0.3">
      <c r="A971" s="2" t="s">
        <v>611</v>
      </c>
      <c r="B971" s="50">
        <v>2</v>
      </c>
      <c r="C971">
        <v>83</v>
      </c>
      <c r="D971" t="str">
        <f t="shared" si="178"/>
        <v>Kumite</v>
      </c>
      <c r="E971" t="str">
        <f>"Kumite, -, 75-200 kg, Ifjúsági (15-16"</f>
        <v>Kumite, -, 75-200 kg, Ifjúsági (15-16</v>
      </c>
      <c r="F971" t="s">
        <v>547</v>
      </c>
      <c r="G971" s="50" t="str">
        <f t="shared" ref="G971:G976" si="180">"3"</f>
        <v>3</v>
      </c>
      <c r="H971" t="str">
        <f t="shared" ref="H971:H976" si="181">"3 fős körmérkőzés"</f>
        <v>3 fős körmérkőzés</v>
      </c>
      <c r="I971" s="50" t="str">
        <f>"1"</f>
        <v>1</v>
      </c>
      <c r="J971" t="str">
        <f>"Csorba Kristóf"</f>
        <v>Csorba Kristóf</v>
      </c>
      <c r="K971" t="str">
        <f>"Shogun"</f>
        <v>Shogun</v>
      </c>
      <c r="L971" t="str">
        <f>"HUN"</f>
        <v>HUN</v>
      </c>
      <c r="M971">
        <v>4</v>
      </c>
      <c r="O971" s="83" t="s">
        <v>243</v>
      </c>
      <c r="P971" s="78">
        <v>45451</v>
      </c>
      <c r="Q971" t="str">
        <f t="shared" si="168"/>
        <v>Csorba Kristóf - Shogun</v>
      </c>
      <c r="R971" t="s">
        <v>636</v>
      </c>
      <c r="S971" t="s">
        <v>636</v>
      </c>
      <c r="T971" t="s">
        <v>645</v>
      </c>
    </row>
    <row r="972" spans="1:20" x14ac:dyDescent="0.3">
      <c r="A972" s="2" t="s">
        <v>611</v>
      </c>
      <c r="B972" s="50">
        <v>2</v>
      </c>
      <c r="C972">
        <v>84</v>
      </c>
      <c r="D972" t="str">
        <f t="shared" si="178"/>
        <v>Kumite</v>
      </c>
      <c r="E972" t="str">
        <f>"Kumite, -, 75-200 kg, Ifjúsági (15-16"</f>
        <v>Kumite, -, 75-200 kg, Ifjúsági (15-16</v>
      </c>
      <c r="F972" t="s">
        <v>547</v>
      </c>
      <c r="G972" s="50" t="str">
        <f t="shared" si="180"/>
        <v>3</v>
      </c>
      <c r="H972" t="str">
        <f t="shared" si="181"/>
        <v>3 fős körmérkőzés</v>
      </c>
      <c r="I972" s="50" t="str">
        <f>"2"</f>
        <v>2</v>
      </c>
      <c r="J972" t="str">
        <f>"Maklári Balázs"</f>
        <v>Maklári Balázs</v>
      </c>
      <c r="K972" t="str">
        <f>"Kisvárda KKDOSC"</f>
        <v>Kisvárda KKDOSC</v>
      </c>
      <c r="L972" t="str">
        <f>"HUN"</f>
        <v>HUN</v>
      </c>
      <c r="M972">
        <v>3</v>
      </c>
      <c r="O972" s="83" t="s">
        <v>243</v>
      </c>
      <c r="P972" s="78">
        <v>45451</v>
      </c>
      <c r="Q972" t="str">
        <f t="shared" ref="Q972:Q1036" si="182">J972&amp;" - "&amp;K972</f>
        <v>Maklári Balázs - Kisvárda KKDOSC</v>
      </c>
      <c r="R972" t="s">
        <v>636</v>
      </c>
      <c r="S972" t="s">
        <v>636</v>
      </c>
      <c r="T972" t="s">
        <v>645</v>
      </c>
    </row>
    <row r="973" spans="1:20" x14ac:dyDescent="0.3">
      <c r="A973" s="2" t="s">
        <v>611</v>
      </c>
      <c r="B973" s="50">
        <v>2</v>
      </c>
      <c r="C973">
        <v>85</v>
      </c>
      <c r="D973" t="str">
        <f t="shared" si="178"/>
        <v>Kumite</v>
      </c>
      <c r="E973" t="str">
        <f>"Kumite, -, 75-200 kg, Ifjúsági (15-16"</f>
        <v>Kumite, -, 75-200 kg, Ifjúsági (15-16</v>
      </c>
      <c r="F973" t="s">
        <v>547</v>
      </c>
      <c r="G973" s="50" t="str">
        <f t="shared" si="180"/>
        <v>3</v>
      </c>
      <c r="H973" t="str">
        <f t="shared" si="181"/>
        <v>3 fős körmérkőzés</v>
      </c>
      <c r="I973" s="50" t="str">
        <f>"3"</f>
        <v>3</v>
      </c>
      <c r="J973" t="str">
        <f>"Roko Tanković"</f>
        <v>Roko Tanković</v>
      </c>
      <c r="K973" t="str">
        <f>"KK Mladost"</f>
        <v>KK Mladost</v>
      </c>
      <c r="L973" t="str">
        <f>"HRV"</f>
        <v>HRV</v>
      </c>
      <c r="M973">
        <v>0</v>
      </c>
      <c r="N973" t="s">
        <v>584</v>
      </c>
      <c r="O973" s="83" t="s">
        <v>243</v>
      </c>
      <c r="P973" s="78">
        <v>45451</v>
      </c>
      <c r="Q973" t="str">
        <f t="shared" si="182"/>
        <v>Roko Tanković - KK Mladost</v>
      </c>
      <c r="R973" t="s">
        <v>637</v>
      </c>
      <c r="S973" t="s">
        <v>593</v>
      </c>
      <c r="T973" t="s">
        <v>645</v>
      </c>
    </row>
    <row r="974" spans="1:20" x14ac:dyDescent="0.3">
      <c r="A974" s="2" t="s">
        <v>611</v>
      </c>
      <c r="B974" s="50">
        <v>2</v>
      </c>
      <c r="C974">
        <v>86</v>
      </c>
      <c r="D974" t="str">
        <f t="shared" si="178"/>
        <v>Kumite</v>
      </c>
      <c r="E974" t="str">
        <f>"Kumite, -, 0-50 kg, Ifjúsági (15-16"</f>
        <v>Kumite, -, 0-50 kg, Ifjúsági (15-16</v>
      </c>
      <c r="F974" t="s">
        <v>546</v>
      </c>
      <c r="G974" s="50" t="str">
        <f t="shared" si="180"/>
        <v>3</v>
      </c>
      <c r="H974" t="str">
        <f t="shared" si="181"/>
        <v>3 fős körmérkőzés</v>
      </c>
      <c r="I974" s="50" t="str">
        <f>"1"</f>
        <v>1</v>
      </c>
      <c r="J974" t="str">
        <f>"Lara ®unić"</f>
        <v>Lara ®unić</v>
      </c>
      <c r="K974" t="str">
        <f>"KK Mladost"</f>
        <v>KK Mladost</v>
      </c>
      <c r="L974" t="str">
        <f>"HRV"</f>
        <v>HRV</v>
      </c>
      <c r="M974">
        <v>4</v>
      </c>
      <c r="O974" s="83" t="s">
        <v>243</v>
      </c>
      <c r="P974" s="78">
        <v>45451</v>
      </c>
      <c r="Q974" t="str">
        <f t="shared" si="182"/>
        <v>Lara ®unić - KK Mladost</v>
      </c>
      <c r="R974" t="s">
        <v>637</v>
      </c>
      <c r="S974" t="s">
        <v>593</v>
      </c>
      <c r="T974" t="s">
        <v>645</v>
      </c>
    </row>
    <row r="975" spans="1:20" x14ac:dyDescent="0.3">
      <c r="A975" s="2" t="s">
        <v>611</v>
      </c>
      <c r="B975" s="50">
        <v>2</v>
      </c>
      <c r="C975">
        <v>87</v>
      </c>
      <c r="D975" t="str">
        <f t="shared" si="178"/>
        <v>Kumite</v>
      </c>
      <c r="E975" t="str">
        <f>"Kumite, -, 0-50 kg, Ifjúsági (15-16"</f>
        <v>Kumite, -, 0-50 kg, Ifjúsági (15-16</v>
      </c>
      <c r="F975" t="s">
        <v>546</v>
      </c>
      <c r="G975" s="50" t="str">
        <f t="shared" si="180"/>
        <v>3</v>
      </c>
      <c r="H975" t="str">
        <f t="shared" si="181"/>
        <v>3 fős körmérkőzés</v>
      </c>
      <c r="I975" s="50" t="str">
        <f>"2"</f>
        <v>2</v>
      </c>
      <c r="J975" t="str">
        <f>"Fekete Csenge"</f>
        <v>Fekete Csenge</v>
      </c>
      <c r="K975" t="str">
        <f>"Nozomu Dojo"</f>
        <v>Nozomu Dojo</v>
      </c>
      <c r="L975" t="str">
        <f t="shared" ref="L975:L980" si="183">"HUN"</f>
        <v>HUN</v>
      </c>
      <c r="M975">
        <v>3</v>
      </c>
      <c r="O975" s="83" t="s">
        <v>243</v>
      </c>
      <c r="P975" s="78">
        <v>45451</v>
      </c>
      <c r="Q975" t="str">
        <f t="shared" si="182"/>
        <v>Fekete Csenge - Nozomu Dojo</v>
      </c>
      <c r="R975" t="s">
        <v>636</v>
      </c>
      <c r="S975" t="s">
        <v>636</v>
      </c>
      <c r="T975" t="s">
        <v>645</v>
      </c>
    </row>
    <row r="976" spans="1:20" x14ac:dyDescent="0.3">
      <c r="A976" s="2" t="s">
        <v>611</v>
      </c>
      <c r="B976" s="50">
        <v>2</v>
      </c>
      <c r="C976">
        <v>88</v>
      </c>
      <c r="D976" t="str">
        <f t="shared" si="178"/>
        <v>Kumite</v>
      </c>
      <c r="E976" t="str">
        <f>"Kumite, -, 0-50 kg, Ifjúsági (15-16"</f>
        <v>Kumite, -, 0-50 kg, Ifjúsági (15-16</v>
      </c>
      <c r="F976" t="s">
        <v>546</v>
      </c>
      <c r="G976" s="50" t="str">
        <f t="shared" si="180"/>
        <v>3</v>
      </c>
      <c r="H976" t="str">
        <f t="shared" si="181"/>
        <v>3 fős körmérkőzés</v>
      </c>
      <c r="I976" s="50" t="str">
        <f>"3"</f>
        <v>3</v>
      </c>
      <c r="J976" t="str">
        <f>"Bőzsöny Dorka"</f>
        <v>Bőzsöny Dorka</v>
      </c>
      <c r="K976" t="str">
        <f>"BHMSE"</f>
        <v>BHMSE</v>
      </c>
      <c r="L976" t="str">
        <f t="shared" si="183"/>
        <v>HUN</v>
      </c>
      <c r="M976">
        <v>0</v>
      </c>
      <c r="N976" t="s">
        <v>584</v>
      </c>
      <c r="O976" s="83" t="s">
        <v>243</v>
      </c>
      <c r="P976" s="78">
        <v>45451</v>
      </c>
      <c r="Q976" t="str">
        <f t="shared" si="182"/>
        <v>Bőzsöny Dorka - BHMSE</v>
      </c>
      <c r="R976" t="s">
        <v>636</v>
      </c>
      <c r="S976" t="s">
        <v>636</v>
      </c>
      <c r="T976" t="s">
        <v>645</v>
      </c>
    </row>
    <row r="977" spans="1:20" x14ac:dyDescent="0.3">
      <c r="A977" s="2" t="s">
        <v>611</v>
      </c>
      <c r="B977" s="50">
        <v>2</v>
      </c>
      <c r="C977">
        <v>89</v>
      </c>
      <c r="D977" t="str">
        <f t="shared" si="178"/>
        <v>Kumite</v>
      </c>
      <c r="E977" t="str">
        <f>"Kumite, -, 50-55 kg, Ifjúsági (15-16"</f>
        <v>Kumite, -, 50-55 kg, Ifjúsági (15-16</v>
      </c>
      <c r="F977" t="s">
        <v>550</v>
      </c>
      <c r="G977" s="50" t="str">
        <f>"2"</f>
        <v>2</v>
      </c>
      <c r="H977" t="str">
        <f>"2 fős egyenes kiesés"</f>
        <v>2 fős egyenes kiesés</v>
      </c>
      <c r="I977" s="50" t="str">
        <f>"1"</f>
        <v>1</v>
      </c>
      <c r="J977" t="str">
        <f>"Ágoston Sára"</f>
        <v>Ágoston Sára</v>
      </c>
      <c r="K977" t="str">
        <f>"KHSE"</f>
        <v>KHSE</v>
      </c>
      <c r="L977" t="str">
        <f t="shared" si="183"/>
        <v>HUN</v>
      </c>
      <c r="M977">
        <v>3</v>
      </c>
      <c r="O977" s="83" t="s">
        <v>243</v>
      </c>
      <c r="P977" s="78">
        <v>45451</v>
      </c>
      <c r="Q977" t="str">
        <f t="shared" si="182"/>
        <v>Ágoston Sára - KHSE</v>
      </c>
      <c r="R977" t="s">
        <v>636</v>
      </c>
      <c r="S977" t="s">
        <v>636</v>
      </c>
      <c r="T977" t="s">
        <v>645</v>
      </c>
    </row>
    <row r="978" spans="1:20" x14ac:dyDescent="0.3">
      <c r="A978" s="2" t="s">
        <v>611</v>
      </c>
      <c r="B978" s="50">
        <v>2</v>
      </c>
      <c r="C978">
        <v>90</v>
      </c>
      <c r="D978" t="str">
        <f t="shared" si="178"/>
        <v>Kumite</v>
      </c>
      <c r="E978" t="str">
        <f>"Kumite, -, 50-55 kg, Ifjúsági (15-16"</f>
        <v>Kumite, -, 50-55 kg, Ifjúsági (15-16</v>
      </c>
      <c r="F978" t="s">
        <v>550</v>
      </c>
      <c r="G978" s="50" t="str">
        <f>"2"</f>
        <v>2</v>
      </c>
      <c r="H978" t="str">
        <f>"2 fős egyenes kiesés"</f>
        <v>2 fős egyenes kiesés</v>
      </c>
      <c r="I978" s="50" t="str">
        <f>"2"</f>
        <v>2</v>
      </c>
      <c r="J978" t="str">
        <f>"Soós Panka"</f>
        <v>Soós Panka</v>
      </c>
      <c r="K978" t="str">
        <f>"Tora HSE"</f>
        <v>Tora HSE</v>
      </c>
      <c r="L978" t="str">
        <f t="shared" si="183"/>
        <v>HUN</v>
      </c>
      <c r="M978">
        <v>0</v>
      </c>
      <c r="O978" s="83" t="s">
        <v>243</v>
      </c>
      <c r="P978" s="78">
        <v>45451</v>
      </c>
      <c r="Q978" t="str">
        <f t="shared" si="182"/>
        <v>Soós Panka - Tora HSE</v>
      </c>
      <c r="R978" t="s">
        <v>637</v>
      </c>
      <c r="S978" t="s">
        <v>169</v>
      </c>
      <c r="T978" t="s">
        <v>645</v>
      </c>
    </row>
    <row r="979" spans="1:20" x14ac:dyDescent="0.3">
      <c r="A979" s="2" t="s">
        <v>611</v>
      </c>
      <c r="B979" s="50">
        <v>2</v>
      </c>
      <c r="C979">
        <v>91</v>
      </c>
      <c r="D979" t="str">
        <f t="shared" si="178"/>
        <v>Kumite</v>
      </c>
      <c r="E979" t="str">
        <f>"Kumite, -, 55-60 kg, Ifjúsági (15-16"</f>
        <v>Kumite, -, 55-60 kg, Ifjúsági (15-16</v>
      </c>
      <c r="F979" t="s">
        <v>551</v>
      </c>
      <c r="G979" s="50" t="str">
        <f>"4"</f>
        <v>4</v>
      </c>
      <c r="H979" t="str">
        <f>"4 fős körmérkőzés"</f>
        <v>4 fős körmérkőzés</v>
      </c>
      <c r="I979" s="50" t="str">
        <f>"1"</f>
        <v>1</v>
      </c>
      <c r="J979" t="str">
        <f>"Lukács Kamilla"</f>
        <v>Lukács Kamilla</v>
      </c>
      <c r="K979" t="str">
        <f>"BHMSE"</f>
        <v>BHMSE</v>
      </c>
      <c r="L979" t="str">
        <f t="shared" si="183"/>
        <v>HUN</v>
      </c>
      <c r="M979">
        <v>6</v>
      </c>
      <c r="O979" s="83" t="s">
        <v>243</v>
      </c>
      <c r="P979" s="78">
        <v>45451</v>
      </c>
      <c r="Q979" t="str">
        <f t="shared" si="182"/>
        <v>Lukács Kamilla - BHMSE</v>
      </c>
      <c r="R979" t="s">
        <v>636</v>
      </c>
      <c r="S979" t="s">
        <v>636</v>
      </c>
      <c r="T979" t="s">
        <v>645</v>
      </c>
    </row>
    <row r="980" spans="1:20" x14ac:dyDescent="0.3">
      <c r="A980" s="2" t="s">
        <v>611</v>
      </c>
      <c r="B980" s="50">
        <v>2</v>
      </c>
      <c r="C980">
        <v>92</v>
      </c>
      <c r="D980" t="str">
        <f t="shared" si="178"/>
        <v>Kumite</v>
      </c>
      <c r="E980" t="str">
        <f>"Kumite, -, 55-60 kg, Ifjúsági (15-16"</f>
        <v>Kumite, -, 55-60 kg, Ifjúsági (15-16</v>
      </c>
      <c r="F980" t="s">
        <v>551</v>
      </c>
      <c r="G980" s="50" t="str">
        <f>"4"</f>
        <v>4</v>
      </c>
      <c r="H980" t="str">
        <f>"4 fős körmérkőzés"</f>
        <v>4 fős körmérkőzés</v>
      </c>
      <c r="I980" s="50" t="str">
        <f>"2"</f>
        <v>2</v>
      </c>
      <c r="J980" t="str">
        <f>"Éles Léna"</f>
        <v>Éles Léna</v>
      </c>
      <c r="K980" t="str">
        <f>"BHMSE"</f>
        <v>BHMSE</v>
      </c>
      <c r="L980" t="str">
        <f t="shared" si="183"/>
        <v>HUN</v>
      </c>
      <c r="M980">
        <v>5</v>
      </c>
      <c r="O980" s="83" t="s">
        <v>243</v>
      </c>
      <c r="P980" s="78">
        <v>45451</v>
      </c>
      <c r="Q980" t="str">
        <f t="shared" si="182"/>
        <v>Éles Léna - BHMSE</v>
      </c>
      <c r="R980" t="s">
        <v>636</v>
      </c>
      <c r="S980" t="s">
        <v>636</v>
      </c>
      <c r="T980" t="s">
        <v>645</v>
      </c>
    </row>
    <row r="981" spans="1:20" x14ac:dyDescent="0.3">
      <c r="A981" s="2" t="s">
        <v>611</v>
      </c>
      <c r="B981" s="50">
        <v>2</v>
      </c>
      <c r="C981">
        <v>93</v>
      </c>
      <c r="D981" t="str">
        <f t="shared" si="178"/>
        <v>Kumite</v>
      </c>
      <c r="E981" t="str">
        <f>"Kumite, -, 55-60 kg, Ifjúsági (15-16"</f>
        <v>Kumite, -, 55-60 kg, Ifjúsági (15-16</v>
      </c>
      <c r="F981" t="s">
        <v>551</v>
      </c>
      <c r="G981" s="50" t="str">
        <f>"4"</f>
        <v>4</v>
      </c>
      <c r="H981" t="str">
        <f>"4 fős körmérkőzés"</f>
        <v>4 fős körmérkőzés</v>
      </c>
      <c r="I981" s="50" t="str">
        <f>"3"</f>
        <v>3</v>
      </c>
      <c r="J981" t="str">
        <f>"Ana Greganić"</f>
        <v>Ana Greganić</v>
      </c>
      <c r="K981" t="str">
        <f>"KK Mladost"</f>
        <v>KK Mladost</v>
      </c>
      <c r="L981" t="str">
        <f>"HRV"</f>
        <v>HRV</v>
      </c>
      <c r="M981">
        <v>3</v>
      </c>
      <c r="O981" s="83" t="s">
        <v>243</v>
      </c>
      <c r="P981" s="78">
        <v>45451</v>
      </c>
      <c r="Q981" t="str">
        <f t="shared" si="182"/>
        <v>Ana Greganić - KK Mladost</v>
      </c>
      <c r="R981" t="s">
        <v>637</v>
      </c>
      <c r="S981" t="s">
        <v>593</v>
      </c>
      <c r="T981" t="s">
        <v>645</v>
      </c>
    </row>
    <row r="982" spans="1:20" x14ac:dyDescent="0.3">
      <c r="A982" s="2" t="s">
        <v>611</v>
      </c>
      <c r="B982" s="50">
        <v>2</v>
      </c>
      <c r="C982">
        <v>94</v>
      </c>
      <c r="D982" t="str">
        <f t="shared" si="178"/>
        <v>Kumite</v>
      </c>
      <c r="E982" t="str">
        <f>"Kumite, -, 60-65 kg, Ifjúsági (15-16"</f>
        <v>Kumite, -, 60-65 kg, Ifjúsági (15-16</v>
      </c>
      <c r="F982" t="s">
        <v>552</v>
      </c>
      <c r="G982" s="50" t="str">
        <f>"3"</f>
        <v>3</v>
      </c>
      <c r="H982" t="str">
        <f>"3 fős körmérkőzés"</f>
        <v>3 fős körmérkőzés</v>
      </c>
      <c r="I982" s="50" t="str">
        <f>"1"</f>
        <v>1</v>
      </c>
      <c r="J982" t="str">
        <f>"Boca Stefania"</f>
        <v>Boca Stefania</v>
      </c>
      <c r="K982" t="str">
        <f>"FRKK"</f>
        <v>FRKK</v>
      </c>
      <c r="L982" t="str">
        <f>"ROU"</f>
        <v>ROU</v>
      </c>
      <c r="M982">
        <v>4</v>
      </c>
      <c r="O982" s="83" t="s">
        <v>243</v>
      </c>
      <c r="P982" s="78">
        <v>45451</v>
      </c>
      <c r="Q982" t="str">
        <f t="shared" si="182"/>
        <v>Boca Stefania - FRKK</v>
      </c>
      <c r="R982" t="s">
        <v>637</v>
      </c>
      <c r="S982" t="s">
        <v>628</v>
      </c>
      <c r="T982" t="s">
        <v>645</v>
      </c>
    </row>
    <row r="983" spans="1:20" x14ac:dyDescent="0.3">
      <c r="A983" s="2" t="s">
        <v>611</v>
      </c>
      <c r="B983" s="50">
        <v>2</v>
      </c>
      <c r="C983">
        <v>95</v>
      </c>
      <c r="D983" t="str">
        <f t="shared" si="178"/>
        <v>Kumite</v>
      </c>
      <c r="E983" t="str">
        <f>"Kumite, -, 60-65 kg, Ifjúsági (15-16"</f>
        <v>Kumite, -, 60-65 kg, Ifjúsági (15-16</v>
      </c>
      <c r="F983" t="s">
        <v>552</v>
      </c>
      <c r="G983" s="50" t="str">
        <f>"3"</f>
        <v>3</v>
      </c>
      <c r="H983" t="str">
        <f>"3 fős körmérkőzés"</f>
        <v>3 fős körmérkőzés</v>
      </c>
      <c r="I983" s="50" t="str">
        <f>"2"</f>
        <v>2</v>
      </c>
      <c r="J983" t="str">
        <f>"Szabó Petra"</f>
        <v>Szabó Petra</v>
      </c>
      <c r="K983" t="str">
        <f>"Shogun"</f>
        <v>Shogun</v>
      </c>
      <c r="L983" t="str">
        <f t="shared" ref="L983:L995" si="184">"HUN"</f>
        <v>HUN</v>
      </c>
      <c r="M983">
        <v>3</v>
      </c>
      <c r="O983" s="83" t="s">
        <v>243</v>
      </c>
      <c r="P983" s="78">
        <v>45451</v>
      </c>
      <c r="Q983" t="str">
        <f t="shared" si="182"/>
        <v>Szabó Petra - Shogun</v>
      </c>
      <c r="R983" t="s">
        <v>636</v>
      </c>
      <c r="S983" t="s">
        <v>636</v>
      </c>
      <c r="T983" t="s">
        <v>645</v>
      </c>
    </row>
    <row r="984" spans="1:20" x14ac:dyDescent="0.3">
      <c r="A984" s="2" t="s">
        <v>611</v>
      </c>
      <c r="B984" s="50">
        <v>2</v>
      </c>
      <c r="C984">
        <v>96</v>
      </c>
      <c r="D984" t="str">
        <f t="shared" si="178"/>
        <v>Kumite</v>
      </c>
      <c r="E984" t="str">
        <f>"Kumite, -, 60-65 kg, Ifjúsági (15-16"</f>
        <v>Kumite, -, 60-65 kg, Ifjúsági (15-16</v>
      </c>
      <c r="F984" t="s">
        <v>552</v>
      </c>
      <c r="G984" s="50" t="str">
        <f>"3"</f>
        <v>3</v>
      </c>
      <c r="H984" t="str">
        <f>"3 fős körmérkőzés"</f>
        <v>3 fős körmérkőzés</v>
      </c>
      <c r="I984" s="50" t="str">
        <f>"3"</f>
        <v>3</v>
      </c>
      <c r="J984" t="str">
        <f>"Szutor Anna"</f>
        <v>Szutor Anna</v>
      </c>
      <c r="K984" t="str">
        <f>"Shogun"</f>
        <v>Shogun</v>
      </c>
      <c r="L984" t="str">
        <f t="shared" si="184"/>
        <v>HUN</v>
      </c>
      <c r="M984">
        <v>0</v>
      </c>
      <c r="N984" t="s">
        <v>584</v>
      </c>
      <c r="O984" s="83" t="s">
        <v>243</v>
      </c>
      <c r="P984" s="78">
        <v>45451</v>
      </c>
      <c r="Q984" t="str">
        <f t="shared" si="182"/>
        <v>Szutor Anna - Shogun</v>
      </c>
      <c r="R984" t="s">
        <v>636</v>
      </c>
      <c r="S984" t="s">
        <v>636</v>
      </c>
      <c r="T984" t="s">
        <v>645</v>
      </c>
    </row>
    <row r="985" spans="1:20" x14ac:dyDescent="0.3">
      <c r="A985" s="2" t="s">
        <v>611</v>
      </c>
      <c r="B985" s="50">
        <v>2</v>
      </c>
      <c r="C985">
        <v>97</v>
      </c>
      <c r="D985" t="str">
        <f t="shared" si="178"/>
        <v>Kumite</v>
      </c>
      <c r="E985" t="str">
        <f>"Kumite, -, 65-200 kg, Ifjúsági (15-16"</f>
        <v>Kumite, -, 65-200 kg, Ifjúsági (15-16</v>
      </c>
      <c r="F985" t="s">
        <v>553</v>
      </c>
      <c r="G985" s="50" t="str">
        <f>"2"</f>
        <v>2</v>
      </c>
      <c r="H985" t="str">
        <f>"2 fős egyenes kiesés"</f>
        <v>2 fős egyenes kiesés</v>
      </c>
      <c r="I985" s="50" t="str">
        <f>"1"</f>
        <v>1</v>
      </c>
      <c r="J985" t="str">
        <f>"Vórincsák Vivien"</f>
        <v>Vórincsák Vivien</v>
      </c>
      <c r="K985" t="str">
        <f>"KHSE"</f>
        <v>KHSE</v>
      </c>
      <c r="L985" t="str">
        <f t="shared" si="184"/>
        <v>HUN</v>
      </c>
      <c r="M985">
        <v>3</v>
      </c>
      <c r="O985" s="83" t="s">
        <v>243</v>
      </c>
      <c r="P985" s="78">
        <v>45451</v>
      </c>
      <c r="Q985" t="str">
        <f t="shared" si="182"/>
        <v>Vórincsák Vivien - KHSE</v>
      </c>
      <c r="R985" t="s">
        <v>636</v>
      </c>
      <c r="S985" t="s">
        <v>636</v>
      </c>
      <c r="T985" t="s">
        <v>645</v>
      </c>
    </row>
    <row r="986" spans="1:20" x14ac:dyDescent="0.3">
      <c r="A986" s="2" t="s">
        <v>611</v>
      </c>
      <c r="B986" s="50">
        <v>2</v>
      </c>
      <c r="C986">
        <v>98</v>
      </c>
      <c r="D986" t="str">
        <f t="shared" si="178"/>
        <v>Kumite</v>
      </c>
      <c r="E986" t="str">
        <f>"Kumite, -, 65-200 kg, Ifjúsági (15-16"</f>
        <v>Kumite, -, 65-200 kg, Ifjúsági (15-16</v>
      </c>
      <c r="F986" t="s">
        <v>553</v>
      </c>
      <c r="G986" s="50" t="str">
        <f>"2"</f>
        <v>2</v>
      </c>
      <c r="H986" t="str">
        <f>"2 fős egyenes kiesés"</f>
        <v>2 fős egyenes kiesés</v>
      </c>
      <c r="I986" s="50" t="str">
        <f>"2"</f>
        <v>2</v>
      </c>
      <c r="J986" t="str">
        <f>"Ecsedi Réka"</f>
        <v>Ecsedi Réka</v>
      </c>
      <c r="K986" t="str">
        <f>"KHSE"</f>
        <v>KHSE</v>
      </c>
      <c r="L986" t="str">
        <f t="shared" si="184"/>
        <v>HUN</v>
      </c>
      <c r="M986">
        <v>0</v>
      </c>
      <c r="O986" s="83" t="s">
        <v>243</v>
      </c>
      <c r="P986" s="78">
        <v>45451</v>
      </c>
      <c r="Q986" t="str">
        <f t="shared" si="182"/>
        <v>Ecsedi Réka - KHSE</v>
      </c>
      <c r="R986" t="s">
        <v>636</v>
      </c>
      <c r="S986" t="s">
        <v>636</v>
      </c>
      <c r="T986" t="s">
        <v>645</v>
      </c>
    </row>
    <row r="987" spans="1:20" x14ac:dyDescent="0.3">
      <c r="A987" s="2" t="s">
        <v>611</v>
      </c>
      <c r="B987" s="50">
        <v>2</v>
      </c>
      <c r="C987">
        <v>99</v>
      </c>
      <c r="D987" t="str">
        <f t="shared" si="178"/>
        <v>Kumite</v>
      </c>
      <c r="E987" t="str">
        <f>"Kumite, -, 0-60 kg, Junior (17-18"</f>
        <v>Kumite, -, 0-60 kg, Junior (17-18</v>
      </c>
      <c r="F987" t="s">
        <v>496</v>
      </c>
      <c r="G987" s="50" t="str">
        <f>"3"</f>
        <v>3</v>
      </c>
      <c r="H987" t="str">
        <f>"3 fős körmérkőzés"</f>
        <v>3 fős körmérkőzés</v>
      </c>
      <c r="I987" s="50" t="str">
        <f>"1"</f>
        <v>1</v>
      </c>
      <c r="J987" t="str">
        <f>"Breznyiczki Benedek"</f>
        <v>Breznyiczki Benedek</v>
      </c>
      <c r="K987" t="str">
        <f>"Nozomu Dojo"</f>
        <v>Nozomu Dojo</v>
      </c>
      <c r="L987" t="str">
        <f t="shared" si="184"/>
        <v>HUN</v>
      </c>
      <c r="M987">
        <v>4</v>
      </c>
      <c r="O987" s="83" t="s">
        <v>243</v>
      </c>
      <c r="P987" s="78">
        <v>45451</v>
      </c>
      <c r="Q987" t="str">
        <f t="shared" si="182"/>
        <v>Breznyiczki Benedek - Nozomu Dojo</v>
      </c>
      <c r="R987" t="s">
        <v>636</v>
      </c>
      <c r="S987" t="s">
        <v>636</v>
      </c>
      <c r="T987" t="s">
        <v>645</v>
      </c>
    </row>
    <row r="988" spans="1:20" x14ac:dyDescent="0.3">
      <c r="A988" s="2" t="s">
        <v>611</v>
      </c>
      <c r="B988" s="50">
        <v>2</v>
      </c>
      <c r="C988">
        <v>100</v>
      </c>
      <c r="D988" t="str">
        <f t="shared" si="178"/>
        <v>Kumite</v>
      </c>
      <c r="E988" t="str">
        <f>"Kumite, -, 0-60 kg, Junior (17-18"</f>
        <v>Kumite, -, 0-60 kg, Junior (17-18</v>
      </c>
      <c r="F988" t="s">
        <v>496</v>
      </c>
      <c r="G988" s="50" t="str">
        <f>"3"</f>
        <v>3</v>
      </c>
      <c r="H988" t="str">
        <f>"3 fős körmérkőzés"</f>
        <v>3 fős körmérkőzés</v>
      </c>
      <c r="I988" s="50" t="str">
        <f>"2"</f>
        <v>2</v>
      </c>
      <c r="J988" t="str">
        <f>"Pető Zsombor Tamás"</f>
        <v>Pető Zsombor Tamás</v>
      </c>
      <c r="K988" t="str">
        <f>"Spirit SE."</f>
        <v>Spirit SE.</v>
      </c>
      <c r="L988" t="str">
        <f t="shared" si="184"/>
        <v>HUN</v>
      </c>
      <c r="M988">
        <v>3</v>
      </c>
      <c r="O988" s="83" t="s">
        <v>243</v>
      </c>
      <c r="P988" s="78">
        <v>45451</v>
      </c>
      <c r="Q988" t="str">
        <f t="shared" si="182"/>
        <v>Pető Zsombor Tamás - Spirit SE.</v>
      </c>
      <c r="R988" t="s">
        <v>636</v>
      </c>
      <c r="S988" t="s">
        <v>636</v>
      </c>
      <c r="T988" t="s">
        <v>645</v>
      </c>
    </row>
    <row r="989" spans="1:20" x14ac:dyDescent="0.3">
      <c r="A989" s="2" t="s">
        <v>611</v>
      </c>
      <c r="B989" s="50">
        <v>2</v>
      </c>
      <c r="C989">
        <v>101</v>
      </c>
      <c r="D989" t="str">
        <f t="shared" si="178"/>
        <v>Kumite</v>
      </c>
      <c r="E989" t="str">
        <f>"Kumite, -, 0-60 kg, Junior (17-18"</f>
        <v>Kumite, -, 0-60 kg, Junior (17-18</v>
      </c>
      <c r="F989" t="s">
        <v>496</v>
      </c>
      <c r="G989" s="50" t="str">
        <f>"3"</f>
        <v>3</v>
      </c>
      <c r="H989" t="str">
        <f>"3 fős körmérkőzés"</f>
        <v>3 fős körmérkőzés</v>
      </c>
      <c r="I989" s="50" t="str">
        <f>"3"</f>
        <v>3</v>
      </c>
      <c r="J989" t="str">
        <f>"Monori Levente Szilárd"</f>
        <v>Monori Levente Szilárd</v>
      </c>
      <c r="K989" t="str">
        <f>"POWER SE."</f>
        <v>POWER SE.</v>
      </c>
      <c r="L989" t="str">
        <f t="shared" si="184"/>
        <v>HUN</v>
      </c>
      <c r="M989">
        <v>0</v>
      </c>
      <c r="N989" t="s">
        <v>584</v>
      </c>
      <c r="O989" s="83" t="s">
        <v>243</v>
      </c>
      <c r="P989" s="78">
        <v>45451</v>
      </c>
      <c r="Q989" t="str">
        <f t="shared" si="182"/>
        <v>Monori Levente Szilárd - POWER SE.</v>
      </c>
      <c r="R989" t="s">
        <v>636</v>
      </c>
      <c r="S989" t="s">
        <v>636</v>
      </c>
      <c r="T989" t="s">
        <v>645</v>
      </c>
    </row>
    <row r="990" spans="1:20" x14ac:dyDescent="0.3">
      <c r="A990" s="2" t="s">
        <v>611</v>
      </c>
      <c r="B990" s="50">
        <v>2</v>
      </c>
      <c r="C990">
        <v>102</v>
      </c>
      <c r="D990" t="str">
        <f t="shared" si="178"/>
        <v>Kumite</v>
      </c>
      <c r="E990" t="str">
        <f>"Kumite, -, 60-65 kg, Junior (17-18"</f>
        <v>Kumite, -, 60-65 kg, Junior (17-18</v>
      </c>
      <c r="F990" t="s">
        <v>497</v>
      </c>
      <c r="G990" s="50" t="str">
        <f>"4"</f>
        <v>4</v>
      </c>
      <c r="H990" t="str">
        <f>"4 fős körmérkőzés"</f>
        <v>4 fős körmérkőzés</v>
      </c>
      <c r="I990" s="50" t="str">
        <f>"1"</f>
        <v>1</v>
      </c>
      <c r="J990" t="str">
        <f>"Szabó Bence"</f>
        <v>Szabó Bence</v>
      </c>
      <c r="K990" t="str">
        <f>"Shogun"</f>
        <v>Shogun</v>
      </c>
      <c r="L990" t="str">
        <f t="shared" si="184"/>
        <v>HUN</v>
      </c>
      <c r="M990">
        <v>6</v>
      </c>
      <c r="O990" s="83" t="s">
        <v>243</v>
      </c>
      <c r="P990" s="78">
        <v>45451</v>
      </c>
      <c r="Q990" t="str">
        <f t="shared" si="182"/>
        <v>Szabó Bence - Shogun</v>
      </c>
      <c r="R990" t="s">
        <v>636</v>
      </c>
      <c r="S990" t="s">
        <v>636</v>
      </c>
      <c r="T990" t="s">
        <v>645</v>
      </c>
    </row>
    <row r="991" spans="1:20" x14ac:dyDescent="0.3">
      <c r="A991" s="2" t="s">
        <v>611</v>
      </c>
      <c r="B991" s="50">
        <v>2</v>
      </c>
      <c r="C991">
        <v>103</v>
      </c>
      <c r="D991" t="str">
        <f t="shared" si="178"/>
        <v>Kumite</v>
      </c>
      <c r="E991" t="str">
        <f>"Kumite, -, 60-65 kg, Junior (17-18"</f>
        <v>Kumite, -, 60-65 kg, Junior (17-18</v>
      </c>
      <c r="F991" t="s">
        <v>497</v>
      </c>
      <c r="G991" s="50" t="str">
        <f>"4"</f>
        <v>4</v>
      </c>
      <c r="H991" t="str">
        <f>"4 fős körmérkőzés"</f>
        <v>4 fős körmérkőzés</v>
      </c>
      <c r="I991" s="50" t="str">
        <f>"2"</f>
        <v>2</v>
      </c>
      <c r="J991" t="str">
        <f>"Szabó Imre Richárd"</f>
        <v>Szabó Imre Richárd</v>
      </c>
      <c r="K991" t="str">
        <f>"KHSE"</f>
        <v>KHSE</v>
      </c>
      <c r="L991" t="str">
        <f t="shared" si="184"/>
        <v>HUN</v>
      </c>
      <c r="M991">
        <v>5</v>
      </c>
      <c r="O991" s="83" t="s">
        <v>243</v>
      </c>
      <c r="P991" s="78">
        <v>45451</v>
      </c>
      <c r="Q991" t="str">
        <f t="shared" si="182"/>
        <v>Szabó Imre Richárd - KHSE</v>
      </c>
      <c r="R991" t="s">
        <v>636</v>
      </c>
      <c r="S991" t="s">
        <v>636</v>
      </c>
      <c r="T991" t="s">
        <v>645</v>
      </c>
    </row>
    <row r="992" spans="1:20" x14ac:dyDescent="0.3">
      <c r="A992" s="2" t="s">
        <v>611</v>
      </c>
      <c r="B992" s="50">
        <v>2</v>
      </c>
      <c r="C992">
        <v>104</v>
      </c>
      <c r="D992" t="str">
        <f t="shared" si="178"/>
        <v>Kumite</v>
      </c>
      <c r="E992" t="str">
        <f>"Kumite, -, 60-65 kg, Junior (17-18"</f>
        <v>Kumite, -, 60-65 kg, Junior (17-18</v>
      </c>
      <c r="F992" t="s">
        <v>497</v>
      </c>
      <c r="G992" s="50" t="str">
        <f>"4"</f>
        <v>4</v>
      </c>
      <c r="H992" t="str">
        <f>"4 fős körmérkőzés"</f>
        <v>4 fős körmérkőzés</v>
      </c>
      <c r="I992" s="50" t="str">
        <f>"3"</f>
        <v>3</v>
      </c>
      <c r="J992" t="str">
        <f>"Pósán Zétény"</f>
        <v>Pósán Zétény</v>
      </c>
      <c r="K992" t="str">
        <f>"Shogun"</f>
        <v>Shogun</v>
      </c>
      <c r="L992" t="str">
        <f t="shared" si="184"/>
        <v>HUN</v>
      </c>
      <c r="M992">
        <v>3</v>
      </c>
      <c r="O992" s="83" t="s">
        <v>243</v>
      </c>
      <c r="P992" s="78">
        <v>45451</v>
      </c>
      <c r="Q992" t="str">
        <f t="shared" si="182"/>
        <v>Pósán Zétény - Shogun</v>
      </c>
      <c r="R992" t="s">
        <v>636</v>
      </c>
      <c r="S992" t="s">
        <v>636</v>
      </c>
      <c r="T992" t="s">
        <v>645</v>
      </c>
    </row>
    <row r="993" spans="1:20" x14ac:dyDescent="0.3">
      <c r="A993" s="2" t="s">
        <v>611</v>
      </c>
      <c r="B993" s="50">
        <v>2</v>
      </c>
      <c r="C993">
        <v>105</v>
      </c>
      <c r="D993" t="str">
        <f t="shared" si="178"/>
        <v>Kumite</v>
      </c>
      <c r="E993" t="str">
        <f>"Kumite, -, 70-75 kg, Junior (17-18"</f>
        <v>Kumite, -, 70-75 kg, Junior (17-18</v>
      </c>
      <c r="F993" t="s">
        <v>499</v>
      </c>
      <c r="G993" s="50" t="str">
        <f t="shared" ref="G993:G998" si="185">"3"</f>
        <v>3</v>
      </c>
      <c r="H993" t="str">
        <f t="shared" ref="H993:H998" si="186">"3 fős körmérkőzés"</f>
        <v>3 fős körmérkőzés</v>
      </c>
      <c r="I993" s="50" t="str">
        <f>"1"</f>
        <v>1</v>
      </c>
      <c r="J993" t="str">
        <f>"Bede Zsombor"</f>
        <v>Bede Zsombor</v>
      </c>
      <c r="K993" t="str">
        <f>"Ippon KKSE"</f>
        <v>Ippon KKSE</v>
      </c>
      <c r="L993" t="str">
        <f t="shared" si="184"/>
        <v>HUN</v>
      </c>
      <c r="M993">
        <v>4</v>
      </c>
      <c r="O993" s="83" t="s">
        <v>243</v>
      </c>
      <c r="P993" s="78">
        <v>45451</v>
      </c>
      <c r="Q993" t="str">
        <f t="shared" si="182"/>
        <v>Bede Zsombor - Ippon KKSE</v>
      </c>
      <c r="R993" t="s">
        <v>636</v>
      </c>
      <c r="S993" t="s">
        <v>636</v>
      </c>
      <c r="T993" t="s">
        <v>645</v>
      </c>
    </row>
    <row r="994" spans="1:20" x14ac:dyDescent="0.3">
      <c r="A994" s="2" t="s">
        <v>611</v>
      </c>
      <c r="B994" s="50">
        <v>2</v>
      </c>
      <c r="C994">
        <v>106</v>
      </c>
      <c r="D994" t="str">
        <f t="shared" si="178"/>
        <v>Kumite</v>
      </c>
      <c r="E994" t="str">
        <f>"Kumite, -, 70-75 kg, Junior (17-18"</f>
        <v>Kumite, -, 70-75 kg, Junior (17-18</v>
      </c>
      <c r="F994" t="s">
        <v>499</v>
      </c>
      <c r="G994" s="50" t="str">
        <f t="shared" si="185"/>
        <v>3</v>
      </c>
      <c r="H994" t="str">
        <f t="shared" si="186"/>
        <v>3 fős körmérkőzés</v>
      </c>
      <c r="I994" s="50" t="str">
        <f>"2"</f>
        <v>2</v>
      </c>
      <c r="J994" t="str">
        <f>"Jámbor Dániel"</f>
        <v>Jámbor Dániel</v>
      </c>
      <c r="K994" t="str">
        <f>"KHSE"</f>
        <v>KHSE</v>
      </c>
      <c r="L994" t="str">
        <f t="shared" si="184"/>
        <v>HUN</v>
      </c>
      <c r="M994">
        <v>3</v>
      </c>
      <c r="O994" s="83" t="s">
        <v>243</v>
      </c>
      <c r="P994" s="78">
        <v>45451</v>
      </c>
      <c r="Q994" t="str">
        <f t="shared" si="182"/>
        <v>Jámbor Dániel - KHSE</v>
      </c>
      <c r="R994" t="s">
        <v>636</v>
      </c>
      <c r="S994" t="s">
        <v>636</v>
      </c>
      <c r="T994" t="s">
        <v>645</v>
      </c>
    </row>
    <row r="995" spans="1:20" x14ac:dyDescent="0.3">
      <c r="A995" s="2" t="s">
        <v>611</v>
      </c>
      <c r="B995" s="50">
        <v>2</v>
      </c>
      <c r="C995">
        <v>107</v>
      </c>
      <c r="D995" t="str">
        <f t="shared" si="178"/>
        <v>Kumite</v>
      </c>
      <c r="E995" t="str">
        <f>"Kumite, -, 70-75 kg, Junior (17-18"</f>
        <v>Kumite, -, 70-75 kg, Junior (17-18</v>
      </c>
      <c r="F995" t="s">
        <v>499</v>
      </c>
      <c r="G995" s="50" t="str">
        <f t="shared" si="185"/>
        <v>3</v>
      </c>
      <c r="H995" t="str">
        <f t="shared" si="186"/>
        <v>3 fős körmérkőzés</v>
      </c>
      <c r="I995" s="50" t="str">
        <f>"3"</f>
        <v>3</v>
      </c>
      <c r="J995" t="str">
        <f>"Gáspár Botond"</f>
        <v>Gáspár Botond</v>
      </c>
      <c r="K995" t="str">
        <f>"Főnix Dojo"</f>
        <v>Főnix Dojo</v>
      </c>
      <c r="L995" t="str">
        <f t="shared" si="184"/>
        <v>HUN</v>
      </c>
      <c r="M995">
        <v>0</v>
      </c>
      <c r="N995" t="s">
        <v>584</v>
      </c>
      <c r="O995" s="83" t="s">
        <v>243</v>
      </c>
      <c r="P995" s="78">
        <v>45451</v>
      </c>
      <c r="Q995" t="str">
        <f t="shared" si="182"/>
        <v>Gáspár Botond - Főnix Dojo</v>
      </c>
      <c r="R995" t="s">
        <v>636</v>
      </c>
      <c r="S995" t="s">
        <v>636</v>
      </c>
      <c r="T995" t="s">
        <v>645</v>
      </c>
    </row>
    <row r="996" spans="1:20" x14ac:dyDescent="0.3">
      <c r="A996" s="2" t="s">
        <v>611</v>
      </c>
      <c r="B996" s="50">
        <v>2</v>
      </c>
      <c r="C996">
        <v>108</v>
      </c>
      <c r="D996" t="str">
        <f t="shared" si="178"/>
        <v>Kumite</v>
      </c>
      <c r="E996" t="str">
        <f>"Kumite, -, 80-200 kg, Junior (17-18"</f>
        <v>Kumite, -, 80-200 kg, Junior (17-18</v>
      </c>
      <c r="F996" t="s">
        <v>501</v>
      </c>
      <c r="G996" s="50" t="str">
        <f t="shared" si="185"/>
        <v>3</v>
      </c>
      <c r="H996" t="str">
        <f t="shared" si="186"/>
        <v>3 fős körmérkőzés</v>
      </c>
      <c r="I996" s="50" t="str">
        <f>"1"</f>
        <v>1</v>
      </c>
      <c r="J996" t="str">
        <f>"Dedis Mario"</f>
        <v>Dedis Mario</v>
      </c>
      <c r="K996" t="str">
        <f>"FRKK"</f>
        <v>FRKK</v>
      </c>
      <c r="L996" t="str">
        <f>"ROU"</f>
        <v>ROU</v>
      </c>
      <c r="M996">
        <v>4</v>
      </c>
      <c r="O996" s="83" t="s">
        <v>243</v>
      </c>
      <c r="P996" s="78">
        <v>45451</v>
      </c>
      <c r="Q996" t="str">
        <f t="shared" si="182"/>
        <v>Dedis Mario - FRKK</v>
      </c>
      <c r="R996" t="s">
        <v>637</v>
      </c>
      <c r="S996" t="s">
        <v>628</v>
      </c>
      <c r="T996" t="s">
        <v>645</v>
      </c>
    </row>
    <row r="997" spans="1:20" x14ac:dyDescent="0.3">
      <c r="A997" s="2" t="s">
        <v>611</v>
      </c>
      <c r="B997" s="50">
        <v>2</v>
      </c>
      <c r="C997">
        <v>109</v>
      </c>
      <c r="D997" t="str">
        <f t="shared" si="178"/>
        <v>Kumite</v>
      </c>
      <c r="E997" t="str">
        <f>"Kumite, -, 80-200 kg, Junior (17-18"</f>
        <v>Kumite, -, 80-200 kg, Junior (17-18</v>
      </c>
      <c r="F997" t="s">
        <v>501</v>
      </c>
      <c r="G997" s="50" t="str">
        <f t="shared" si="185"/>
        <v>3</v>
      </c>
      <c r="H997" t="str">
        <f t="shared" si="186"/>
        <v>3 fős körmérkőzés</v>
      </c>
      <c r="I997" s="50" t="str">
        <f>"2"</f>
        <v>2</v>
      </c>
      <c r="J997" t="str">
        <f>"Sipos Árpád"</f>
        <v>Sipos Árpád</v>
      </c>
      <c r="K997" t="str">
        <f>"KHSE"</f>
        <v>KHSE</v>
      </c>
      <c r="L997" t="str">
        <f>"HUN"</f>
        <v>HUN</v>
      </c>
      <c r="M997">
        <v>3</v>
      </c>
      <c r="O997" s="83" t="s">
        <v>243</v>
      </c>
      <c r="P997" s="78">
        <v>45451</v>
      </c>
      <c r="Q997" t="str">
        <f t="shared" si="182"/>
        <v>Sipos Árpád - KHSE</v>
      </c>
      <c r="R997" t="s">
        <v>636</v>
      </c>
      <c r="S997" t="s">
        <v>636</v>
      </c>
      <c r="T997" t="s">
        <v>645</v>
      </c>
    </row>
    <row r="998" spans="1:20" x14ac:dyDescent="0.3">
      <c r="A998" s="2" t="s">
        <v>611</v>
      </c>
      <c r="B998" s="50">
        <v>2</v>
      </c>
      <c r="C998">
        <v>110</v>
      </c>
      <c r="D998" t="str">
        <f t="shared" si="178"/>
        <v>Kumite</v>
      </c>
      <c r="E998" t="str">
        <f>"Kumite, -, 80-200 kg, Junior (17-18"</f>
        <v>Kumite, -, 80-200 kg, Junior (17-18</v>
      </c>
      <c r="F998" t="s">
        <v>501</v>
      </c>
      <c r="G998" s="50" t="str">
        <f t="shared" si="185"/>
        <v>3</v>
      </c>
      <c r="H998" t="str">
        <f t="shared" si="186"/>
        <v>3 fős körmérkőzés</v>
      </c>
      <c r="I998" s="50" t="str">
        <f>"3"</f>
        <v>3</v>
      </c>
      <c r="J998" t="str">
        <f>"Bársony Botond"</f>
        <v>Bársony Botond</v>
      </c>
      <c r="K998" t="str">
        <f>"KSE Tarján"</f>
        <v>KSE Tarján</v>
      </c>
      <c r="L998" t="str">
        <f>"HUN"</f>
        <v>HUN</v>
      </c>
      <c r="M998">
        <v>0</v>
      </c>
      <c r="N998" t="s">
        <v>584</v>
      </c>
      <c r="O998" s="83" t="s">
        <v>243</v>
      </c>
      <c r="P998" s="78">
        <v>45451</v>
      </c>
      <c r="Q998" t="str">
        <f t="shared" si="182"/>
        <v>Bársony Botond - KSE Tarján</v>
      </c>
      <c r="R998" t="s">
        <v>636</v>
      </c>
      <c r="S998" t="s">
        <v>636</v>
      </c>
      <c r="T998" t="s">
        <v>645</v>
      </c>
    </row>
    <row r="999" spans="1:20" x14ac:dyDescent="0.3">
      <c r="A999" s="2" t="s">
        <v>611</v>
      </c>
      <c r="B999" s="50">
        <v>2</v>
      </c>
      <c r="C999">
        <v>111</v>
      </c>
      <c r="D999" t="str">
        <f t="shared" si="178"/>
        <v>Kumite</v>
      </c>
      <c r="E999" t="str">
        <f>"Kumite, -, 50-55 kg, Junior (17-18"</f>
        <v>Kumite, -, 50-55 kg, Junior (17-18</v>
      </c>
      <c r="F999" t="s">
        <v>505</v>
      </c>
      <c r="G999" s="50" t="str">
        <f t="shared" ref="G999:G1004" si="187">"4"</f>
        <v>4</v>
      </c>
      <c r="H999" t="str">
        <f t="shared" ref="H999:H1004" si="188">"4 fős körmérkőzés"</f>
        <v>4 fős körmérkőzés</v>
      </c>
      <c r="I999" s="50" t="str">
        <f>"1"</f>
        <v>1</v>
      </c>
      <c r="J999" t="str">
        <f>"Bánky Liliána"</f>
        <v>Bánky Liliána</v>
      </c>
      <c r="K999" t="str">
        <f>"BHMSE"</f>
        <v>BHMSE</v>
      </c>
      <c r="L999" t="str">
        <f>"HUN"</f>
        <v>HUN</v>
      </c>
      <c r="M999">
        <v>6</v>
      </c>
      <c r="O999" s="83" t="s">
        <v>243</v>
      </c>
      <c r="P999" s="78">
        <v>45451</v>
      </c>
      <c r="Q999" t="str">
        <f t="shared" si="182"/>
        <v>Bánky Liliána - BHMSE</v>
      </c>
      <c r="R999" t="s">
        <v>636</v>
      </c>
      <c r="S999" t="s">
        <v>636</v>
      </c>
      <c r="T999" t="s">
        <v>645</v>
      </c>
    </row>
    <row r="1000" spans="1:20" x14ac:dyDescent="0.3">
      <c r="A1000" s="2" t="s">
        <v>611</v>
      </c>
      <c r="B1000" s="50">
        <v>2</v>
      </c>
      <c r="C1000">
        <v>112</v>
      </c>
      <c r="D1000" t="str">
        <f t="shared" si="178"/>
        <v>Kumite</v>
      </c>
      <c r="E1000" t="str">
        <f>"Kumite, -, 50-55 kg, Junior (17-18"</f>
        <v>Kumite, -, 50-55 kg, Junior (17-18</v>
      </c>
      <c r="F1000" t="s">
        <v>505</v>
      </c>
      <c r="G1000" s="50" t="str">
        <f t="shared" si="187"/>
        <v>4</v>
      </c>
      <c r="H1000" t="str">
        <f t="shared" si="188"/>
        <v>4 fős körmérkőzés</v>
      </c>
      <c r="I1000" s="50" t="str">
        <f>"2"</f>
        <v>2</v>
      </c>
      <c r="J1000" t="str">
        <f>"Ciobanu Rianna"</f>
        <v>Ciobanu Rianna</v>
      </c>
      <c r="K1000" t="str">
        <f>"FRKK"</f>
        <v>FRKK</v>
      </c>
      <c r="L1000" t="str">
        <f>"ROU"</f>
        <v>ROU</v>
      </c>
      <c r="M1000">
        <v>5</v>
      </c>
      <c r="O1000" s="83" t="s">
        <v>243</v>
      </c>
      <c r="P1000" s="78">
        <v>45451</v>
      </c>
      <c r="Q1000" t="str">
        <f t="shared" si="182"/>
        <v>Ciobanu Rianna - FRKK</v>
      </c>
      <c r="R1000" t="s">
        <v>637</v>
      </c>
      <c r="S1000" t="s">
        <v>628</v>
      </c>
      <c r="T1000" t="s">
        <v>645</v>
      </c>
    </row>
    <row r="1001" spans="1:20" x14ac:dyDescent="0.3">
      <c r="A1001" s="2" t="s">
        <v>611</v>
      </c>
      <c r="B1001" s="50">
        <v>2</v>
      </c>
      <c r="C1001">
        <v>113</v>
      </c>
      <c r="D1001" t="str">
        <f t="shared" si="178"/>
        <v>Kumite</v>
      </c>
      <c r="E1001" t="str">
        <f>"Kumite, -, 50-55 kg, Junior (17-18"</f>
        <v>Kumite, -, 50-55 kg, Junior (17-18</v>
      </c>
      <c r="F1001" t="s">
        <v>505</v>
      </c>
      <c r="G1001" s="50" t="str">
        <f t="shared" si="187"/>
        <v>4</v>
      </c>
      <c r="H1001" t="str">
        <f t="shared" si="188"/>
        <v>4 fős körmérkőzés</v>
      </c>
      <c r="I1001" s="50" t="str">
        <f>"3"</f>
        <v>3</v>
      </c>
      <c r="J1001" t="str">
        <f>"Balogh Szimonetta Amanda"</f>
        <v>Balogh Szimonetta Amanda</v>
      </c>
      <c r="K1001" t="str">
        <f>"Szanyi Dojo"</f>
        <v>Szanyi Dojo</v>
      </c>
      <c r="L1001" t="str">
        <f>"HUN"</f>
        <v>HUN</v>
      </c>
      <c r="M1001">
        <v>3</v>
      </c>
      <c r="O1001" s="83" t="s">
        <v>243</v>
      </c>
      <c r="P1001" s="78">
        <v>45451</v>
      </c>
      <c r="Q1001" t="str">
        <f t="shared" si="182"/>
        <v>Balogh Szimonetta Amanda - Szanyi Dojo</v>
      </c>
      <c r="R1001" t="s">
        <v>637</v>
      </c>
      <c r="S1001" t="s">
        <v>597</v>
      </c>
      <c r="T1001" t="s">
        <v>645</v>
      </c>
    </row>
    <row r="1002" spans="1:20" x14ac:dyDescent="0.3">
      <c r="A1002" s="2" t="s">
        <v>611</v>
      </c>
      <c r="B1002" s="50">
        <v>2</v>
      </c>
      <c r="C1002">
        <v>114</v>
      </c>
      <c r="D1002" t="str">
        <f t="shared" si="178"/>
        <v>Kumite</v>
      </c>
      <c r="E1002" t="str">
        <f>"Kumite, -, 60-65 kg, Junior (17-18"</f>
        <v>Kumite, -, 60-65 kg, Junior (17-18</v>
      </c>
      <c r="F1002" t="s">
        <v>507</v>
      </c>
      <c r="G1002" s="50" t="str">
        <f t="shared" si="187"/>
        <v>4</v>
      </c>
      <c r="H1002" t="str">
        <f t="shared" si="188"/>
        <v>4 fős körmérkőzés</v>
      </c>
      <c r="I1002" s="50" t="str">
        <f>"1"</f>
        <v>1</v>
      </c>
      <c r="J1002" t="str">
        <f>"Józsa Erika Réka"</f>
        <v>Józsa Erika Réka</v>
      </c>
      <c r="K1002" t="str">
        <f>"KHSE"</f>
        <v>KHSE</v>
      </c>
      <c r="L1002" t="str">
        <f>"HUN"</f>
        <v>HUN</v>
      </c>
      <c r="M1002">
        <v>6</v>
      </c>
      <c r="O1002" s="83" t="s">
        <v>243</v>
      </c>
      <c r="P1002" s="78">
        <v>45451</v>
      </c>
      <c r="Q1002" t="str">
        <f t="shared" si="182"/>
        <v>Józsa Erika Réka - KHSE</v>
      </c>
      <c r="R1002" t="s">
        <v>636</v>
      </c>
      <c r="S1002" t="s">
        <v>636</v>
      </c>
      <c r="T1002" t="s">
        <v>645</v>
      </c>
    </row>
    <row r="1003" spans="1:20" x14ac:dyDescent="0.3">
      <c r="A1003" s="2" t="s">
        <v>611</v>
      </c>
      <c r="B1003" s="50">
        <v>2</v>
      </c>
      <c r="C1003">
        <v>115</v>
      </c>
      <c r="D1003" t="str">
        <f t="shared" si="178"/>
        <v>Kumite</v>
      </c>
      <c r="E1003" t="str">
        <f>"Kumite, -, 60-65 kg, Junior (17-18"</f>
        <v>Kumite, -, 60-65 kg, Junior (17-18</v>
      </c>
      <c r="F1003" t="s">
        <v>507</v>
      </c>
      <c r="G1003" s="50" t="str">
        <f t="shared" si="187"/>
        <v>4</v>
      </c>
      <c r="H1003" t="str">
        <f t="shared" si="188"/>
        <v>4 fős körmérkőzés</v>
      </c>
      <c r="I1003" s="50" t="str">
        <f>"2"</f>
        <v>2</v>
      </c>
      <c r="J1003" t="str">
        <f>"Budur Maia "</f>
        <v xml:space="preserve">Budur Maia </v>
      </c>
      <c r="K1003" t="str">
        <f>"FRKK"</f>
        <v>FRKK</v>
      </c>
      <c r="L1003" t="str">
        <f>"ROU"</f>
        <v>ROU</v>
      </c>
      <c r="M1003">
        <v>5</v>
      </c>
      <c r="O1003" s="83" t="s">
        <v>243</v>
      </c>
      <c r="P1003" s="78">
        <v>45451</v>
      </c>
      <c r="Q1003" t="str">
        <f t="shared" si="182"/>
        <v>Budur Maia  - FRKK</v>
      </c>
      <c r="R1003" t="s">
        <v>637</v>
      </c>
      <c r="S1003" t="s">
        <v>628</v>
      </c>
      <c r="T1003" t="s">
        <v>645</v>
      </c>
    </row>
    <row r="1004" spans="1:20" x14ac:dyDescent="0.3">
      <c r="A1004" s="2" t="s">
        <v>611</v>
      </c>
      <c r="B1004" s="50">
        <v>2</v>
      </c>
      <c r="C1004">
        <v>116</v>
      </c>
      <c r="D1004" t="str">
        <f t="shared" si="178"/>
        <v>Kumite</v>
      </c>
      <c r="E1004" t="str">
        <f>"Kumite, -, 60-65 kg, Junior (17-18"</f>
        <v>Kumite, -, 60-65 kg, Junior (17-18</v>
      </c>
      <c r="F1004" t="s">
        <v>507</v>
      </c>
      <c r="G1004" s="50" t="str">
        <f t="shared" si="187"/>
        <v>4</v>
      </c>
      <c r="H1004" t="str">
        <f t="shared" si="188"/>
        <v>4 fős körmérkőzés</v>
      </c>
      <c r="I1004" s="50" t="str">
        <f>"3"</f>
        <v>3</v>
      </c>
      <c r="J1004" t="str">
        <f>"Sólyom Gréta"</f>
        <v>Sólyom Gréta</v>
      </c>
      <c r="K1004" t="str">
        <f>"Shogun"</f>
        <v>Shogun</v>
      </c>
      <c r="L1004" t="str">
        <f t="shared" ref="L1004:L1027" si="189">"HUN"</f>
        <v>HUN</v>
      </c>
      <c r="M1004">
        <v>3</v>
      </c>
      <c r="O1004" s="83" t="s">
        <v>243</v>
      </c>
      <c r="P1004" s="78">
        <v>45451</v>
      </c>
      <c r="Q1004" t="str">
        <f t="shared" si="182"/>
        <v>Sólyom Gréta - Shogun</v>
      </c>
      <c r="R1004" t="s">
        <v>636</v>
      </c>
      <c r="S1004" t="s">
        <v>636</v>
      </c>
      <c r="T1004" t="s">
        <v>645</v>
      </c>
    </row>
    <row r="1005" spans="1:20" x14ac:dyDescent="0.3">
      <c r="A1005" s="2" t="s">
        <v>611</v>
      </c>
      <c r="B1005" s="50" t="s">
        <v>612</v>
      </c>
      <c r="C1005">
        <v>117</v>
      </c>
      <c r="D1005" t="str">
        <f t="shared" si="178"/>
        <v>Kumite</v>
      </c>
      <c r="E1005" t="str">
        <f>"Kumite, -, 60-70 kg, Felnőtt (19-99"</f>
        <v>Kumite, -, 60-70 kg, Felnőtt (19-99</v>
      </c>
      <c r="F1005" t="s">
        <v>484</v>
      </c>
      <c r="G1005" s="50" t="str">
        <f>"2"</f>
        <v>2</v>
      </c>
      <c r="H1005" t="str">
        <f>"2 fős egyenes kiesés"</f>
        <v>2 fős egyenes kiesés</v>
      </c>
      <c r="I1005" s="50" t="str">
        <f>"1"</f>
        <v>1</v>
      </c>
      <c r="J1005" t="str">
        <f>"Rózsa Endre"</f>
        <v>Rózsa Endre</v>
      </c>
      <c r="K1005" t="str">
        <f>"Kemecse SE"</f>
        <v>Kemecse SE</v>
      </c>
      <c r="L1005" t="str">
        <f t="shared" si="189"/>
        <v>HUN</v>
      </c>
      <c r="M1005">
        <v>1</v>
      </c>
      <c r="O1005" s="83" t="s">
        <v>243</v>
      </c>
      <c r="P1005" s="78">
        <v>45451</v>
      </c>
      <c r="Q1005" t="str">
        <f t="shared" si="182"/>
        <v>Rózsa Endre - Kemecse SE</v>
      </c>
      <c r="R1005" t="s">
        <v>636</v>
      </c>
      <c r="S1005" t="s">
        <v>636</v>
      </c>
      <c r="T1005" t="s">
        <v>644</v>
      </c>
    </row>
    <row r="1006" spans="1:20" x14ac:dyDescent="0.3">
      <c r="A1006" s="2" t="s">
        <v>611</v>
      </c>
      <c r="B1006" s="50" t="s">
        <v>612</v>
      </c>
      <c r="C1006">
        <v>118</v>
      </c>
      <c r="D1006" t="str">
        <f t="shared" si="178"/>
        <v>Kumite</v>
      </c>
      <c r="E1006" t="str">
        <f>"Kumite, -, 60-70 kg, Felnőtt (19-99"</f>
        <v>Kumite, -, 60-70 kg, Felnőtt (19-99</v>
      </c>
      <c r="F1006" t="s">
        <v>484</v>
      </c>
      <c r="G1006" s="50" t="str">
        <f>"2"</f>
        <v>2</v>
      </c>
      <c r="H1006" t="str">
        <f>"2 fős egyenes kiesés"</f>
        <v>2 fős egyenes kiesés</v>
      </c>
      <c r="I1006" s="50" t="str">
        <f>"2"</f>
        <v>2</v>
      </c>
      <c r="J1006" t="str">
        <f>"Szoboszlai Barnabás"</f>
        <v>Szoboszlai Barnabás</v>
      </c>
      <c r="K1006" t="str">
        <f>"Fighter SE - Miskolc"</f>
        <v>Fighter SE - Miskolc</v>
      </c>
      <c r="L1006" t="str">
        <f t="shared" si="189"/>
        <v>HUN</v>
      </c>
      <c r="M1006">
        <v>0</v>
      </c>
      <c r="O1006" s="83" t="s">
        <v>243</v>
      </c>
      <c r="P1006" s="78">
        <v>45451</v>
      </c>
      <c r="Q1006" t="str">
        <f t="shared" si="182"/>
        <v>Szoboszlai Barnabás - Fighter SE - Miskolc</v>
      </c>
      <c r="R1006" t="s">
        <v>637</v>
      </c>
      <c r="S1006" t="s">
        <v>597</v>
      </c>
      <c r="T1006" t="s">
        <v>644</v>
      </c>
    </row>
    <row r="1007" spans="1:20" x14ac:dyDescent="0.3">
      <c r="A1007" s="2" t="s">
        <v>611</v>
      </c>
      <c r="B1007" s="50" t="s">
        <v>612</v>
      </c>
      <c r="C1007">
        <v>119</v>
      </c>
      <c r="D1007" t="str">
        <f t="shared" si="178"/>
        <v>Kumite</v>
      </c>
      <c r="E1007" t="str">
        <f>"Kumite, -, 70-80 kg, Felnőtt (19-99"</f>
        <v>Kumite, -, 70-80 kg, Felnőtt (19-99</v>
      </c>
      <c r="F1007" t="s">
        <v>487</v>
      </c>
      <c r="G1007" s="50" t="str">
        <f>"6"</f>
        <v>6</v>
      </c>
      <c r="H1007" t="str">
        <f>"6 fős vegyes"</f>
        <v>6 fős vegyes</v>
      </c>
      <c r="I1007" s="50" t="str">
        <f>"1"</f>
        <v>1</v>
      </c>
      <c r="J1007" t="str">
        <f>"Farkas Róbert"</f>
        <v>Farkas Róbert</v>
      </c>
      <c r="K1007" t="str">
        <f>"Hajdúszoboszló"</f>
        <v>Hajdúszoboszló</v>
      </c>
      <c r="L1007" t="str">
        <f t="shared" si="189"/>
        <v>HUN</v>
      </c>
      <c r="M1007">
        <v>3</v>
      </c>
      <c r="O1007" s="83" t="s">
        <v>243</v>
      </c>
      <c r="P1007" s="78">
        <v>45451</v>
      </c>
      <c r="Q1007" t="str">
        <f t="shared" si="182"/>
        <v>Farkas Róbert - Hajdúszoboszló</v>
      </c>
      <c r="R1007" t="s">
        <v>636</v>
      </c>
      <c r="S1007" t="s">
        <v>636</v>
      </c>
      <c r="T1007" t="s">
        <v>644</v>
      </c>
    </row>
    <row r="1008" spans="1:20" x14ac:dyDescent="0.3">
      <c r="A1008" s="2" t="s">
        <v>611</v>
      </c>
      <c r="B1008" s="50" t="s">
        <v>612</v>
      </c>
      <c r="C1008">
        <v>120</v>
      </c>
      <c r="D1008" t="str">
        <f t="shared" si="178"/>
        <v>Kumite</v>
      </c>
      <c r="E1008" t="str">
        <f>"Kumite, -, 70-80 kg, Felnőtt (19-99"</f>
        <v>Kumite, -, 70-80 kg, Felnőtt (19-99</v>
      </c>
      <c r="F1008" t="s">
        <v>487</v>
      </c>
      <c r="G1008" s="50" t="str">
        <f>"6"</f>
        <v>6</v>
      </c>
      <c r="H1008" t="str">
        <f>"6 fős vegyes"</f>
        <v>6 fős vegyes</v>
      </c>
      <c r="I1008" s="50" t="str">
        <f>"2"</f>
        <v>2</v>
      </c>
      <c r="J1008" t="str">
        <f>"Vancsek Kristóf"</f>
        <v>Vancsek Kristóf</v>
      </c>
      <c r="K1008" t="str">
        <f>"Ippon KKSE"</f>
        <v>Ippon KKSE</v>
      </c>
      <c r="L1008" t="str">
        <f t="shared" si="189"/>
        <v>HUN</v>
      </c>
      <c r="M1008">
        <v>2</v>
      </c>
      <c r="O1008" s="83" t="s">
        <v>243</v>
      </c>
      <c r="P1008" s="78">
        <v>45451</v>
      </c>
      <c r="Q1008" t="str">
        <f t="shared" si="182"/>
        <v>Vancsek Kristóf - Ippon KKSE</v>
      </c>
      <c r="R1008" t="s">
        <v>636</v>
      </c>
      <c r="S1008" t="s">
        <v>636</v>
      </c>
      <c r="T1008" t="s">
        <v>644</v>
      </c>
    </row>
    <row r="1009" spans="1:20" x14ac:dyDescent="0.3">
      <c r="A1009" s="2" t="s">
        <v>611</v>
      </c>
      <c r="B1009" s="50" t="s">
        <v>612</v>
      </c>
      <c r="C1009">
        <v>121</v>
      </c>
      <c r="D1009" t="str">
        <f t="shared" si="178"/>
        <v>Kumite</v>
      </c>
      <c r="E1009" t="str">
        <f>"Kumite, -, 70-80 kg, Felnőtt (19-99"</f>
        <v>Kumite, -, 70-80 kg, Felnőtt (19-99</v>
      </c>
      <c r="F1009" t="s">
        <v>487</v>
      </c>
      <c r="G1009" s="50" t="str">
        <f>"6"</f>
        <v>6</v>
      </c>
      <c r="H1009" t="str">
        <f>"6 fős vegyes"</f>
        <v>6 fős vegyes</v>
      </c>
      <c r="I1009" s="50" t="str">
        <f>"3"</f>
        <v>3</v>
      </c>
      <c r="J1009" t="str">
        <f>"Ferenczi Alex"</f>
        <v>Ferenczi Alex</v>
      </c>
      <c r="K1009" t="str">
        <f>"Borza Dojo"</f>
        <v>Borza Dojo</v>
      </c>
      <c r="L1009" t="str">
        <f t="shared" si="189"/>
        <v>HUN</v>
      </c>
      <c r="M1009">
        <v>1</v>
      </c>
      <c r="O1009" s="83" t="s">
        <v>243</v>
      </c>
      <c r="P1009" s="78">
        <v>45451</v>
      </c>
      <c r="Q1009" t="str">
        <f t="shared" si="182"/>
        <v>Ferenczi Alex - Borza Dojo</v>
      </c>
      <c r="R1009" t="s">
        <v>637</v>
      </c>
      <c r="S1009" t="s">
        <v>597</v>
      </c>
      <c r="T1009" t="s">
        <v>644</v>
      </c>
    </row>
    <row r="1010" spans="1:20" x14ac:dyDescent="0.3">
      <c r="A1010" s="2" t="s">
        <v>611</v>
      </c>
      <c r="B1010" s="50" t="s">
        <v>612</v>
      </c>
      <c r="C1010">
        <v>122</v>
      </c>
      <c r="D1010" t="str">
        <f t="shared" si="178"/>
        <v>Kumite</v>
      </c>
      <c r="E1010" t="str">
        <f>"Kumite, -, 80-90 kg, Felnőtt (19-99"</f>
        <v>Kumite, -, 80-90 kg, Felnőtt (19-99</v>
      </c>
      <c r="F1010" t="s">
        <v>486</v>
      </c>
      <c r="G1010" s="50" t="str">
        <f>"4"</f>
        <v>4</v>
      </c>
      <c r="H1010" t="str">
        <f>"4 fős körmérkőzés"</f>
        <v>4 fős körmérkőzés</v>
      </c>
      <c r="I1010" s="50" t="str">
        <f>"1"</f>
        <v>1</v>
      </c>
      <c r="J1010" t="str">
        <f>"Béres Sándor"</f>
        <v>Béres Sándor</v>
      </c>
      <c r="K1010" t="str">
        <f>"KHSE"</f>
        <v>KHSE</v>
      </c>
      <c r="L1010" t="str">
        <f t="shared" si="189"/>
        <v>HUN</v>
      </c>
      <c r="M1010">
        <v>3</v>
      </c>
      <c r="O1010" s="83" t="s">
        <v>243</v>
      </c>
      <c r="P1010" s="78">
        <v>45451</v>
      </c>
      <c r="Q1010" t="str">
        <f t="shared" si="182"/>
        <v>Béres Sándor - KHSE</v>
      </c>
      <c r="R1010" t="s">
        <v>636</v>
      </c>
      <c r="S1010" t="s">
        <v>636</v>
      </c>
      <c r="T1010" t="s">
        <v>644</v>
      </c>
    </row>
    <row r="1011" spans="1:20" x14ac:dyDescent="0.3">
      <c r="A1011" s="2" t="s">
        <v>611</v>
      </c>
      <c r="B1011" s="50" t="s">
        <v>612</v>
      </c>
      <c r="C1011">
        <v>123</v>
      </c>
      <c r="D1011" t="str">
        <f t="shared" si="178"/>
        <v>Kumite</v>
      </c>
      <c r="E1011" t="str">
        <f>"Kumite, -, 80-90 kg, Felnőtt (19-99"</f>
        <v>Kumite, -, 80-90 kg, Felnőtt (19-99</v>
      </c>
      <c r="F1011" t="s">
        <v>486</v>
      </c>
      <c r="G1011" s="50" t="str">
        <f>"4"</f>
        <v>4</v>
      </c>
      <c r="H1011" t="str">
        <f>"4 fős körmérkőzés"</f>
        <v>4 fős körmérkőzés</v>
      </c>
      <c r="I1011" s="50" t="str">
        <f>"2"</f>
        <v>2</v>
      </c>
      <c r="J1011" t="str">
        <f>"Erdős Szabolcs"</f>
        <v>Erdős Szabolcs</v>
      </c>
      <c r="K1011" t="str">
        <f>"MSKKE Tokaj"</f>
        <v>MSKKE Tokaj</v>
      </c>
      <c r="L1011" t="str">
        <f t="shared" si="189"/>
        <v>HUN</v>
      </c>
      <c r="M1011">
        <v>2</v>
      </c>
      <c r="O1011" s="83" t="s">
        <v>243</v>
      </c>
      <c r="P1011" s="78">
        <v>45451</v>
      </c>
      <c r="Q1011" t="str">
        <f t="shared" si="182"/>
        <v>Erdős Szabolcs - MSKKE Tokaj</v>
      </c>
      <c r="R1011" t="s">
        <v>637</v>
      </c>
      <c r="S1011" t="s">
        <v>636</v>
      </c>
      <c r="T1011" t="s">
        <v>644</v>
      </c>
    </row>
    <row r="1012" spans="1:20" x14ac:dyDescent="0.3">
      <c r="A1012" s="2" t="s">
        <v>611</v>
      </c>
      <c r="B1012" s="50" t="s">
        <v>612</v>
      </c>
      <c r="C1012">
        <v>124</v>
      </c>
      <c r="D1012" t="str">
        <f t="shared" si="178"/>
        <v>Kumite</v>
      </c>
      <c r="E1012" t="str">
        <f>"Kumite, -, 80-90 kg, Felnőtt (19-99"</f>
        <v>Kumite, -, 80-90 kg, Felnőtt (19-99</v>
      </c>
      <c r="F1012" t="s">
        <v>486</v>
      </c>
      <c r="G1012" s="50" t="str">
        <f>"4"</f>
        <v>4</v>
      </c>
      <c r="H1012" t="str">
        <f>"4 fős körmérkőzés"</f>
        <v>4 fős körmérkőzés</v>
      </c>
      <c r="I1012" s="50" t="str">
        <f>"3"</f>
        <v>3</v>
      </c>
      <c r="J1012" t="str">
        <f>"Hamar Levente"</f>
        <v>Hamar Levente</v>
      </c>
      <c r="K1012" t="str">
        <f>"KHSE"</f>
        <v>KHSE</v>
      </c>
      <c r="L1012" t="str">
        <f t="shared" si="189"/>
        <v>HUN</v>
      </c>
      <c r="M1012">
        <v>1</v>
      </c>
      <c r="O1012" s="83" t="s">
        <v>243</v>
      </c>
      <c r="P1012" s="78">
        <v>45451</v>
      </c>
      <c r="Q1012" t="str">
        <f t="shared" si="182"/>
        <v>Hamar Levente - KHSE</v>
      </c>
      <c r="R1012" t="s">
        <v>636</v>
      </c>
      <c r="S1012" t="s">
        <v>636</v>
      </c>
      <c r="T1012" t="s">
        <v>644</v>
      </c>
    </row>
    <row r="1013" spans="1:20" x14ac:dyDescent="0.3">
      <c r="A1013" s="2" t="s">
        <v>611</v>
      </c>
      <c r="B1013" s="50" t="s">
        <v>612</v>
      </c>
      <c r="C1013">
        <v>125</v>
      </c>
      <c r="D1013" t="str">
        <f t="shared" si="178"/>
        <v>Kumite</v>
      </c>
      <c r="E1013" t="str">
        <f>"Kumite, -, 54-59 kg, Felnőtt (19-99"</f>
        <v>Kumite, -, 54-59 kg, Felnőtt (19-99</v>
      </c>
      <c r="F1013" t="s">
        <v>491</v>
      </c>
      <c r="G1013" s="50" t="str">
        <f>"2"</f>
        <v>2</v>
      </c>
      <c r="H1013" t="str">
        <f>"2 fős egyenes kiesés"</f>
        <v>2 fős egyenes kiesés</v>
      </c>
      <c r="I1013" s="50" t="str">
        <f>"1"</f>
        <v>1</v>
      </c>
      <c r="J1013" t="str">
        <f>"Sharabi Maya"</f>
        <v>Sharabi Maya</v>
      </c>
      <c r="K1013" t="str">
        <f>"BHMSE"</f>
        <v>BHMSE</v>
      </c>
      <c r="L1013" t="str">
        <f t="shared" si="189"/>
        <v>HUN</v>
      </c>
      <c r="M1013">
        <v>1</v>
      </c>
      <c r="O1013" s="83" t="s">
        <v>243</v>
      </c>
      <c r="P1013" s="78">
        <v>45451</v>
      </c>
      <c r="Q1013" t="str">
        <f t="shared" si="182"/>
        <v>Sharabi Maya - BHMSE</v>
      </c>
      <c r="R1013" t="s">
        <v>636</v>
      </c>
      <c r="S1013" t="s">
        <v>636</v>
      </c>
      <c r="T1013" t="s">
        <v>644</v>
      </c>
    </row>
    <row r="1014" spans="1:20" x14ac:dyDescent="0.3">
      <c r="A1014" s="2" t="s">
        <v>611</v>
      </c>
      <c r="B1014" s="50" t="s">
        <v>612</v>
      </c>
      <c r="C1014">
        <v>126</v>
      </c>
      <c r="D1014" t="str">
        <f t="shared" si="178"/>
        <v>Kumite</v>
      </c>
      <c r="E1014" t="str">
        <f>"Kumite, -, 54-59 kg, Felnőtt (19-99"</f>
        <v>Kumite, -, 54-59 kg, Felnőtt (19-99</v>
      </c>
      <c r="F1014" t="s">
        <v>491</v>
      </c>
      <c r="G1014" s="50" t="str">
        <f>"2"</f>
        <v>2</v>
      </c>
      <c r="H1014" t="str">
        <f>"2 fős egyenes kiesés"</f>
        <v>2 fős egyenes kiesés</v>
      </c>
      <c r="I1014" s="50" t="str">
        <f>"2"</f>
        <v>2</v>
      </c>
      <c r="J1014" t="str">
        <f>"Nemes Nikolett"</f>
        <v>Nemes Nikolett</v>
      </c>
      <c r="K1014" t="str">
        <f>"Fighter SE - Miskolc"</f>
        <v>Fighter SE - Miskolc</v>
      </c>
      <c r="L1014" t="str">
        <f t="shared" si="189"/>
        <v>HUN</v>
      </c>
      <c r="M1014">
        <v>0</v>
      </c>
      <c r="O1014" s="83" t="s">
        <v>243</v>
      </c>
      <c r="P1014" s="78">
        <v>45451</v>
      </c>
      <c r="Q1014" t="str">
        <f t="shared" si="182"/>
        <v>Nemes Nikolett - Fighter SE - Miskolc</v>
      </c>
      <c r="R1014" t="s">
        <v>637</v>
      </c>
      <c r="S1014" t="s">
        <v>597</v>
      </c>
      <c r="T1014" t="s">
        <v>644</v>
      </c>
    </row>
    <row r="1015" spans="1:20" x14ac:dyDescent="0.3">
      <c r="A1015" s="2" t="s">
        <v>611</v>
      </c>
      <c r="B1015" s="50">
        <v>2</v>
      </c>
      <c r="C1015">
        <v>127</v>
      </c>
      <c r="D1015" t="s">
        <v>126</v>
      </c>
      <c r="E1015" t="s">
        <v>548</v>
      </c>
      <c r="F1015" t="s">
        <v>548</v>
      </c>
      <c r="G1015" s="50">
        <v>5</v>
      </c>
      <c r="H1015" t="s">
        <v>620</v>
      </c>
      <c r="I1015" s="50">
        <v>1</v>
      </c>
      <c r="J1015" t="s">
        <v>621</v>
      </c>
      <c r="K1015" t="s">
        <v>14</v>
      </c>
      <c r="L1015" t="str">
        <f t="shared" si="189"/>
        <v>HUN</v>
      </c>
      <c r="M1015">
        <v>5</v>
      </c>
      <c r="O1015" s="83" t="s">
        <v>243</v>
      </c>
      <c r="P1015" s="78">
        <v>45451</v>
      </c>
      <c r="Q1015" t="str">
        <f t="shared" si="182"/>
        <v>Terbócs Roland - Shogun</v>
      </c>
      <c r="R1015" t="s">
        <v>636</v>
      </c>
      <c r="S1015" t="s">
        <v>636</v>
      </c>
      <c r="T1015" t="s">
        <v>645</v>
      </c>
    </row>
    <row r="1016" spans="1:20" x14ac:dyDescent="0.3">
      <c r="A1016" s="2" t="s">
        <v>611</v>
      </c>
      <c r="B1016" s="50">
        <v>2</v>
      </c>
      <c r="C1016">
        <v>128</v>
      </c>
      <c r="D1016" t="s">
        <v>126</v>
      </c>
      <c r="E1016" t="s">
        <v>548</v>
      </c>
      <c r="F1016" t="s">
        <v>548</v>
      </c>
      <c r="G1016" s="50">
        <v>5</v>
      </c>
      <c r="H1016" t="s">
        <v>620</v>
      </c>
      <c r="I1016" s="50">
        <v>2</v>
      </c>
      <c r="J1016" t="s">
        <v>586</v>
      </c>
      <c r="K1016" t="s">
        <v>14</v>
      </c>
      <c r="L1016" t="str">
        <f t="shared" si="189"/>
        <v>HUN</v>
      </c>
      <c r="M1016">
        <v>4</v>
      </c>
      <c r="O1016" s="83" t="s">
        <v>243</v>
      </c>
      <c r="P1016" s="78">
        <v>45451</v>
      </c>
      <c r="Q1016" t="str">
        <f t="shared" si="182"/>
        <v>Bessenyei Csongor - Shogun</v>
      </c>
      <c r="R1016" t="s">
        <v>636</v>
      </c>
      <c r="S1016" t="s">
        <v>636</v>
      </c>
      <c r="T1016" t="s">
        <v>645</v>
      </c>
    </row>
    <row r="1017" spans="1:20" x14ac:dyDescent="0.3">
      <c r="A1017" s="2" t="s">
        <v>611</v>
      </c>
      <c r="B1017" s="50">
        <v>2</v>
      </c>
      <c r="C1017">
        <v>129</v>
      </c>
      <c r="D1017" t="s">
        <v>126</v>
      </c>
      <c r="E1017" t="s">
        <v>548</v>
      </c>
      <c r="F1017" t="s">
        <v>548</v>
      </c>
      <c r="G1017" s="50">
        <v>5</v>
      </c>
      <c r="H1017" t="s">
        <v>620</v>
      </c>
      <c r="I1017" s="50">
        <v>3</v>
      </c>
      <c r="J1017" t="s">
        <v>622</v>
      </c>
      <c r="K1017" t="s">
        <v>149</v>
      </c>
      <c r="L1017" t="str">
        <f t="shared" si="189"/>
        <v>HUN</v>
      </c>
      <c r="M1017">
        <v>2</v>
      </c>
      <c r="O1017" s="83" t="s">
        <v>243</v>
      </c>
      <c r="P1017" s="78">
        <v>45451</v>
      </c>
      <c r="Q1017" t="str">
        <f t="shared" si="182"/>
        <v>Nagy Richárd - Kagami</v>
      </c>
      <c r="R1017" t="s">
        <v>636</v>
      </c>
      <c r="S1017" t="s">
        <v>636</v>
      </c>
      <c r="T1017" t="s">
        <v>645</v>
      </c>
    </row>
    <row r="1018" spans="1:20" x14ac:dyDescent="0.3">
      <c r="A1018" s="2" t="s">
        <v>611</v>
      </c>
      <c r="B1018" s="50">
        <v>2</v>
      </c>
      <c r="C1018">
        <v>130</v>
      </c>
      <c r="D1018" t="s">
        <v>126</v>
      </c>
      <c r="E1018" t="s">
        <v>549</v>
      </c>
      <c r="F1018" t="s">
        <v>549</v>
      </c>
      <c r="G1018" s="50">
        <v>6</v>
      </c>
      <c r="H1018" t="s">
        <v>624</v>
      </c>
      <c r="I1018" s="50">
        <v>1</v>
      </c>
      <c r="J1018" t="s">
        <v>623</v>
      </c>
      <c r="K1018" t="s">
        <v>149</v>
      </c>
      <c r="L1018" t="str">
        <f t="shared" si="189"/>
        <v>HUN</v>
      </c>
      <c r="M1018">
        <v>5</v>
      </c>
      <c r="O1018" s="83" t="s">
        <v>243</v>
      </c>
      <c r="P1018" s="78">
        <v>45451</v>
      </c>
      <c r="Q1018" t="str">
        <f t="shared" si="182"/>
        <v>Gerő Hanna Gréta - Kagami</v>
      </c>
      <c r="R1018" t="s">
        <v>636</v>
      </c>
      <c r="S1018" t="s">
        <v>636</v>
      </c>
      <c r="T1018" t="s">
        <v>645</v>
      </c>
    </row>
    <row r="1019" spans="1:20" x14ac:dyDescent="0.3">
      <c r="A1019" s="2" t="s">
        <v>611</v>
      </c>
      <c r="B1019" s="50">
        <v>2</v>
      </c>
      <c r="C1019">
        <v>131</v>
      </c>
      <c r="D1019" t="s">
        <v>126</v>
      </c>
      <c r="E1019" t="s">
        <v>549</v>
      </c>
      <c r="F1019" t="s">
        <v>549</v>
      </c>
      <c r="G1019" s="50">
        <v>6</v>
      </c>
      <c r="H1019" t="s">
        <v>624</v>
      </c>
      <c r="I1019" s="50">
        <v>2</v>
      </c>
      <c r="J1019" t="s">
        <v>478</v>
      </c>
      <c r="K1019" t="s">
        <v>14</v>
      </c>
      <c r="L1019" t="str">
        <f t="shared" si="189"/>
        <v>HUN</v>
      </c>
      <c r="M1019">
        <v>4</v>
      </c>
      <c r="O1019" s="83" t="s">
        <v>243</v>
      </c>
      <c r="P1019" s="78">
        <v>45451</v>
      </c>
      <c r="Q1019" t="str">
        <f t="shared" si="182"/>
        <v>Szutor Anna - Shogun</v>
      </c>
      <c r="R1019" t="s">
        <v>636</v>
      </c>
      <c r="S1019" t="s">
        <v>636</v>
      </c>
      <c r="T1019" t="s">
        <v>645</v>
      </c>
    </row>
    <row r="1020" spans="1:20" x14ac:dyDescent="0.3">
      <c r="A1020" s="2" t="s">
        <v>611</v>
      </c>
      <c r="B1020" s="50">
        <v>2</v>
      </c>
      <c r="C1020">
        <v>132</v>
      </c>
      <c r="D1020" t="s">
        <v>126</v>
      </c>
      <c r="E1020" t="s">
        <v>549</v>
      </c>
      <c r="F1020" t="s">
        <v>549</v>
      </c>
      <c r="G1020" s="50">
        <v>6</v>
      </c>
      <c r="H1020" t="s">
        <v>624</v>
      </c>
      <c r="I1020" s="50">
        <v>3</v>
      </c>
      <c r="J1020" t="s">
        <v>461</v>
      </c>
      <c r="K1020" t="s">
        <v>14</v>
      </c>
      <c r="L1020" t="str">
        <f t="shared" si="189"/>
        <v>HUN</v>
      </c>
      <c r="M1020">
        <v>2</v>
      </c>
      <c r="O1020" s="83" t="s">
        <v>243</v>
      </c>
      <c r="P1020" s="78">
        <v>45451</v>
      </c>
      <c r="Q1020" t="str">
        <f t="shared" si="182"/>
        <v>Szabó Petra - Shogun</v>
      </c>
      <c r="R1020" t="s">
        <v>636</v>
      </c>
      <c r="S1020" t="s">
        <v>636</v>
      </c>
      <c r="T1020" t="s">
        <v>645</v>
      </c>
    </row>
    <row r="1021" spans="1:20" x14ac:dyDescent="0.3">
      <c r="A1021" s="2" t="s">
        <v>611</v>
      </c>
      <c r="B1021" s="50">
        <v>2</v>
      </c>
      <c r="C1021">
        <v>133</v>
      </c>
      <c r="D1021" t="s">
        <v>126</v>
      </c>
      <c r="E1021" t="s">
        <v>503</v>
      </c>
      <c r="F1021" t="s">
        <v>503</v>
      </c>
      <c r="G1021" s="50">
        <v>7</v>
      </c>
      <c r="H1021" t="s">
        <v>625</v>
      </c>
      <c r="I1021" s="50">
        <v>1</v>
      </c>
      <c r="J1021" t="s">
        <v>626</v>
      </c>
      <c r="K1021" t="s">
        <v>627</v>
      </c>
      <c r="L1021" t="s">
        <v>628</v>
      </c>
      <c r="M1021">
        <v>5</v>
      </c>
      <c r="O1021" s="83" t="s">
        <v>243</v>
      </c>
      <c r="P1021" s="78">
        <v>45451</v>
      </c>
      <c r="Q1021" t="str">
        <f t="shared" si="182"/>
        <v>Ciobanu Rianna - FRKK</v>
      </c>
      <c r="R1021" t="s">
        <v>637</v>
      </c>
      <c r="S1021" t="s">
        <v>628</v>
      </c>
      <c r="T1021" t="s">
        <v>645</v>
      </c>
    </row>
    <row r="1022" spans="1:20" x14ac:dyDescent="0.3">
      <c r="A1022" s="2" t="s">
        <v>611</v>
      </c>
      <c r="B1022" s="50">
        <v>2</v>
      </c>
      <c r="C1022">
        <v>134</v>
      </c>
      <c r="D1022" t="s">
        <v>126</v>
      </c>
      <c r="E1022" t="s">
        <v>503</v>
      </c>
      <c r="F1022" t="s">
        <v>503</v>
      </c>
      <c r="G1022" s="50">
        <v>7</v>
      </c>
      <c r="H1022" t="s">
        <v>625</v>
      </c>
      <c r="I1022" s="50">
        <v>2</v>
      </c>
      <c r="J1022" t="s">
        <v>131</v>
      </c>
      <c r="K1022" t="s">
        <v>149</v>
      </c>
      <c r="L1022" t="str">
        <f t="shared" si="189"/>
        <v>HUN</v>
      </c>
      <c r="M1022">
        <v>4</v>
      </c>
      <c r="O1022" s="83" t="s">
        <v>243</v>
      </c>
      <c r="P1022" s="78">
        <v>45451</v>
      </c>
      <c r="Q1022" t="str">
        <f t="shared" si="182"/>
        <v>Berényi Lujza Beatrix - Kagami</v>
      </c>
      <c r="R1022" t="s">
        <v>636</v>
      </c>
      <c r="S1022" t="s">
        <v>636</v>
      </c>
      <c r="T1022" t="s">
        <v>645</v>
      </c>
    </row>
    <row r="1023" spans="1:20" x14ac:dyDescent="0.3">
      <c r="A1023" s="2" t="s">
        <v>611</v>
      </c>
      <c r="B1023" s="50">
        <v>2</v>
      </c>
      <c r="C1023">
        <v>135</v>
      </c>
      <c r="D1023" t="s">
        <v>126</v>
      </c>
      <c r="E1023" t="s">
        <v>503</v>
      </c>
      <c r="F1023" t="s">
        <v>503</v>
      </c>
      <c r="G1023" s="50">
        <v>7</v>
      </c>
      <c r="H1023" t="s">
        <v>625</v>
      </c>
      <c r="I1023" s="50">
        <v>3</v>
      </c>
      <c r="J1023" t="s">
        <v>132</v>
      </c>
      <c r="K1023" t="s">
        <v>149</v>
      </c>
      <c r="L1023" t="str">
        <f t="shared" si="189"/>
        <v>HUN</v>
      </c>
      <c r="M1023">
        <v>2</v>
      </c>
      <c r="O1023" s="83" t="s">
        <v>243</v>
      </c>
      <c r="P1023" s="78">
        <v>45451</v>
      </c>
      <c r="Q1023" t="str">
        <f t="shared" si="182"/>
        <v>Arnódi Gréta Bernadette - Kagami</v>
      </c>
      <c r="R1023" t="s">
        <v>636</v>
      </c>
      <c r="S1023" t="s">
        <v>636</v>
      </c>
      <c r="T1023" t="s">
        <v>645</v>
      </c>
    </row>
    <row r="1024" spans="1:20" x14ac:dyDescent="0.3">
      <c r="A1024" s="2" t="s">
        <v>611</v>
      </c>
      <c r="B1024" s="50">
        <v>2</v>
      </c>
      <c r="C1024">
        <v>136</v>
      </c>
      <c r="D1024" t="s">
        <v>126</v>
      </c>
      <c r="E1024" t="s">
        <v>503</v>
      </c>
      <c r="F1024" t="s">
        <v>503</v>
      </c>
      <c r="G1024" s="50">
        <v>7</v>
      </c>
      <c r="H1024" t="s">
        <v>625</v>
      </c>
      <c r="I1024" s="50">
        <v>4</v>
      </c>
      <c r="J1024" t="s">
        <v>133</v>
      </c>
      <c r="K1024" t="s">
        <v>35</v>
      </c>
      <c r="L1024" t="str">
        <f t="shared" si="189"/>
        <v>HUN</v>
      </c>
      <c r="M1024">
        <v>1</v>
      </c>
      <c r="O1024" s="83" t="s">
        <v>243</v>
      </c>
      <c r="P1024" s="78">
        <v>45451</v>
      </c>
      <c r="Q1024" t="str">
        <f t="shared" si="182"/>
        <v>Jernyei Nikolett - KHSE</v>
      </c>
      <c r="R1024" t="s">
        <v>636</v>
      </c>
      <c r="S1024" t="s">
        <v>636</v>
      </c>
      <c r="T1024" t="s">
        <v>645</v>
      </c>
    </row>
    <row r="1025" spans="1:20" x14ac:dyDescent="0.3">
      <c r="A1025" s="2" t="s">
        <v>611</v>
      </c>
      <c r="B1025" s="50">
        <v>2</v>
      </c>
      <c r="C1025">
        <v>137</v>
      </c>
      <c r="D1025" t="s">
        <v>126</v>
      </c>
      <c r="E1025" t="s">
        <v>495</v>
      </c>
      <c r="F1025" t="s">
        <v>495</v>
      </c>
      <c r="G1025" s="50">
        <v>3</v>
      </c>
      <c r="H1025" t="s">
        <v>629</v>
      </c>
      <c r="I1025" s="50">
        <v>1</v>
      </c>
      <c r="J1025" t="s">
        <v>147</v>
      </c>
      <c r="K1025" t="s">
        <v>39</v>
      </c>
      <c r="L1025" t="str">
        <f t="shared" si="189"/>
        <v>HUN</v>
      </c>
      <c r="M1025">
        <v>5</v>
      </c>
      <c r="N1025" t="s">
        <v>630</v>
      </c>
      <c r="O1025" s="83" t="s">
        <v>243</v>
      </c>
      <c r="P1025" s="78">
        <v>45451</v>
      </c>
      <c r="Q1025" t="str">
        <f t="shared" si="182"/>
        <v>Bendiák Soma - Bendiák Dojo</v>
      </c>
      <c r="R1025" t="s">
        <v>636</v>
      </c>
      <c r="S1025" t="s">
        <v>636</v>
      </c>
      <c r="T1025" t="s">
        <v>644</v>
      </c>
    </row>
    <row r="1026" spans="1:20" x14ac:dyDescent="0.3">
      <c r="A1026" s="2" t="s">
        <v>611</v>
      </c>
      <c r="B1026" s="50">
        <v>2</v>
      </c>
      <c r="C1026">
        <v>138</v>
      </c>
      <c r="D1026" t="s">
        <v>126</v>
      </c>
      <c r="E1026" t="s">
        <v>495</v>
      </c>
      <c r="F1026" t="s">
        <v>495</v>
      </c>
      <c r="G1026" s="50">
        <v>3</v>
      </c>
      <c r="H1026" t="s">
        <v>629</v>
      </c>
      <c r="I1026" s="50">
        <v>2</v>
      </c>
      <c r="J1026" t="s">
        <v>148</v>
      </c>
      <c r="K1026" t="s">
        <v>150</v>
      </c>
      <c r="L1026" t="str">
        <f t="shared" si="189"/>
        <v>HUN</v>
      </c>
      <c r="M1026">
        <v>4</v>
      </c>
      <c r="N1026" t="s">
        <v>630</v>
      </c>
      <c r="O1026" s="83" t="s">
        <v>243</v>
      </c>
      <c r="P1026" s="78">
        <v>45451</v>
      </c>
      <c r="Q1026" t="str">
        <f t="shared" si="182"/>
        <v>Andrikó Antal - KSE Tarján</v>
      </c>
      <c r="R1026" t="s">
        <v>636</v>
      </c>
      <c r="S1026" t="s">
        <v>636</v>
      </c>
      <c r="T1026" t="s">
        <v>644</v>
      </c>
    </row>
    <row r="1027" spans="1:20" x14ac:dyDescent="0.3">
      <c r="A1027" s="2" t="s">
        <v>611</v>
      </c>
      <c r="B1027" s="50">
        <v>2</v>
      </c>
      <c r="C1027">
        <v>139</v>
      </c>
      <c r="D1027" t="s">
        <v>126</v>
      </c>
      <c r="E1027" t="s">
        <v>494</v>
      </c>
      <c r="F1027" t="s">
        <v>494</v>
      </c>
      <c r="G1027" s="50">
        <v>3</v>
      </c>
      <c r="H1027" t="s">
        <v>629</v>
      </c>
      <c r="I1027" s="50">
        <v>3</v>
      </c>
      <c r="J1027" t="s">
        <v>107</v>
      </c>
      <c r="K1027" t="s">
        <v>35</v>
      </c>
      <c r="L1027" t="str">
        <f t="shared" si="189"/>
        <v>HUN</v>
      </c>
      <c r="M1027">
        <v>2</v>
      </c>
      <c r="N1027" t="s">
        <v>630</v>
      </c>
      <c r="O1027" s="83" t="s">
        <v>243</v>
      </c>
      <c r="P1027" s="78">
        <v>45451</v>
      </c>
      <c r="Q1027" t="str">
        <f t="shared" si="182"/>
        <v>Litvák Lili - KHSE</v>
      </c>
      <c r="R1027" t="s">
        <v>636</v>
      </c>
      <c r="S1027" t="s">
        <v>636</v>
      </c>
      <c r="T1027" t="s">
        <v>644</v>
      </c>
    </row>
    <row r="1028" spans="1:20" s="102" customFormat="1" x14ac:dyDescent="0.3">
      <c r="A1028" s="100" t="s">
        <v>611</v>
      </c>
      <c r="B1028" s="101">
        <v>1</v>
      </c>
      <c r="C1028" s="102">
        <v>140</v>
      </c>
      <c r="D1028" s="102" t="s">
        <v>126</v>
      </c>
      <c r="E1028" s="102" t="s">
        <v>607</v>
      </c>
      <c r="F1028" s="102" t="s">
        <v>607</v>
      </c>
      <c r="G1028" s="101">
        <v>2</v>
      </c>
      <c r="H1028" s="102" t="str">
        <f t="shared" ref="H1028:H1029" si="190">"2 fős egyenes kiesés"</f>
        <v>2 fős egyenes kiesés</v>
      </c>
      <c r="I1028" s="103">
        <v>1</v>
      </c>
      <c r="J1028" s="102" t="s">
        <v>610</v>
      </c>
      <c r="K1028" s="102" t="s">
        <v>149</v>
      </c>
      <c r="L1028" s="102" t="s">
        <v>12</v>
      </c>
      <c r="M1028" s="102">
        <v>0</v>
      </c>
      <c r="N1028" s="99" t="s">
        <v>638</v>
      </c>
      <c r="O1028" s="102" t="s">
        <v>243</v>
      </c>
      <c r="P1028" s="104">
        <v>45451</v>
      </c>
      <c r="Q1028" s="102" t="str">
        <f t="shared" si="182"/>
        <v>Arnódi Gréta Bernadette, Kollár Nóra, Berényi Lujza Beatrix - Kagami</v>
      </c>
      <c r="R1028" s="102" t="s">
        <v>636</v>
      </c>
      <c r="S1028" s="102" t="s">
        <v>636</v>
      </c>
      <c r="T1028" t="s">
        <v>645</v>
      </c>
    </row>
    <row r="1029" spans="1:20" s="108" customFormat="1" x14ac:dyDescent="0.3">
      <c r="A1029" s="106" t="s">
        <v>611</v>
      </c>
      <c r="B1029" s="107">
        <v>2</v>
      </c>
      <c r="C1029" s="108">
        <v>141</v>
      </c>
      <c r="D1029" s="108" t="s">
        <v>126</v>
      </c>
      <c r="E1029" s="108" t="s">
        <v>607</v>
      </c>
      <c r="F1029" s="108" t="s">
        <v>607</v>
      </c>
      <c r="G1029" s="107">
        <v>2</v>
      </c>
      <c r="H1029" s="108" t="str">
        <f t="shared" si="190"/>
        <v>2 fős egyenes kiesés</v>
      </c>
      <c r="I1029" s="107">
        <v>2</v>
      </c>
      <c r="J1029" s="108" t="s">
        <v>631</v>
      </c>
      <c r="K1029" s="108" t="s">
        <v>149</v>
      </c>
      <c r="L1029" s="108" t="s">
        <v>12</v>
      </c>
      <c r="M1029" s="108">
        <v>0</v>
      </c>
      <c r="N1029" s="109" t="s">
        <v>632</v>
      </c>
      <c r="O1029" s="108" t="s">
        <v>243</v>
      </c>
      <c r="P1029" s="110">
        <v>45451</v>
      </c>
      <c r="Q1029" s="108" t="str">
        <f t="shared" si="182"/>
        <v>nem ismert - Kagami</v>
      </c>
      <c r="R1029" s="108" t="s">
        <v>636</v>
      </c>
      <c r="S1029" s="108" t="s">
        <v>636</v>
      </c>
      <c r="T1029" s="111" t="s">
        <v>645</v>
      </c>
    </row>
    <row r="1030" spans="1:20" x14ac:dyDescent="0.3">
      <c r="A1030" s="2" t="s">
        <v>646</v>
      </c>
      <c r="B1030" s="50">
        <v>2</v>
      </c>
      <c r="C1030">
        <v>1</v>
      </c>
      <c r="D1030" t="str">
        <f>"Kata"</f>
        <v>Kata</v>
      </c>
      <c r="E1030" t="str">
        <f>"Kata, Ifjúsági férfi"</f>
        <v>Kata, Ifjúsági férfi</v>
      </c>
      <c r="F1030" t="s">
        <v>548</v>
      </c>
      <c r="G1030" t="str">
        <f>"6"</f>
        <v>6</v>
      </c>
      <c r="H1030" t="str">
        <f>"8 fős egyenes kiesés + 3. hely"</f>
        <v>8 fős egyenes kiesés + 3. hely</v>
      </c>
      <c r="I1030" t="str">
        <f>"1"</f>
        <v>1</v>
      </c>
      <c r="J1030" t="str">
        <f>"Bessenyei Csongor"</f>
        <v>Bessenyei Csongor</v>
      </c>
      <c r="K1030" t="str">
        <f>"Shogun"</f>
        <v>Shogun</v>
      </c>
      <c r="L1030" t="str">
        <f t="shared" ref="L1030:L1042" si="191">"HUN"</f>
        <v>HUN</v>
      </c>
      <c r="M1030">
        <v>5</v>
      </c>
      <c r="O1030" s="83" t="s">
        <v>647</v>
      </c>
      <c r="P1030" s="78">
        <v>45556</v>
      </c>
      <c r="Q1030" t="str">
        <f t="shared" si="182"/>
        <v>Bessenyei Csongor - Shogun</v>
      </c>
      <c r="R1030" t="s">
        <v>636</v>
      </c>
      <c r="S1030" t="s">
        <v>636</v>
      </c>
      <c r="T1030" t="s">
        <v>645</v>
      </c>
    </row>
    <row r="1031" spans="1:20" x14ac:dyDescent="0.3">
      <c r="A1031" s="2" t="s">
        <v>646</v>
      </c>
      <c r="B1031" s="50">
        <v>2</v>
      </c>
      <c r="C1031">
        <v>2</v>
      </c>
      <c r="D1031" t="str">
        <f>"Kata"</f>
        <v>Kata</v>
      </c>
      <c r="E1031" t="str">
        <f>"Kata, Ifjúsági férfi"</f>
        <v>Kata, Ifjúsági férfi</v>
      </c>
      <c r="F1031" t="s">
        <v>548</v>
      </c>
      <c r="G1031" t="str">
        <f>"6"</f>
        <v>6</v>
      </c>
      <c r="H1031" t="str">
        <f>"8 fős egyenes kiesés + 3. hely"</f>
        <v>8 fős egyenes kiesés + 3. hely</v>
      </c>
      <c r="I1031" t="str">
        <f>"2"</f>
        <v>2</v>
      </c>
      <c r="J1031" t="str">
        <f>"Nagy Richárd"</f>
        <v>Nagy Richárd</v>
      </c>
      <c r="K1031" t="str">
        <f>"Kagami"</f>
        <v>Kagami</v>
      </c>
      <c r="L1031" t="str">
        <f t="shared" si="191"/>
        <v>HUN</v>
      </c>
      <c r="M1031">
        <v>4</v>
      </c>
      <c r="O1031" s="83" t="s">
        <v>647</v>
      </c>
      <c r="P1031" s="78">
        <v>45556</v>
      </c>
      <c r="Q1031" t="str">
        <f t="shared" si="182"/>
        <v>Nagy Richárd - Kagami</v>
      </c>
      <c r="R1031" t="s">
        <v>636</v>
      </c>
      <c r="S1031" t="s">
        <v>636</v>
      </c>
      <c r="T1031" t="s">
        <v>645</v>
      </c>
    </row>
    <row r="1032" spans="1:20" x14ac:dyDescent="0.3">
      <c r="A1032" s="2" t="s">
        <v>646</v>
      </c>
      <c r="B1032" s="50">
        <v>2</v>
      </c>
      <c r="C1032">
        <v>3</v>
      </c>
      <c r="D1032" t="str">
        <f>"Kata"</f>
        <v>Kata</v>
      </c>
      <c r="E1032" t="str">
        <f>"Kata, Ifjúsági férfi"</f>
        <v>Kata, Ifjúsági férfi</v>
      </c>
      <c r="F1032" t="s">
        <v>548</v>
      </c>
      <c r="G1032" t="str">
        <f>"6"</f>
        <v>6</v>
      </c>
      <c r="H1032" t="str">
        <f>"8 fős egyenes kiesés + 3. hely"</f>
        <v>8 fős egyenes kiesés + 3. hely</v>
      </c>
      <c r="I1032" t="str">
        <f>"3"</f>
        <v>3</v>
      </c>
      <c r="J1032" t="str">
        <f>"Terbócs Roland"</f>
        <v>Terbócs Roland</v>
      </c>
      <c r="K1032" t="str">
        <f>"Shogun"</f>
        <v>Shogun</v>
      </c>
      <c r="L1032" t="str">
        <f t="shared" si="191"/>
        <v>HUN</v>
      </c>
      <c r="M1032">
        <v>2</v>
      </c>
      <c r="O1032" s="83" t="s">
        <v>647</v>
      </c>
      <c r="P1032" s="78">
        <v>45556</v>
      </c>
      <c r="Q1032" t="str">
        <f t="shared" si="182"/>
        <v>Terbócs Roland - Shogun</v>
      </c>
      <c r="R1032" t="s">
        <v>636</v>
      </c>
      <c r="S1032" t="s">
        <v>636</v>
      </c>
      <c r="T1032" t="s">
        <v>645</v>
      </c>
    </row>
    <row r="1033" spans="1:20" x14ac:dyDescent="0.3">
      <c r="A1033" s="2" t="s">
        <v>646</v>
      </c>
      <c r="B1033" s="50">
        <v>2</v>
      </c>
      <c r="C1033">
        <v>4</v>
      </c>
      <c r="D1033" t="str">
        <f>"Kata"</f>
        <v>Kata</v>
      </c>
      <c r="E1033" t="str">
        <f>"Kata, Ifjúsági férfi"</f>
        <v>Kata, Ifjúsági férfi</v>
      </c>
      <c r="F1033" t="s">
        <v>548</v>
      </c>
      <c r="G1033" t="str">
        <f>"6"</f>
        <v>6</v>
      </c>
      <c r="H1033" t="str">
        <f>"8 fős egyenes kiesés + 3. hely"</f>
        <v>8 fős egyenes kiesés + 3. hely</v>
      </c>
      <c r="I1033" t="str">
        <f>"4"</f>
        <v>4</v>
      </c>
      <c r="J1033" t="str">
        <f>"Vágó Márton"</f>
        <v>Vágó Márton</v>
      </c>
      <c r="K1033" t="str">
        <f>"Shogun"</f>
        <v>Shogun</v>
      </c>
      <c r="L1033" t="str">
        <f t="shared" si="191"/>
        <v>HUN</v>
      </c>
      <c r="M1033">
        <v>0</v>
      </c>
      <c r="N1033" t="s">
        <v>654</v>
      </c>
      <c r="O1033" s="83" t="s">
        <v>647</v>
      </c>
      <c r="P1033" s="78">
        <v>45556</v>
      </c>
      <c r="Q1033" t="str">
        <f t="shared" si="182"/>
        <v>Vágó Márton - Shogun</v>
      </c>
      <c r="R1033" t="s">
        <v>636</v>
      </c>
      <c r="S1033" t="s">
        <v>636</v>
      </c>
      <c r="T1033" t="s">
        <v>645</v>
      </c>
    </row>
    <row r="1034" spans="1:20" x14ac:dyDescent="0.3">
      <c r="A1034" s="2" t="s">
        <v>646</v>
      </c>
      <c r="B1034" s="50">
        <v>2</v>
      </c>
      <c r="C1034">
        <v>5</v>
      </c>
      <c r="D1034" t="str">
        <f t="shared" ref="D1034:D1079" si="192">"Kumite"</f>
        <v>Kumite</v>
      </c>
      <c r="E1034" t="str">
        <f>"Kumite, Ifi ffi 55 kg"</f>
        <v>Kumite, Ifi ffi 55 kg</v>
      </c>
      <c r="F1034" t="s">
        <v>542</v>
      </c>
      <c r="G1034" t="str">
        <f>"4"</f>
        <v>4</v>
      </c>
      <c r="H1034" t="str">
        <f>"4 fős körmérkőzés"</f>
        <v>4 fős körmérkőzés</v>
      </c>
      <c r="I1034" t="str">
        <f>"1"</f>
        <v>1</v>
      </c>
      <c r="J1034" t="str">
        <f>"Geiszt Márton"</f>
        <v>Geiszt Márton</v>
      </c>
      <c r="K1034" t="str">
        <f>"Főnix Dojo"</f>
        <v>Főnix Dojo</v>
      </c>
      <c r="L1034" t="str">
        <f t="shared" si="191"/>
        <v>HUN</v>
      </c>
      <c r="M1034">
        <v>6</v>
      </c>
      <c r="O1034" s="83" t="s">
        <v>647</v>
      </c>
      <c r="P1034" s="78">
        <v>45556</v>
      </c>
      <c r="Q1034" t="str">
        <f t="shared" si="182"/>
        <v>Geiszt Márton - Főnix Dojo</v>
      </c>
      <c r="R1034" t="s">
        <v>636</v>
      </c>
      <c r="S1034" t="s">
        <v>636</v>
      </c>
      <c r="T1034" t="s">
        <v>645</v>
      </c>
    </row>
    <row r="1035" spans="1:20" x14ac:dyDescent="0.3">
      <c r="A1035" s="2" t="s">
        <v>646</v>
      </c>
      <c r="B1035" s="50">
        <v>2</v>
      </c>
      <c r="C1035">
        <v>6</v>
      </c>
      <c r="D1035" t="str">
        <f t="shared" si="192"/>
        <v>Kumite</v>
      </c>
      <c r="E1035" t="str">
        <f>"Kumite, Ifi ffi 55 kg"</f>
        <v>Kumite, Ifi ffi 55 kg</v>
      </c>
      <c r="F1035" t="s">
        <v>542</v>
      </c>
      <c r="G1035" t="str">
        <f>"4"</f>
        <v>4</v>
      </c>
      <c r="H1035" t="str">
        <f>"4 fős körmérkőzés"</f>
        <v>4 fős körmérkőzés</v>
      </c>
      <c r="I1035" t="str">
        <f>"2"</f>
        <v>2</v>
      </c>
      <c r="J1035" t="str">
        <f>"ifj. Horváth Tamás"</f>
        <v>ifj. Horváth Tamás</v>
      </c>
      <c r="K1035" t="str">
        <f>"HARCOSOK KLUBJA"</f>
        <v>HARCOSOK KLUBJA</v>
      </c>
      <c r="L1035" t="str">
        <f t="shared" si="191"/>
        <v>HUN</v>
      </c>
      <c r="M1035">
        <v>5</v>
      </c>
      <c r="O1035" s="83" t="s">
        <v>647</v>
      </c>
      <c r="P1035" s="78">
        <v>45556</v>
      </c>
      <c r="Q1035" t="str">
        <f t="shared" si="182"/>
        <v>ifj. Horváth Tamás - HARCOSOK KLUBJA</v>
      </c>
      <c r="R1035" t="s">
        <v>636</v>
      </c>
      <c r="S1035" t="s">
        <v>636</v>
      </c>
      <c r="T1035" t="s">
        <v>645</v>
      </c>
    </row>
    <row r="1036" spans="1:20" x14ac:dyDescent="0.3">
      <c r="A1036" s="2" t="s">
        <v>646</v>
      </c>
      <c r="B1036" s="50">
        <v>2</v>
      </c>
      <c r="C1036">
        <v>7</v>
      </c>
      <c r="D1036" t="str">
        <f t="shared" si="192"/>
        <v>Kumite</v>
      </c>
      <c r="E1036" t="str">
        <f>"Kumite, Ifi ffi 55 kg"</f>
        <v>Kumite, Ifi ffi 55 kg</v>
      </c>
      <c r="F1036" t="s">
        <v>542</v>
      </c>
      <c r="G1036" t="str">
        <f>"4"</f>
        <v>4</v>
      </c>
      <c r="H1036" t="str">
        <f>"4 fős körmérkőzés"</f>
        <v>4 fős körmérkőzés</v>
      </c>
      <c r="I1036" t="str">
        <f>"3"</f>
        <v>3</v>
      </c>
      <c r="J1036" t="str">
        <f>"Nagy Péter"</f>
        <v>Nagy Péter</v>
      </c>
      <c r="K1036" t="str">
        <f>"KHSE"</f>
        <v>KHSE</v>
      </c>
      <c r="L1036" t="str">
        <f t="shared" si="191"/>
        <v>HUN</v>
      </c>
      <c r="M1036">
        <v>3</v>
      </c>
      <c r="O1036" s="83" t="s">
        <v>647</v>
      </c>
      <c r="P1036" s="78">
        <v>45556</v>
      </c>
      <c r="Q1036" t="str">
        <f t="shared" si="182"/>
        <v>Nagy Péter - KHSE</v>
      </c>
      <c r="R1036" t="s">
        <v>636</v>
      </c>
      <c r="S1036" t="s">
        <v>636</v>
      </c>
      <c r="T1036" t="s">
        <v>645</v>
      </c>
    </row>
    <row r="1037" spans="1:20" x14ac:dyDescent="0.3">
      <c r="A1037" s="2" t="s">
        <v>646</v>
      </c>
      <c r="B1037" s="50">
        <v>2</v>
      </c>
      <c r="C1037">
        <v>8</v>
      </c>
      <c r="D1037" t="str">
        <f t="shared" si="192"/>
        <v>Kumite</v>
      </c>
      <c r="E1037" t="str">
        <f>"Kumite, Ifi ffi 60 kg"</f>
        <v>Kumite, Ifi ffi 60 kg</v>
      </c>
      <c r="F1037" t="s">
        <v>544</v>
      </c>
      <c r="G1037" t="str">
        <f>"7"</f>
        <v>7</v>
      </c>
      <c r="H1037" t="str">
        <f>"8 fős egyenes kiesés"</f>
        <v>8 fős egyenes kiesés</v>
      </c>
      <c r="I1037" t="str">
        <f>"1"</f>
        <v>1</v>
      </c>
      <c r="J1037" t="str">
        <f>"Bacskai Bence"</f>
        <v>Bacskai Bence</v>
      </c>
      <c r="K1037" t="str">
        <f>"KHSE"</f>
        <v>KHSE</v>
      </c>
      <c r="L1037" t="str">
        <f t="shared" si="191"/>
        <v>HUN</v>
      </c>
      <c r="M1037">
        <v>6</v>
      </c>
      <c r="O1037" s="83" t="s">
        <v>647</v>
      </c>
      <c r="P1037" s="78">
        <v>45556</v>
      </c>
      <c r="Q1037" t="str">
        <f t="shared" ref="Q1037:Q1078" si="193">J1037&amp;" - "&amp;K1037</f>
        <v>Bacskai Bence - KHSE</v>
      </c>
      <c r="R1037" t="s">
        <v>636</v>
      </c>
      <c r="S1037" t="s">
        <v>636</v>
      </c>
      <c r="T1037" t="s">
        <v>645</v>
      </c>
    </row>
    <row r="1038" spans="1:20" x14ac:dyDescent="0.3">
      <c r="A1038" s="2" t="s">
        <v>646</v>
      </c>
      <c r="B1038" s="50">
        <v>2</v>
      </c>
      <c r="C1038">
        <v>9</v>
      </c>
      <c r="D1038" t="str">
        <f t="shared" si="192"/>
        <v>Kumite</v>
      </c>
      <c r="E1038" t="str">
        <f>"Kumite, Ifi ffi 60 kg"</f>
        <v>Kumite, Ifi ffi 60 kg</v>
      </c>
      <c r="F1038" t="s">
        <v>544</v>
      </c>
      <c r="G1038" t="str">
        <f>"7"</f>
        <v>7</v>
      </c>
      <c r="H1038" t="str">
        <f>"8 fős egyenes kiesés"</f>
        <v>8 fős egyenes kiesés</v>
      </c>
      <c r="I1038" t="str">
        <f>"2"</f>
        <v>2</v>
      </c>
      <c r="J1038" t="str">
        <f>"Fazakas Áprád"</f>
        <v>Fazakas Áprád</v>
      </c>
      <c r="K1038" t="str">
        <f>"HARCOSOK KLUBJA"</f>
        <v>HARCOSOK KLUBJA</v>
      </c>
      <c r="L1038" t="str">
        <f t="shared" si="191"/>
        <v>HUN</v>
      </c>
      <c r="M1038">
        <v>5</v>
      </c>
      <c r="O1038" s="83" t="s">
        <v>647</v>
      </c>
      <c r="P1038" s="78">
        <v>45556</v>
      </c>
      <c r="Q1038" t="str">
        <f t="shared" si="193"/>
        <v>Fazakas Áprád - HARCOSOK KLUBJA</v>
      </c>
      <c r="R1038" t="s">
        <v>636</v>
      </c>
      <c r="S1038" t="s">
        <v>636</v>
      </c>
      <c r="T1038" t="s">
        <v>645</v>
      </c>
    </row>
    <row r="1039" spans="1:20" x14ac:dyDescent="0.3">
      <c r="A1039" s="2" t="s">
        <v>646</v>
      </c>
      <c r="B1039" s="50">
        <v>2</v>
      </c>
      <c r="C1039">
        <v>10</v>
      </c>
      <c r="D1039" t="str">
        <f t="shared" si="192"/>
        <v>Kumite</v>
      </c>
      <c r="E1039" t="str">
        <f>"Kumite, Ifi ffi 60 kg"</f>
        <v>Kumite, Ifi ffi 60 kg</v>
      </c>
      <c r="F1039" t="s">
        <v>544</v>
      </c>
      <c r="G1039" t="str">
        <f>"7"</f>
        <v>7</v>
      </c>
      <c r="H1039" t="str">
        <f>"8 fős egyenes kiesés"</f>
        <v>8 fős egyenes kiesés</v>
      </c>
      <c r="I1039" t="str">
        <f>"3"</f>
        <v>3</v>
      </c>
      <c r="J1039" t="str">
        <f>"Serfőző Zalán"</f>
        <v>Serfőző Zalán</v>
      </c>
      <c r="K1039" t="str">
        <f>"Castrum"</f>
        <v>Castrum</v>
      </c>
      <c r="L1039" t="str">
        <f t="shared" si="191"/>
        <v>HUN</v>
      </c>
      <c r="M1039">
        <v>3</v>
      </c>
      <c r="O1039" s="83" t="s">
        <v>647</v>
      </c>
      <c r="P1039" s="78">
        <v>45556</v>
      </c>
      <c r="Q1039" t="str">
        <f t="shared" si="193"/>
        <v>Serfőző Zalán - Castrum</v>
      </c>
      <c r="R1039" t="s">
        <v>636</v>
      </c>
      <c r="S1039" t="s">
        <v>636</v>
      </c>
      <c r="T1039" t="s">
        <v>645</v>
      </c>
    </row>
    <row r="1040" spans="1:20" x14ac:dyDescent="0.3">
      <c r="A1040" s="2" t="s">
        <v>646</v>
      </c>
      <c r="B1040" s="50">
        <v>2</v>
      </c>
      <c r="C1040">
        <v>11</v>
      </c>
      <c r="D1040" t="str">
        <f t="shared" si="192"/>
        <v>Kumite</v>
      </c>
      <c r="E1040" t="str">
        <f>"Kumite, Ifi ffi 60 kg"</f>
        <v>Kumite, Ifi ffi 60 kg</v>
      </c>
      <c r="F1040" t="s">
        <v>544</v>
      </c>
      <c r="G1040" t="str">
        <f>"7"</f>
        <v>7</v>
      </c>
      <c r="H1040" t="str">
        <f>"8 fős egyenes kiesés"</f>
        <v>8 fős egyenes kiesés</v>
      </c>
      <c r="I1040" t="str">
        <f>"3"</f>
        <v>3</v>
      </c>
      <c r="J1040" t="str">
        <f>"Béres Ádám"</f>
        <v>Béres Ádám</v>
      </c>
      <c r="K1040" t="str">
        <f>"Magna Dojo"</f>
        <v>Magna Dojo</v>
      </c>
      <c r="L1040" t="str">
        <f t="shared" si="191"/>
        <v>HUN</v>
      </c>
      <c r="M1040">
        <v>3</v>
      </c>
      <c r="O1040" s="83" t="s">
        <v>647</v>
      </c>
      <c r="P1040" s="78">
        <v>45556</v>
      </c>
      <c r="Q1040" t="str">
        <f t="shared" si="193"/>
        <v>Béres Ádám - Magna Dojo</v>
      </c>
      <c r="R1040" t="s">
        <v>636</v>
      </c>
      <c r="S1040" t="s">
        <v>636</v>
      </c>
      <c r="T1040" t="s">
        <v>645</v>
      </c>
    </row>
    <row r="1041" spans="1:20" x14ac:dyDescent="0.3">
      <c r="A1041" s="2" t="s">
        <v>646</v>
      </c>
      <c r="B1041" s="50">
        <v>2</v>
      </c>
      <c r="C1041">
        <v>12</v>
      </c>
      <c r="D1041" t="str">
        <f t="shared" si="192"/>
        <v>Kumite</v>
      </c>
      <c r="E1041" t="str">
        <f>"Kumite, Ifi ffi 65 kg"</f>
        <v>Kumite, Ifi ffi 65 kg</v>
      </c>
      <c r="F1041" t="s">
        <v>555</v>
      </c>
      <c r="G1041" t="str">
        <f>"6"</f>
        <v>6</v>
      </c>
      <c r="H1041" t="str">
        <f>"6 fős vegyes"</f>
        <v>6 fős vegyes</v>
      </c>
      <c r="I1041" t="str">
        <f>"1"</f>
        <v>1</v>
      </c>
      <c r="J1041" t="str">
        <f>"Szabó Ákos Roland"</f>
        <v>Szabó Ákos Roland</v>
      </c>
      <c r="K1041" t="str">
        <f>"KHSE"</f>
        <v>KHSE</v>
      </c>
      <c r="L1041" t="str">
        <f t="shared" si="191"/>
        <v>HUN</v>
      </c>
      <c r="M1041">
        <v>6</v>
      </c>
      <c r="O1041" s="83" t="s">
        <v>647</v>
      </c>
      <c r="P1041" s="78">
        <v>45556</v>
      </c>
      <c r="Q1041" t="str">
        <f t="shared" si="193"/>
        <v>Szabó Ákos Roland - KHSE</v>
      </c>
      <c r="R1041" t="s">
        <v>636</v>
      </c>
      <c r="S1041" t="s">
        <v>636</v>
      </c>
      <c r="T1041" t="s">
        <v>645</v>
      </c>
    </row>
    <row r="1042" spans="1:20" x14ac:dyDescent="0.3">
      <c r="A1042" s="2" t="s">
        <v>646</v>
      </c>
      <c r="B1042" s="50">
        <v>2</v>
      </c>
      <c r="C1042">
        <v>13</v>
      </c>
      <c r="D1042" t="str">
        <f t="shared" si="192"/>
        <v>Kumite</v>
      </c>
      <c r="E1042" t="str">
        <f>"Kumite, Ifi ffi 65 kg"</f>
        <v>Kumite, Ifi ffi 65 kg</v>
      </c>
      <c r="F1042" t="s">
        <v>555</v>
      </c>
      <c r="G1042" t="str">
        <f>"6"</f>
        <v>6</v>
      </c>
      <c r="H1042" t="str">
        <f>"6 fős vegyes"</f>
        <v>6 fős vegyes</v>
      </c>
      <c r="I1042" t="str">
        <f>"2"</f>
        <v>2</v>
      </c>
      <c r="J1042" t="str">
        <f>"Böszörményi Gergő"</f>
        <v>Böszörményi Gergő</v>
      </c>
      <c r="K1042" t="str">
        <f>"Victory"</f>
        <v>Victory</v>
      </c>
      <c r="L1042" t="str">
        <f t="shared" si="191"/>
        <v>HUN</v>
      </c>
      <c r="M1042">
        <v>5</v>
      </c>
      <c r="O1042" s="83" t="s">
        <v>647</v>
      </c>
      <c r="P1042" s="78">
        <v>45556</v>
      </c>
      <c r="Q1042" t="str">
        <f t="shared" si="193"/>
        <v>Böszörményi Gergő - Victory</v>
      </c>
      <c r="R1042" t="s">
        <v>636</v>
      </c>
      <c r="S1042" t="s">
        <v>636</v>
      </c>
      <c r="T1042" t="s">
        <v>645</v>
      </c>
    </row>
    <row r="1043" spans="1:20" x14ac:dyDescent="0.3">
      <c r="A1043" s="2" t="s">
        <v>646</v>
      </c>
      <c r="B1043" s="50">
        <v>2</v>
      </c>
      <c r="C1043">
        <v>14</v>
      </c>
      <c r="D1043" t="str">
        <f t="shared" si="192"/>
        <v>Kumite</v>
      </c>
      <c r="E1043" t="str">
        <f>"Kumite, Ifi ffi 65 kg"</f>
        <v>Kumite, Ifi ffi 65 kg</v>
      </c>
      <c r="F1043" t="s">
        <v>555</v>
      </c>
      <c r="G1043" t="str">
        <f>"6"</f>
        <v>6</v>
      </c>
      <c r="H1043" t="str">
        <f>"6 fős vegyes"</f>
        <v>6 fős vegyes</v>
      </c>
      <c r="I1043" t="str">
        <f>"3"</f>
        <v>3</v>
      </c>
      <c r="J1043" t="str">
        <f>"Sárai Csongor"</f>
        <v>Sárai Csongor</v>
      </c>
      <c r="K1043" t="str">
        <f>"Seishin Karate Klub"</f>
        <v>Seishin Karate Klub</v>
      </c>
      <c r="L1043" t="str">
        <f>"SVK"</f>
        <v>SVK</v>
      </c>
      <c r="M1043">
        <v>3</v>
      </c>
      <c r="O1043" s="83" t="s">
        <v>647</v>
      </c>
      <c r="P1043" s="78">
        <v>45556</v>
      </c>
      <c r="Q1043" t="str">
        <f t="shared" si="193"/>
        <v>Sárai Csongor - Seishin Karate Klub</v>
      </c>
      <c r="R1043" t="s">
        <v>636</v>
      </c>
      <c r="S1043" t="s">
        <v>636</v>
      </c>
      <c r="T1043" t="s">
        <v>645</v>
      </c>
    </row>
    <row r="1044" spans="1:20" x14ac:dyDescent="0.3">
      <c r="A1044" s="2" t="s">
        <v>646</v>
      </c>
      <c r="B1044" s="50">
        <v>2</v>
      </c>
      <c r="C1044">
        <v>15</v>
      </c>
      <c r="D1044" t="str">
        <f t="shared" si="192"/>
        <v>Kumite</v>
      </c>
      <c r="E1044" t="str">
        <f>"Kumite, Ifi ffi 70 kg"</f>
        <v>Kumite, Ifi ffi 70 kg</v>
      </c>
      <c r="F1044" t="s">
        <v>545</v>
      </c>
      <c r="G1044" t="str">
        <f>"7"</f>
        <v>7</v>
      </c>
      <c r="H1044" t="str">
        <f>"8 fős egyenes kiesés"</f>
        <v>8 fős egyenes kiesés</v>
      </c>
      <c r="I1044" t="str">
        <f>"1"</f>
        <v>1</v>
      </c>
      <c r="J1044" t="str">
        <f>"Földi Balázs"</f>
        <v>Földi Balázs</v>
      </c>
      <c r="K1044" t="str">
        <f>"Victory"</f>
        <v>Victory</v>
      </c>
      <c r="L1044" t="str">
        <f t="shared" ref="L1044:L1049" si="194">"HUN"</f>
        <v>HUN</v>
      </c>
      <c r="M1044">
        <v>6</v>
      </c>
      <c r="O1044" s="83" t="s">
        <v>647</v>
      </c>
      <c r="P1044" s="78">
        <v>45556</v>
      </c>
      <c r="Q1044" t="str">
        <f t="shared" si="193"/>
        <v>Földi Balázs - Victory</v>
      </c>
      <c r="R1044" t="s">
        <v>636</v>
      </c>
      <c r="S1044" t="s">
        <v>636</v>
      </c>
      <c r="T1044" t="s">
        <v>645</v>
      </c>
    </row>
    <row r="1045" spans="1:20" x14ac:dyDescent="0.3">
      <c r="A1045" s="2" t="s">
        <v>646</v>
      </c>
      <c r="B1045" s="50">
        <v>2</v>
      </c>
      <c r="C1045">
        <v>16</v>
      </c>
      <c r="D1045" t="str">
        <f t="shared" si="192"/>
        <v>Kumite</v>
      </c>
      <c r="E1045" t="str">
        <f>"Kumite, Ifi ffi 70 kg"</f>
        <v>Kumite, Ifi ffi 70 kg</v>
      </c>
      <c r="F1045" t="s">
        <v>545</v>
      </c>
      <c r="G1045" t="str">
        <f>"7"</f>
        <v>7</v>
      </c>
      <c r="H1045" t="str">
        <f>"8 fős egyenes kiesés"</f>
        <v>8 fős egyenes kiesés</v>
      </c>
      <c r="I1045" t="str">
        <f>"2"</f>
        <v>2</v>
      </c>
      <c r="J1045" t="str">
        <f>"Földi Bence "</f>
        <v xml:space="preserve">Földi Bence </v>
      </c>
      <c r="K1045" t="str">
        <f>"Victory"</f>
        <v>Victory</v>
      </c>
      <c r="L1045" t="str">
        <f t="shared" si="194"/>
        <v>HUN</v>
      </c>
      <c r="M1045">
        <v>5</v>
      </c>
      <c r="O1045" s="83" t="s">
        <v>647</v>
      </c>
      <c r="P1045" s="78">
        <v>45556</v>
      </c>
      <c r="Q1045" t="str">
        <f t="shared" si="193"/>
        <v>Földi Bence  - Victory</v>
      </c>
      <c r="R1045" t="s">
        <v>636</v>
      </c>
      <c r="S1045" t="s">
        <v>636</v>
      </c>
      <c r="T1045" t="s">
        <v>645</v>
      </c>
    </row>
    <row r="1046" spans="1:20" x14ac:dyDescent="0.3">
      <c r="A1046" s="2" t="s">
        <v>646</v>
      </c>
      <c r="B1046" s="50">
        <v>2</v>
      </c>
      <c r="C1046">
        <v>17</v>
      </c>
      <c r="D1046" t="str">
        <f t="shared" si="192"/>
        <v>Kumite</v>
      </c>
      <c r="E1046" t="str">
        <f>"Kumite, Ifi ffi 70 kg"</f>
        <v>Kumite, Ifi ffi 70 kg</v>
      </c>
      <c r="F1046" t="s">
        <v>545</v>
      </c>
      <c r="G1046" t="str">
        <f>"7"</f>
        <v>7</v>
      </c>
      <c r="H1046" t="str">
        <f>"8 fős egyenes kiesés"</f>
        <v>8 fős egyenes kiesés</v>
      </c>
      <c r="I1046" t="str">
        <f>"3"</f>
        <v>3</v>
      </c>
      <c r="J1046" t="str">
        <f>"Kiss Gábor"</f>
        <v>Kiss Gábor</v>
      </c>
      <c r="K1046" t="str">
        <f>"Victory"</f>
        <v>Victory</v>
      </c>
      <c r="L1046" t="str">
        <f t="shared" si="194"/>
        <v>HUN</v>
      </c>
      <c r="M1046">
        <v>0</v>
      </c>
      <c r="N1046" t="s">
        <v>584</v>
      </c>
      <c r="O1046" s="83" t="s">
        <v>647</v>
      </c>
      <c r="P1046" s="78">
        <v>45556</v>
      </c>
      <c r="Q1046" t="str">
        <f t="shared" si="193"/>
        <v>Kiss Gábor - Victory</v>
      </c>
      <c r="R1046" t="s">
        <v>636</v>
      </c>
      <c r="S1046" t="s">
        <v>636</v>
      </c>
      <c r="T1046" t="s">
        <v>645</v>
      </c>
    </row>
    <row r="1047" spans="1:20" x14ac:dyDescent="0.3">
      <c r="A1047" s="2" t="s">
        <v>646</v>
      </c>
      <c r="B1047" s="50">
        <v>2</v>
      </c>
      <c r="C1047">
        <v>18</v>
      </c>
      <c r="D1047" t="str">
        <f t="shared" si="192"/>
        <v>Kumite</v>
      </c>
      <c r="E1047" t="str">
        <f>"Kumite, Ifi ffi 70 kg"</f>
        <v>Kumite, Ifi ffi 70 kg</v>
      </c>
      <c r="F1047" t="s">
        <v>545</v>
      </c>
      <c r="G1047" t="str">
        <f>"7"</f>
        <v>7</v>
      </c>
      <c r="H1047" t="str">
        <f>"8 fős egyenes kiesés"</f>
        <v>8 fős egyenes kiesés</v>
      </c>
      <c r="I1047" t="str">
        <f>"3"</f>
        <v>3</v>
      </c>
      <c r="J1047" t="str">
        <f>"Kolláth-Pataki Gergely"</f>
        <v>Kolláth-Pataki Gergely</v>
      </c>
      <c r="K1047" t="str">
        <f>"BHMSE"</f>
        <v>BHMSE</v>
      </c>
      <c r="L1047" t="str">
        <f t="shared" si="194"/>
        <v>HUN</v>
      </c>
      <c r="M1047">
        <v>3</v>
      </c>
      <c r="O1047" s="83" t="s">
        <v>647</v>
      </c>
      <c r="P1047" s="78">
        <v>45556</v>
      </c>
      <c r="Q1047" t="str">
        <f t="shared" si="193"/>
        <v>Kolláth-Pataki Gergely - BHMSE</v>
      </c>
      <c r="R1047" t="s">
        <v>636</v>
      </c>
      <c r="S1047" t="s">
        <v>636</v>
      </c>
      <c r="T1047" t="s">
        <v>645</v>
      </c>
    </row>
    <row r="1048" spans="1:20" x14ac:dyDescent="0.3">
      <c r="A1048" s="2" t="s">
        <v>646</v>
      </c>
      <c r="B1048" s="50">
        <v>2</v>
      </c>
      <c r="C1048">
        <v>19</v>
      </c>
      <c r="D1048" t="str">
        <f t="shared" si="192"/>
        <v>Kumite</v>
      </c>
      <c r="E1048" t="str">
        <f>"Kumite, Ifi ffi 75 kg"</f>
        <v>Kumite, Ifi ffi 75 kg</v>
      </c>
      <c r="F1048" t="s">
        <v>556</v>
      </c>
      <c r="G1048" t="str">
        <f>"4"</f>
        <v>4</v>
      </c>
      <c r="H1048" t="str">
        <f>"4 fős körmérkőzés"</f>
        <v>4 fős körmérkőzés</v>
      </c>
      <c r="I1048" t="str">
        <f>"1"</f>
        <v>1</v>
      </c>
      <c r="J1048" t="str">
        <f>"Bessenyei Csongor"</f>
        <v>Bessenyei Csongor</v>
      </c>
      <c r="K1048" t="str">
        <f>"Shogun"</f>
        <v>Shogun</v>
      </c>
      <c r="L1048" t="str">
        <f t="shared" si="194"/>
        <v>HUN</v>
      </c>
      <c r="M1048">
        <v>6</v>
      </c>
      <c r="O1048" s="83" t="s">
        <v>647</v>
      </c>
      <c r="P1048" s="78">
        <v>45556</v>
      </c>
      <c r="Q1048" t="str">
        <f t="shared" si="193"/>
        <v>Bessenyei Csongor - Shogun</v>
      </c>
      <c r="R1048" t="s">
        <v>636</v>
      </c>
      <c r="S1048" t="s">
        <v>636</v>
      </c>
      <c r="T1048" t="s">
        <v>645</v>
      </c>
    </row>
    <row r="1049" spans="1:20" x14ac:dyDescent="0.3">
      <c r="A1049" s="2" t="s">
        <v>646</v>
      </c>
      <c r="B1049" s="50">
        <v>2</v>
      </c>
      <c r="C1049">
        <v>20</v>
      </c>
      <c r="D1049" t="str">
        <f t="shared" si="192"/>
        <v>Kumite</v>
      </c>
      <c r="E1049" t="str">
        <f>"Kumite, Ifi ffi 75 kg"</f>
        <v>Kumite, Ifi ffi 75 kg</v>
      </c>
      <c r="F1049" t="s">
        <v>556</v>
      </c>
      <c r="G1049" t="str">
        <f>"4"</f>
        <v>4</v>
      </c>
      <c r="H1049" t="str">
        <f>"4 fős körmérkőzés"</f>
        <v>4 fős körmérkőzés</v>
      </c>
      <c r="I1049" t="str">
        <f>"2"</f>
        <v>2</v>
      </c>
      <c r="J1049" t="str">
        <f>"Bede Szabolcs"</f>
        <v>Bede Szabolcs</v>
      </c>
      <c r="K1049" t="str">
        <f>"Ippon KKSE"</f>
        <v>Ippon KKSE</v>
      </c>
      <c r="L1049" t="str">
        <f t="shared" si="194"/>
        <v>HUN</v>
      </c>
      <c r="M1049">
        <v>5</v>
      </c>
      <c r="O1049" s="83" t="s">
        <v>647</v>
      </c>
      <c r="P1049" s="78">
        <v>45556</v>
      </c>
      <c r="Q1049" t="str">
        <f t="shared" si="193"/>
        <v>Bede Szabolcs - Ippon KKSE</v>
      </c>
      <c r="R1049" t="s">
        <v>636</v>
      </c>
      <c r="S1049" t="s">
        <v>636</v>
      </c>
      <c r="T1049" t="s">
        <v>645</v>
      </c>
    </row>
    <row r="1050" spans="1:20" x14ac:dyDescent="0.3">
      <c r="A1050" s="2" t="s">
        <v>646</v>
      </c>
      <c r="B1050" s="50">
        <v>2</v>
      </c>
      <c r="C1050">
        <v>21</v>
      </c>
      <c r="D1050" t="str">
        <f t="shared" si="192"/>
        <v>Kumite</v>
      </c>
      <c r="E1050" t="str">
        <f>"Kumite, Ifi ffi 75 kg"</f>
        <v>Kumite, Ifi ffi 75 kg</v>
      </c>
      <c r="F1050" t="s">
        <v>556</v>
      </c>
      <c r="G1050" t="str">
        <f>"4"</f>
        <v>4</v>
      </c>
      <c r="H1050" t="str">
        <f>"4 fős körmérkőzés"</f>
        <v>4 fős körmérkőzés</v>
      </c>
      <c r="I1050" t="str">
        <f>"3"</f>
        <v>3</v>
      </c>
      <c r="J1050" t="str">
        <f>"Bíró Bendegúz"</f>
        <v>Bíró Bendegúz</v>
      </c>
      <c r="K1050" t="str">
        <f>"Seishin Karate Klub"</f>
        <v>Seishin Karate Klub</v>
      </c>
      <c r="L1050" t="str">
        <f>"SVK"</f>
        <v>SVK</v>
      </c>
      <c r="M1050">
        <v>3</v>
      </c>
      <c r="O1050" s="83" t="s">
        <v>647</v>
      </c>
      <c r="P1050" s="78">
        <v>45556</v>
      </c>
      <c r="Q1050" t="str">
        <f t="shared" si="193"/>
        <v>Bíró Bendegúz - Seishin Karate Klub</v>
      </c>
      <c r="R1050" t="s">
        <v>636</v>
      </c>
      <c r="S1050" t="s">
        <v>636</v>
      </c>
      <c r="T1050" t="s">
        <v>645</v>
      </c>
    </row>
    <row r="1051" spans="1:20" x14ac:dyDescent="0.3">
      <c r="A1051" s="2" t="s">
        <v>646</v>
      </c>
      <c r="B1051" s="50">
        <v>2</v>
      </c>
      <c r="C1051">
        <v>22</v>
      </c>
      <c r="D1051" t="str">
        <f t="shared" si="192"/>
        <v>Kumite</v>
      </c>
      <c r="E1051" t="str">
        <f>"Kumite, Ifi ffi  75 kg"</f>
        <v>Kumite, Ifi ffi  75 kg</v>
      </c>
      <c r="F1051" s="83" t="s">
        <v>547</v>
      </c>
      <c r="G1051" t="str">
        <f>"5"</f>
        <v>5</v>
      </c>
      <c r="H1051" t="str">
        <f>"5 fős körmérkőzés"</f>
        <v>5 fős körmérkőzés</v>
      </c>
      <c r="I1051" t="str">
        <f>"1"</f>
        <v>1</v>
      </c>
      <c r="J1051" t="str">
        <f>"Csorba Kristóf"</f>
        <v>Csorba Kristóf</v>
      </c>
      <c r="K1051" t="str">
        <f>"Shogun"</f>
        <v>Shogun</v>
      </c>
      <c r="L1051" t="str">
        <f t="shared" ref="L1051:L1096" si="195">"HUN"</f>
        <v>HUN</v>
      </c>
      <c r="M1051">
        <v>8</v>
      </c>
      <c r="O1051" s="83" t="s">
        <v>647</v>
      </c>
      <c r="P1051" s="78">
        <v>45556</v>
      </c>
      <c r="Q1051" t="str">
        <f t="shared" si="193"/>
        <v>Csorba Kristóf - Shogun</v>
      </c>
      <c r="R1051" t="s">
        <v>636</v>
      </c>
      <c r="S1051" t="s">
        <v>636</v>
      </c>
      <c r="T1051" t="s">
        <v>645</v>
      </c>
    </row>
    <row r="1052" spans="1:20" x14ac:dyDescent="0.3">
      <c r="A1052" s="2" t="s">
        <v>646</v>
      </c>
      <c r="B1052" s="50">
        <v>2</v>
      </c>
      <c r="C1052">
        <v>23</v>
      </c>
      <c r="D1052" t="str">
        <f t="shared" si="192"/>
        <v>Kumite</v>
      </c>
      <c r="E1052" t="str">
        <f>"Kumite, Ifi ffi  75 kg"</f>
        <v>Kumite, Ifi ffi  75 kg</v>
      </c>
      <c r="F1052" s="83" t="s">
        <v>547</v>
      </c>
      <c r="G1052" t="str">
        <f>"5"</f>
        <v>5</v>
      </c>
      <c r="H1052" t="str">
        <f>"5 fős körmérkőzés"</f>
        <v>5 fős körmérkőzés</v>
      </c>
      <c r="I1052" t="str">
        <f>"2"</f>
        <v>2</v>
      </c>
      <c r="J1052" t="str">
        <f>"Maklári Balázs"</f>
        <v>Maklári Balázs</v>
      </c>
      <c r="K1052" t="str">
        <f>"Kisvárda KKDOSC"</f>
        <v>Kisvárda KKDOSC</v>
      </c>
      <c r="L1052" t="str">
        <f t="shared" si="195"/>
        <v>HUN</v>
      </c>
      <c r="M1052">
        <v>6</v>
      </c>
      <c r="O1052" s="83" t="s">
        <v>647</v>
      </c>
      <c r="P1052" s="78">
        <v>45556</v>
      </c>
      <c r="Q1052" t="str">
        <f t="shared" si="193"/>
        <v>Maklári Balázs - Kisvárda KKDOSC</v>
      </c>
      <c r="R1052" t="s">
        <v>636</v>
      </c>
      <c r="S1052" t="s">
        <v>636</v>
      </c>
      <c r="T1052" t="s">
        <v>645</v>
      </c>
    </row>
    <row r="1053" spans="1:20" x14ac:dyDescent="0.3">
      <c r="A1053" s="2" t="s">
        <v>646</v>
      </c>
      <c r="B1053" s="50">
        <v>2</v>
      </c>
      <c r="C1053">
        <v>24</v>
      </c>
      <c r="D1053" t="str">
        <f t="shared" si="192"/>
        <v>Kumite</v>
      </c>
      <c r="E1053" t="str">
        <f>"Kumite, Ifi ffi  75 kg"</f>
        <v>Kumite, Ifi ffi  75 kg</v>
      </c>
      <c r="F1053" s="83" t="s">
        <v>547</v>
      </c>
      <c r="G1053" t="str">
        <f>"5"</f>
        <v>5</v>
      </c>
      <c r="H1053" t="str">
        <f>"5 fős körmérkőzés"</f>
        <v>5 fős körmérkőzés</v>
      </c>
      <c r="I1053" t="str">
        <f>"3"</f>
        <v>3</v>
      </c>
      <c r="J1053" t="str">
        <f>"Szabó Tamás"</f>
        <v>Szabó Tamás</v>
      </c>
      <c r="K1053" t="str">
        <f>"Fitt SE"</f>
        <v>Fitt SE</v>
      </c>
      <c r="L1053" t="str">
        <f t="shared" si="195"/>
        <v>HUN</v>
      </c>
      <c r="M1053">
        <v>4</v>
      </c>
      <c r="O1053" s="83" t="s">
        <v>647</v>
      </c>
      <c r="P1053" s="78">
        <v>45556</v>
      </c>
      <c r="Q1053" t="str">
        <f t="shared" si="193"/>
        <v>Szabó Tamás - Fitt SE</v>
      </c>
      <c r="R1053" t="s">
        <v>636</v>
      </c>
      <c r="S1053" t="s">
        <v>636</v>
      </c>
      <c r="T1053" t="s">
        <v>645</v>
      </c>
    </row>
    <row r="1054" spans="1:20" x14ac:dyDescent="0.3">
      <c r="A1054" s="2" t="s">
        <v>646</v>
      </c>
      <c r="B1054" s="50">
        <v>2</v>
      </c>
      <c r="C1054">
        <v>24</v>
      </c>
      <c r="D1054" t="str">
        <f t="shared" si="192"/>
        <v>Kumite</v>
      </c>
      <c r="E1054" t="str">
        <f>"Kumite, Ifi ffi  75 kg"</f>
        <v>Kumite, Ifi ffi  75 kg</v>
      </c>
      <c r="F1054" s="83" t="s">
        <v>547</v>
      </c>
      <c r="G1054" t="str">
        <f>"5"</f>
        <v>5</v>
      </c>
      <c r="H1054" t="str">
        <f>"5 fős körmérkőzés"</f>
        <v>5 fős körmérkőzés</v>
      </c>
      <c r="I1054" t="str">
        <f>"4"</f>
        <v>4</v>
      </c>
      <c r="J1054" t="s">
        <v>655</v>
      </c>
      <c r="K1054" t="s">
        <v>16</v>
      </c>
      <c r="L1054" t="str">
        <f t="shared" si="195"/>
        <v>HUN</v>
      </c>
      <c r="M1054">
        <v>3</v>
      </c>
      <c r="O1054" s="83" t="s">
        <v>647</v>
      </c>
      <c r="P1054" s="78">
        <v>45556</v>
      </c>
      <c r="Q1054" t="str">
        <f t="shared" si="193"/>
        <v>Breznyiczki Barnabás - Nozomu Dojo</v>
      </c>
      <c r="R1054" t="s">
        <v>636</v>
      </c>
      <c r="S1054" t="s">
        <v>636</v>
      </c>
      <c r="T1054" t="s">
        <v>645</v>
      </c>
    </row>
    <row r="1055" spans="1:20" x14ac:dyDescent="0.3">
      <c r="A1055" s="2" t="s">
        <v>646</v>
      </c>
      <c r="B1055" s="50">
        <v>2</v>
      </c>
      <c r="C1055">
        <v>26</v>
      </c>
      <c r="D1055" t="str">
        <f>"Kata"</f>
        <v>Kata</v>
      </c>
      <c r="E1055" t="str">
        <f>"Kata, Ifjúsági Női"</f>
        <v>Kata, Ifjúsági Női</v>
      </c>
      <c r="F1055" t="s">
        <v>549</v>
      </c>
      <c r="G1055" t="str">
        <f>"6"</f>
        <v>6</v>
      </c>
      <c r="H1055" t="str">
        <f>"8 fős egyenes kiesés + 3. hely"</f>
        <v>8 fős egyenes kiesés + 3. hely</v>
      </c>
      <c r="I1055" t="str">
        <f>"1"</f>
        <v>1</v>
      </c>
      <c r="J1055" t="str">
        <f>"Gerő Hanna Gréta"</f>
        <v>Gerő Hanna Gréta</v>
      </c>
      <c r="K1055" t="str">
        <f>"Kagami"</f>
        <v>Kagami</v>
      </c>
      <c r="L1055" t="str">
        <f t="shared" si="195"/>
        <v>HUN</v>
      </c>
      <c r="M1055">
        <v>5</v>
      </c>
      <c r="O1055" s="83" t="s">
        <v>647</v>
      </c>
      <c r="P1055" s="78">
        <v>45556</v>
      </c>
      <c r="Q1055" t="str">
        <f t="shared" si="193"/>
        <v>Gerő Hanna Gréta - Kagami</v>
      </c>
      <c r="R1055" t="s">
        <v>636</v>
      </c>
      <c r="S1055" t="s">
        <v>636</v>
      </c>
      <c r="T1055" t="s">
        <v>645</v>
      </c>
    </row>
    <row r="1056" spans="1:20" x14ac:dyDescent="0.3">
      <c r="A1056" s="2" t="s">
        <v>646</v>
      </c>
      <c r="B1056" s="50">
        <v>2</v>
      </c>
      <c r="C1056">
        <v>27</v>
      </c>
      <c r="D1056" t="str">
        <f>"Kata"</f>
        <v>Kata</v>
      </c>
      <c r="E1056" t="str">
        <f>"Kata, Ifjúsági Női"</f>
        <v>Kata, Ifjúsági Női</v>
      </c>
      <c r="F1056" t="s">
        <v>549</v>
      </c>
      <c r="G1056" t="str">
        <f>"6"</f>
        <v>6</v>
      </c>
      <c r="H1056" t="str">
        <f>"8 fős egyenes kiesés + 3. hely"</f>
        <v>8 fős egyenes kiesés + 3. hely</v>
      </c>
      <c r="I1056" t="str">
        <f>"2"</f>
        <v>2</v>
      </c>
      <c r="J1056" t="str">
        <f>"Bognár Luca"</f>
        <v>Bognár Luca</v>
      </c>
      <c r="K1056" t="str">
        <f>"Rakurai"</f>
        <v>Rakurai</v>
      </c>
      <c r="L1056" t="str">
        <f t="shared" si="195"/>
        <v>HUN</v>
      </c>
      <c r="M1056">
        <v>4</v>
      </c>
      <c r="O1056" s="83" t="s">
        <v>647</v>
      </c>
      <c r="P1056" s="78">
        <v>45556</v>
      </c>
      <c r="Q1056" t="str">
        <f t="shared" si="193"/>
        <v>Bognár Luca - Rakurai</v>
      </c>
      <c r="R1056" t="s">
        <v>636</v>
      </c>
      <c r="S1056" t="s">
        <v>636</v>
      </c>
      <c r="T1056" t="s">
        <v>645</v>
      </c>
    </row>
    <row r="1057" spans="1:20" x14ac:dyDescent="0.3">
      <c r="A1057" s="2" t="s">
        <v>646</v>
      </c>
      <c r="B1057" s="50">
        <v>2</v>
      </c>
      <c r="C1057">
        <v>28</v>
      </c>
      <c r="D1057" t="str">
        <f>"Kata"</f>
        <v>Kata</v>
      </c>
      <c r="E1057" t="str">
        <f>"Kata, Ifjúsági Női"</f>
        <v>Kata, Ifjúsági Női</v>
      </c>
      <c r="F1057" t="s">
        <v>549</v>
      </c>
      <c r="G1057" t="str">
        <f>"6"</f>
        <v>6</v>
      </c>
      <c r="H1057" t="str">
        <f>"8 fős egyenes kiesés + 3. hely"</f>
        <v>8 fős egyenes kiesés + 3. hely</v>
      </c>
      <c r="I1057" t="str">
        <f>"3"</f>
        <v>3</v>
      </c>
      <c r="J1057" t="str">
        <f>"Szutor Anna"</f>
        <v>Szutor Anna</v>
      </c>
      <c r="K1057" t="str">
        <f>"Shogun"</f>
        <v>Shogun</v>
      </c>
      <c r="L1057" t="str">
        <f t="shared" si="195"/>
        <v>HUN</v>
      </c>
      <c r="M1057">
        <v>2</v>
      </c>
      <c r="O1057" s="83" t="s">
        <v>647</v>
      </c>
      <c r="P1057" s="78">
        <v>45556</v>
      </c>
      <c r="Q1057" t="str">
        <f t="shared" si="193"/>
        <v>Szutor Anna - Shogun</v>
      </c>
      <c r="R1057" t="s">
        <v>636</v>
      </c>
      <c r="S1057" t="s">
        <v>636</v>
      </c>
      <c r="T1057" t="s">
        <v>645</v>
      </c>
    </row>
    <row r="1058" spans="1:20" x14ac:dyDescent="0.3">
      <c r="A1058" s="2" t="s">
        <v>646</v>
      </c>
      <c r="B1058" s="50">
        <v>2</v>
      </c>
      <c r="C1058">
        <v>29</v>
      </c>
      <c r="D1058" t="str">
        <f>"Kata"</f>
        <v>Kata</v>
      </c>
      <c r="E1058" t="str">
        <f>"Kata, Ifjúsági Női"</f>
        <v>Kata, Ifjúsági Női</v>
      </c>
      <c r="F1058" t="s">
        <v>549</v>
      </c>
      <c r="G1058" t="str">
        <f>"6"</f>
        <v>6</v>
      </c>
      <c r="H1058" t="str">
        <f>"8 fős egyenes kiesés + 3. hely"</f>
        <v>8 fős egyenes kiesés + 3. hely</v>
      </c>
      <c r="I1058" t="str">
        <f>"4"</f>
        <v>4</v>
      </c>
      <c r="J1058" t="str">
        <f>"Kiss Aliz"</f>
        <v>Kiss Aliz</v>
      </c>
      <c r="K1058" t="str">
        <f>"Renmei se "</f>
        <v xml:space="preserve">Renmei se </v>
      </c>
      <c r="L1058" t="str">
        <f t="shared" si="195"/>
        <v>HUN</v>
      </c>
      <c r="M1058">
        <v>0</v>
      </c>
      <c r="N1058" t="s">
        <v>654</v>
      </c>
      <c r="O1058" s="83" t="s">
        <v>647</v>
      </c>
      <c r="P1058" s="78">
        <v>45556</v>
      </c>
      <c r="Q1058" t="str">
        <f t="shared" si="193"/>
        <v xml:space="preserve">Kiss Aliz - Renmei se </v>
      </c>
      <c r="R1058" t="s">
        <v>636</v>
      </c>
      <c r="S1058" t="s">
        <v>636</v>
      </c>
      <c r="T1058" t="s">
        <v>645</v>
      </c>
    </row>
    <row r="1059" spans="1:20" x14ac:dyDescent="0.3">
      <c r="A1059" s="2" t="s">
        <v>646</v>
      </c>
      <c r="B1059" s="50">
        <v>2</v>
      </c>
      <c r="C1059">
        <v>30</v>
      </c>
      <c r="D1059" t="str">
        <f t="shared" ref="D1059:D1096" si="196">"Kumite"</f>
        <v>Kumite</v>
      </c>
      <c r="E1059" t="str">
        <f>"Kumite, Ifi női 50 kg"</f>
        <v>Kumite, Ifi női 50 kg</v>
      </c>
      <c r="F1059" t="s">
        <v>546</v>
      </c>
      <c r="G1059" t="str">
        <f>"4"</f>
        <v>4</v>
      </c>
      <c r="H1059" t="str">
        <f>"4 fős körmérkőzés"</f>
        <v>4 fős körmérkőzés</v>
      </c>
      <c r="I1059" t="str">
        <f>"1"</f>
        <v>1</v>
      </c>
      <c r="J1059" t="str">
        <f>"Németh Virág"</f>
        <v>Németh Virág</v>
      </c>
      <c r="K1059" t="str">
        <f>"Castrum"</f>
        <v>Castrum</v>
      </c>
      <c r="L1059" t="str">
        <f t="shared" si="195"/>
        <v>HUN</v>
      </c>
      <c r="M1059">
        <v>6</v>
      </c>
      <c r="O1059" s="83" t="s">
        <v>647</v>
      </c>
      <c r="P1059" s="78">
        <v>45556</v>
      </c>
      <c r="Q1059" t="str">
        <f t="shared" si="193"/>
        <v>Németh Virág - Castrum</v>
      </c>
      <c r="R1059" t="s">
        <v>636</v>
      </c>
      <c r="S1059" t="s">
        <v>636</v>
      </c>
      <c r="T1059" t="s">
        <v>645</v>
      </c>
    </row>
    <row r="1060" spans="1:20" x14ac:dyDescent="0.3">
      <c r="A1060" s="2" t="s">
        <v>646</v>
      </c>
      <c r="B1060" s="50">
        <v>2</v>
      </c>
      <c r="C1060">
        <v>31</v>
      </c>
      <c r="D1060" t="str">
        <f t="shared" si="196"/>
        <v>Kumite</v>
      </c>
      <c r="E1060" t="str">
        <f>"Kumite, Ifi női 50 kg"</f>
        <v>Kumite, Ifi női 50 kg</v>
      </c>
      <c r="F1060" t="s">
        <v>546</v>
      </c>
      <c r="G1060" t="str">
        <f>"4"</f>
        <v>4</v>
      </c>
      <c r="H1060" t="str">
        <f>"4 fős körmérkőzés"</f>
        <v>4 fős körmérkőzés</v>
      </c>
      <c r="I1060" t="str">
        <f>"2"</f>
        <v>2</v>
      </c>
      <c r="J1060" t="str">
        <f>"Finta Zelma"</f>
        <v>Finta Zelma</v>
      </c>
      <c r="K1060" t="str">
        <f>"Rakurai"</f>
        <v>Rakurai</v>
      </c>
      <c r="L1060" t="str">
        <f t="shared" si="195"/>
        <v>HUN</v>
      </c>
      <c r="M1060">
        <v>5</v>
      </c>
      <c r="O1060" s="83" t="s">
        <v>647</v>
      </c>
      <c r="P1060" s="78">
        <v>45556</v>
      </c>
      <c r="Q1060" t="str">
        <f t="shared" si="193"/>
        <v>Finta Zelma - Rakurai</v>
      </c>
      <c r="R1060" t="s">
        <v>636</v>
      </c>
      <c r="S1060" t="s">
        <v>636</v>
      </c>
      <c r="T1060" t="s">
        <v>645</v>
      </c>
    </row>
    <row r="1061" spans="1:20" x14ac:dyDescent="0.3">
      <c r="A1061" s="2" t="s">
        <v>646</v>
      </c>
      <c r="B1061" s="50">
        <v>2</v>
      </c>
      <c r="C1061">
        <v>32</v>
      </c>
      <c r="D1061" t="str">
        <f t="shared" si="196"/>
        <v>Kumite</v>
      </c>
      <c r="E1061" t="str">
        <f>"Kumite, Ifi női 50 kg"</f>
        <v>Kumite, Ifi női 50 kg</v>
      </c>
      <c r="F1061" t="s">
        <v>546</v>
      </c>
      <c r="G1061" t="str">
        <f>"4"</f>
        <v>4</v>
      </c>
      <c r="H1061" t="str">
        <f>"4 fős körmérkőzés"</f>
        <v>4 fős körmérkőzés</v>
      </c>
      <c r="I1061" t="str">
        <f>"3"</f>
        <v>3</v>
      </c>
      <c r="J1061" t="str">
        <f>"Fekete Csenge"</f>
        <v>Fekete Csenge</v>
      </c>
      <c r="K1061" t="str">
        <f>"Nozomu Dojo"</f>
        <v>Nozomu Dojo</v>
      </c>
      <c r="L1061" t="str">
        <f t="shared" si="195"/>
        <v>HUN</v>
      </c>
      <c r="M1061">
        <v>3</v>
      </c>
      <c r="O1061" s="83" t="s">
        <v>647</v>
      </c>
      <c r="P1061" s="78">
        <v>45556</v>
      </c>
      <c r="Q1061" t="str">
        <f t="shared" si="193"/>
        <v>Fekete Csenge - Nozomu Dojo</v>
      </c>
      <c r="R1061" t="s">
        <v>636</v>
      </c>
      <c r="S1061" t="s">
        <v>636</v>
      </c>
      <c r="T1061" t="s">
        <v>645</v>
      </c>
    </row>
    <row r="1062" spans="1:20" x14ac:dyDescent="0.3">
      <c r="A1062" s="2" t="s">
        <v>646</v>
      </c>
      <c r="B1062" s="50">
        <v>2</v>
      </c>
      <c r="C1062">
        <v>33</v>
      </c>
      <c r="D1062" t="str">
        <f t="shared" si="196"/>
        <v>Kumite</v>
      </c>
      <c r="E1062" t="str">
        <f>"Kumite, Ifi női 55 kg"</f>
        <v>Kumite, Ifi női 55 kg</v>
      </c>
      <c r="F1062" t="s">
        <v>550</v>
      </c>
      <c r="G1062" t="str">
        <f>"6"</f>
        <v>6</v>
      </c>
      <c r="H1062" t="str">
        <f>"6 fős vegyes"</f>
        <v>6 fős vegyes</v>
      </c>
      <c r="I1062" t="str">
        <f>"1"</f>
        <v>1</v>
      </c>
      <c r="J1062" t="str">
        <f>"Ágoston Sára"</f>
        <v>Ágoston Sára</v>
      </c>
      <c r="K1062" t="str">
        <f>"KHSE"</f>
        <v>KHSE</v>
      </c>
      <c r="L1062" t="str">
        <f t="shared" si="195"/>
        <v>HUN</v>
      </c>
      <c r="M1062">
        <v>6</v>
      </c>
      <c r="O1062" s="83" t="s">
        <v>647</v>
      </c>
      <c r="P1062" s="78">
        <v>45556</v>
      </c>
      <c r="Q1062" t="str">
        <f t="shared" si="193"/>
        <v>Ágoston Sára - KHSE</v>
      </c>
      <c r="R1062" t="s">
        <v>636</v>
      </c>
      <c r="S1062" t="s">
        <v>636</v>
      </c>
      <c r="T1062" t="s">
        <v>645</v>
      </c>
    </row>
    <row r="1063" spans="1:20" x14ac:dyDescent="0.3">
      <c r="A1063" s="2" t="s">
        <v>646</v>
      </c>
      <c r="B1063" s="50">
        <v>2</v>
      </c>
      <c r="C1063">
        <v>34</v>
      </c>
      <c r="D1063" t="str">
        <f t="shared" si="196"/>
        <v>Kumite</v>
      </c>
      <c r="E1063" t="str">
        <f>"Kumite, Ifi női 55 kg"</f>
        <v>Kumite, Ifi női 55 kg</v>
      </c>
      <c r="F1063" t="s">
        <v>550</v>
      </c>
      <c r="G1063" t="str">
        <f>"6"</f>
        <v>6</v>
      </c>
      <c r="H1063" t="str">
        <f>"6 fős vegyes"</f>
        <v>6 fős vegyes</v>
      </c>
      <c r="I1063" t="str">
        <f>"2"</f>
        <v>2</v>
      </c>
      <c r="J1063" t="str">
        <f>"Bognár Luca"</f>
        <v>Bognár Luca</v>
      </c>
      <c r="K1063" t="str">
        <f>"Rakurai"</f>
        <v>Rakurai</v>
      </c>
      <c r="L1063" t="str">
        <f t="shared" si="195"/>
        <v>HUN</v>
      </c>
      <c r="M1063">
        <v>5</v>
      </c>
      <c r="O1063" s="83" t="s">
        <v>647</v>
      </c>
      <c r="P1063" s="78">
        <v>45556</v>
      </c>
      <c r="Q1063" t="str">
        <f t="shared" si="193"/>
        <v>Bognár Luca - Rakurai</v>
      </c>
      <c r="R1063" t="s">
        <v>636</v>
      </c>
      <c r="S1063" t="s">
        <v>636</v>
      </c>
      <c r="T1063" t="s">
        <v>645</v>
      </c>
    </row>
    <row r="1064" spans="1:20" x14ac:dyDescent="0.3">
      <c r="A1064" s="2" t="s">
        <v>646</v>
      </c>
      <c r="B1064" s="50">
        <v>2</v>
      </c>
      <c r="C1064">
        <v>35</v>
      </c>
      <c r="D1064" t="str">
        <f t="shared" si="196"/>
        <v>Kumite</v>
      </c>
      <c r="E1064" t="str">
        <f>"Kumite, Ifi női 55 kg"</f>
        <v>Kumite, Ifi női 55 kg</v>
      </c>
      <c r="F1064" t="s">
        <v>550</v>
      </c>
      <c r="G1064" t="str">
        <f>"6"</f>
        <v>6</v>
      </c>
      <c r="H1064" t="str">
        <f>"6 fős vegyes"</f>
        <v>6 fős vegyes</v>
      </c>
      <c r="I1064" t="str">
        <f>"3"</f>
        <v>3</v>
      </c>
      <c r="J1064" t="str">
        <f>"Szabó Lara"</f>
        <v>Szabó Lara</v>
      </c>
      <c r="K1064" t="str">
        <f>"Victory"</f>
        <v>Victory</v>
      </c>
      <c r="L1064" t="str">
        <f t="shared" si="195"/>
        <v>HUN</v>
      </c>
      <c r="M1064">
        <v>3</v>
      </c>
      <c r="O1064" s="83" t="s">
        <v>647</v>
      </c>
      <c r="P1064" s="78">
        <v>45556</v>
      </c>
      <c r="Q1064" t="str">
        <f t="shared" si="193"/>
        <v>Szabó Lara - Victory</v>
      </c>
      <c r="R1064" t="s">
        <v>636</v>
      </c>
      <c r="S1064" t="s">
        <v>636</v>
      </c>
      <c r="T1064" t="s">
        <v>645</v>
      </c>
    </row>
    <row r="1065" spans="1:20" x14ac:dyDescent="0.3">
      <c r="A1065" s="2" t="s">
        <v>646</v>
      </c>
      <c r="B1065" s="50">
        <v>2</v>
      </c>
      <c r="C1065">
        <v>36</v>
      </c>
      <c r="D1065" t="str">
        <f t="shared" si="196"/>
        <v>Kumite</v>
      </c>
      <c r="E1065" t="str">
        <f>"Kumite, Ifi női 60 kg"</f>
        <v>Kumite, Ifi női 60 kg</v>
      </c>
      <c r="F1065" t="s">
        <v>551</v>
      </c>
      <c r="G1065" t="str">
        <f t="shared" ref="G1065:G1070" si="197">"4"</f>
        <v>4</v>
      </c>
      <c r="H1065" t="str">
        <f t="shared" ref="H1065:H1070" si="198">"4 fős körmérkőzés"</f>
        <v>4 fős körmérkőzés</v>
      </c>
      <c r="I1065" t="str">
        <f>"1"</f>
        <v>1</v>
      </c>
      <c r="J1065" t="str">
        <f>"Éles Léna"</f>
        <v>Éles Léna</v>
      </c>
      <c r="K1065" t="str">
        <f>"BHMSE"</f>
        <v>BHMSE</v>
      </c>
      <c r="L1065" t="str">
        <f t="shared" si="195"/>
        <v>HUN</v>
      </c>
      <c r="M1065">
        <v>6</v>
      </c>
      <c r="O1065" s="83" t="s">
        <v>647</v>
      </c>
      <c r="P1065" s="78">
        <v>45556</v>
      </c>
      <c r="Q1065" t="str">
        <f t="shared" si="193"/>
        <v>Éles Léna - BHMSE</v>
      </c>
      <c r="R1065" t="s">
        <v>636</v>
      </c>
      <c r="S1065" t="s">
        <v>636</v>
      </c>
      <c r="T1065" t="s">
        <v>645</v>
      </c>
    </row>
    <row r="1066" spans="1:20" x14ac:dyDescent="0.3">
      <c r="A1066" s="2" t="s">
        <v>646</v>
      </c>
      <c r="B1066" s="50">
        <v>2</v>
      </c>
      <c r="C1066">
        <v>37</v>
      </c>
      <c r="D1066" t="str">
        <f t="shared" si="196"/>
        <v>Kumite</v>
      </c>
      <c r="E1066" t="str">
        <f>"Kumite, Ifi női 60 kg"</f>
        <v>Kumite, Ifi női 60 kg</v>
      </c>
      <c r="F1066" t="s">
        <v>551</v>
      </c>
      <c r="G1066" t="str">
        <f t="shared" si="197"/>
        <v>4</v>
      </c>
      <c r="H1066" t="str">
        <f t="shared" si="198"/>
        <v>4 fős körmérkőzés</v>
      </c>
      <c r="I1066" t="str">
        <f>"2"</f>
        <v>2</v>
      </c>
      <c r="J1066" t="str">
        <f>"Orosz Dorina"</f>
        <v>Orosz Dorina</v>
      </c>
      <c r="K1066" t="str">
        <f>"Kemecse SE"</f>
        <v>Kemecse SE</v>
      </c>
      <c r="L1066" t="str">
        <f t="shared" si="195"/>
        <v>HUN</v>
      </c>
      <c r="M1066">
        <v>5</v>
      </c>
      <c r="O1066" s="83" t="s">
        <v>647</v>
      </c>
      <c r="P1066" s="78">
        <v>45556</v>
      </c>
      <c r="Q1066" t="str">
        <f t="shared" si="193"/>
        <v>Orosz Dorina - Kemecse SE</v>
      </c>
      <c r="R1066" t="s">
        <v>636</v>
      </c>
      <c r="S1066" t="s">
        <v>636</v>
      </c>
      <c r="T1066" t="s">
        <v>645</v>
      </c>
    </row>
    <row r="1067" spans="1:20" x14ac:dyDescent="0.3">
      <c r="A1067" s="2" t="s">
        <v>646</v>
      </c>
      <c r="B1067" s="50">
        <v>2</v>
      </c>
      <c r="C1067">
        <v>38</v>
      </c>
      <c r="D1067" t="str">
        <f t="shared" si="196"/>
        <v>Kumite</v>
      </c>
      <c r="E1067" t="str">
        <f>"Kumite, Ifi női 60 kg"</f>
        <v>Kumite, Ifi női 60 kg</v>
      </c>
      <c r="F1067" t="s">
        <v>551</v>
      </c>
      <c r="G1067" t="str">
        <f t="shared" si="197"/>
        <v>4</v>
      </c>
      <c r="H1067" t="str">
        <f t="shared" si="198"/>
        <v>4 fős körmérkőzés</v>
      </c>
      <c r="I1067" t="str">
        <f>"3"</f>
        <v>3</v>
      </c>
      <c r="J1067" t="str">
        <f>"Szücs Hanna"</f>
        <v>Szücs Hanna</v>
      </c>
      <c r="K1067" t="str">
        <f>"Castrum"</f>
        <v>Castrum</v>
      </c>
      <c r="L1067" t="str">
        <f t="shared" si="195"/>
        <v>HUN</v>
      </c>
      <c r="M1067">
        <v>3</v>
      </c>
      <c r="O1067" s="83" t="s">
        <v>647</v>
      </c>
      <c r="P1067" s="78">
        <v>45556</v>
      </c>
      <c r="Q1067" t="str">
        <f t="shared" si="193"/>
        <v>Szücs Hanna - Castrum</v>
      </c>
      <c r="R1067" t="s">
        <v>636</v>
      </c>
      <c r="S1067" t="s">
        <v>636</v>
      </c>
      <c r="T1067" t="s">
        <v>645</v>
      </c>
    </row>
    <row r="1068" spans="1:20" x14ac:dyDescent="0.3">
      <c r="A1068" s="2" t="s">
        <v>646</v>
      </c>
      <c r="B1068" s="50">
        <v>2</v>
      </c>
      <c r="C1068">
        <v>39</v>
      </c>
      <c r="D1068" t="str">
        <f t="shared" si="196"/>
        <v>Kumite</v>
      </c>
      <c r="E1068" t="str">
        <f>"Kumite, Ifi női 65 kg"</f>
        <v>Kumite, Ifi női 65 kg</v>
      </c>
      <c r="F1068" t="s">
        <v>552</v>
      </c>
      <c r="G1068" t="str">
        <f t="shared" si="197"/>
        <v>4</v>
      </c>
      <c r="H1068" t="str">
        <f t="shared" si="198"/>
        <v>4 fős körmérkőzés</v>
      </c>
      <c r="I1068" t="str">
        <f>"1"</f>
        <v>1</v>
      </c>
      <c r="J1068" t="str">
        <f>"Gerő Hanna Gréta"</f>
        <v>Gerő Hanna Gréta</v>
      </c>
      <c r="K1068" t="str">
        <f>"Kagami"</f>
        <v>Kagami</v>
      </c>
      <c r="L1068" t="str">
        <f t="shared" si="195"/>
        <v>HUN</v>
      </c>
      <c r="M1068">
        <v>6</v>
      </c>
      <c r="O1068" s="83" t="s">
        <v>647</v>
      </c>
      <c r="P1068" s="78">
        <v>45556</v>
      </c>
      <c r="Q1068" t="str">
        <f t="shared" si="193"/>
        <v>Gerő Hanna Gréta - Kagami</v>
      </c>
      <c r="R1068" t="s">
        <v>636</v>
      </c>
      <c r="S1068" t="s">
        <v>636</v>
      </c>
      <c r="T1068" t="s">
        <v>645</v>
      </c>
    </row>
    <row r="1069" spans="1:20" x14ac:dyDescent="0.3">
      <c r="A1069" s="2" t="s">
        <v>646</v>
      </c>
      <c r="B1069" s="50">
        <v>2</v>
      </c>
      <c r="C1069">
        <v>40</v>
      </c>
      <c r="D1069" t="str">
        <f t="shared" si="196"/>
        <v>Kumite</v>
      </c>
      <c r="E1069" t="str">
        <f>"Kumite, Ifi női 65 kg"</f>
        <v>Kumite, Ifi női 65 kg</v>
      </c>
      <c r="F1069" t="s">
        <v>552</v>
      </c>
      <c r="G1069" t="str">
        <f t="shared" si="197"/>
        <v>4</v>
      </c>
      <c r="H1069" t="str">
        <f t="shared" si="198"/>
        <v>4 fős körmérkőzés</v>
      </c>
      <c r="I1069" t="str">
        <f>"2"</f>
        <v>2</v>
      </c>
      <c r="J1069" t="str">
        <f>"Szutor Anna"</f>
        <v>Szutor Anna</v>
      </c>
      <c r="K1069" t="str">
        <f>"Shogun"</f>
        <v>Shogun</v>
      </c>
      <c r="L1069" t="str">
        <f t="shared" si="195"/>
        <v>HUN</v>
      </c>
      <c r="M1069">
        <v>5</v>
      </c>
      <c r="O1069" s="83" t="s">
        <v>647</v>
      </c>
      <c r="P1069" s="78">
        <v>45556</v>
      </c>
      <c r="Q1069" t="str">
        <f t="shared" si="193"/>
        <v>Szutor Anna - Shogun</v>
      </c>
      <c r="R1069" t="s">
        <v>636</v>
      </c>
      <c r="S1069" t="s">
        <v>636</v>
      </c>
      <c r="T1069" t="s">
        <v>645</v>
      </c>
    </row>
    <row r="1070" spans="1:20" x14ac:dyDescent="0.3">
      <c r="A1070" s="2" t="s">
        <v>646</v>
      </c>
      <c r="B1070" s="50">
        <v>2</v>
      </c>
      <c r="C1070">
        <v>41</v>
      </c>
      <c r="D1070" t="str">
        <f t="shared" si="196"/>
        <v>Kumite</v>
      </c>
      <c r="E1070" t="str">
        <f>"Kumite, Ifi női 65 kg"</f>
        <v>Kumite, Ifi női 65 kg</v>
      </c>
      <c r="F1070" t="s">
        <v>552</v>
      </c>
      <c r="G1070" t="str">
        <f t="shared" si="197"/>
        <v>4</v>
      </c>
      <c r="H1070" t="str">
        <f t="shared" si="198"/>
        <v>4 fős körmérkőzés</v>
      </c>
      <c r="I1070" t="str">
        <f>"3"</f>
        <v>3</v>
      </c>
      <c r="J1070" t="str">
        <f>"Szabó Petra"</f>
        <v>Szabó Petra</v>
      </c>
      <c r="K1070" t="str">
        <f>"Shogun"</f>
        <v>Shogun</v>
      </c>
      <c r="L1070" t="str">
        <f t="shared" si="195"/>
        <v>HUN</v>
      </c>
      <c r="M1070">
        <v>3</v>
      </c>
      <c r="O1070" s="83" t="s">
        <v>647</v>
      </c>
      <c r="P1070" s="78">
        <v>45556</v>
      </c>
      <c r="Q1070" t="str">
        <f t="shared" si="193"/>
        <v>Szabó Petra - Shogun</v>
      </c>
      <c r="R1070" t="s">
        <v>636</v>
      </c>
      <c r="S1070" t="s">
        <v>636</v>
      </c>
      <c r="T1070" t="s">
        <v>645</v>
      </c>
    </row>
    <row r="1071" spans="1:20" x14ac:dyDescent="0.3">
      <c r="A1071" s="2" t="s">
        <v>646</v>
      </c>
      <c r="B1071" s="50">
        <v>2</v>
      </c>
      <c r="C1071">
        <v>42</v>
      </c>
      <c r="D1071" t="str">
        <f t="shared" si="196"/>
        <v>Kumite</v>
      </c>
      <c r="E1071" t="str">
        <f>"Kumite, Ifi női  65 kg"</f>
        <v>Kumite, Ifi női  65 kg</v>
      </c>
      <c r="F1071" t="s">
        <v>553</v>
      </c>
      <c r="G1071" t="str">
        <f t="shared" ref="G1071:G1076" si="199">"2"</f>
        <v>2</v>
      </c>
      <c r="H1071" t="str">
        <f t="shared" ref="H1071:H1076" si="200">"2 fős egyenes kiesés"</f>
        <v>2 fős egyenes kiesés</v>
      </c>
      <c r="I1071" t="str">
        <f>"1"</f>
        <v>1</v>
      </c>
      <c r="J1071" t="str">
        <f>"Vórincsák Vivien"</f>
        <v>Vórincsák Vivien</v>
      </c>
      <c r="K1071" t="str">
        <f>"KHSE"</f>
        <v>KHSE</v>
      </c>
      <c r="L1071" t="str">
        <f t="shared" si="195"/>
        <v>HUN</v>
      </c>
      <c r="M1071">
        <v>3</v>
      </c>
      <c r="O1071" s="83" t="s">
        <v>647</v>
      </c>
      <c r="P1071" s="78">
        <v>45556</v>
      </c>
      <c r="Q1071" t="str">
        <f t="shared" si="193"/>
        <v>Vórincsák Vivien - KHSE</v>
      </c>
      <c r="R1071" t="s">
        <v>636</v>
      </c>
      <c r="S1071" t="s">
        <v>636</v>
      </c>
      <c r="T1071" t="s">
        <v>645</v>
      </c>
    </row>
    <row r="1072" spans="1:20" x14ac:dyDescent="0.3">
      <c r="A1072" s="2" t="s">
        <v>646</v>
      </c>
      <c r="B1072" s="50">
        <v>2</v>
      </c>
      <c r="C1072">
        <v>43</v>
      </c>
      <c r="D1072" t="str">
        <f t="shared" si="196"/>
        <v>Kumite</v>
      </c>
      <c r="E1072" t="str">
        <f>"Kumite, Ifi női  65 kg"</f>
        <v>Kumite, Ifi női  65 kg</v>
      </c>
      <c r="F1072" t="s">
        <v>553</v>
      </c>
      <c r="G1072" t="str">
        <f t="shared" si="199"/>
        <v>2</v>
      </c>
      <c r="H1072" t="str">
        <f t="shared" si="200"/>
        <v>2 fős egyenes kiesés</v>
      </c>
      <c r="I1072" t="str">
        <f>"2"</f>
        <v>2</v>
      </c>
      <c r="J1072" t="str">
        <f>"Ecsedi Réka"</f>
        <v>Ecsedi Réka</v>
      </c>
      <c r="K1072" t="str">
        <f>"KHSE"</f>
        <v>KHSE</v>
      </c>
      <c r="L1072" t="str">
        <f t="shared" si="195"/>
        <v>HUN</v>
      </c>
      <c r="M1072">
        <v>0</v>
      </c>
      <c r="N1072" t="s">
        <v>584</v>
      </c>
      <c r="O1072" s="83" t="s">
        <v>647</v>
      </c>
      <c r="P1072" s="78">
        <v>45556</v>
      </c>
      <c r="Q1072" t="str">
        <f t="shared" si="193"/>
        <v>Ecsedi Réka - KHSE</v>
      </c>
      <c r="R1072" t="s">
        <v>636</v>
      </c>
      <c r="S1072" t="s">
        <v>636</v>
      </c>
      <c r="T1072" t="s">
        <v>645</v>
      </c>
    </row>
    <row r="1073" spans="1:20" x14ac:dyDescent="0.3">
      <c r="A1073" s="2" t="s">
        <v>646</v>
      </c>
      <c r="B1073" s="50">
        <v>2</v>
      </c>
      <c r="C1073">
        <v>44</v>
      </c>
      <c r="D1073" t="str">
        <f t="shared" si="196"/>
        <v>Kumite</v>
      </c>
      <c r="E1073" t="str">
        <f>"Kumite, Junior ffi 60 kg"</f>
        <v>Kumite, Junior ffi 60 kg</v>
      </c>
      <c r="F1073" t="s">
        <v>496</v>
      </c>
      <c r="G1073" t="str">
        <f t="shared" si="199"/>
        <v>2</v>
      </c>
      <c r="H1073" t="str">
        <f t="shared" si="200"/>
        <v>2 fős egyenes kiesés</v>
      </c>
      <c r="I1073" t="str">
        <f>"1"</f>
        <v>1</v>
      </c>
      <c r="J1073" t="str">
        <f>"Pető Zsombor Tamás"</f>
        <v>Pető Zsombor Tamás</v>
      </c>
      <c r="K1073" t="str">
        <f>"Spirit SE."</f>
        <v>Spirit SE.</v>
      </c>
      <c r="L1073" t="str">
        <f t="shared" si="195"/>
        <v>HUN</v>
      </c>
      <c r="M1073">
        <v>3</v>
      </c>
      <c r="O1073" s="83" t="s">
        <v>647</v>
      </c>
      <c r="P1073" s="78">
        <v>45556</v>
      </c>
      <c r="Q1073" t="str">
        <f t="shared" si="193"/>
        <v>Pető Zsombor Tamás - Spirit SE.</v>
      </c>
      <c r="R1073" t="s">
        <v>636</v>
      </c>
      <c r="S1073" t="s">
        <v>636</v>
      </c>
      <c r="T1073" t="s">
        <v>645</v>
      </c>
    </row>
    <row r="1074" spans="1:20" x14ac:dyDescent="0.3">
      <c r="A1074" s="2" t="s">
        <v>646</v>
      </c>
      <c r="B1074" s="50">
        <v>2</v>
      </c>
      <c r="C1074">
        <v>45</v>
      </c>
      <c r="D1074" t="str">
        <f t="shared" si="196"/>
        <v>Kumite</v>
      </c>
      <c r="E1074" t="str">
        <f>"Kumite, Junior ffi 60 kg"</f>
        <v>Kumite, Junior ffi 60 kg</v>
      </c>
      <c r="F1074" t="s">
        <v>496</v>
      </c>
      <c r="G1074" t="str">
        <f t="shared" si="199"/>
        <v>2</v>
      </c>
      <c r="H1074" t="str">
        <f t="shared" si="200"/>
        <v>2 fős egyenes kiesés</v>
      </c>
      <c r="I1074" t="str">
        <f>"2"</f>
        <v>2</v>
      </c>
      <c r="J1074" t="str">
        <f>"Haverla Levente Bálint"</f>
        <v>Haverla Levente Bálint</v>
      </c>
      <c r="K1074" t="str">
        <f>"Bendiák Dojo"</f>
        <v>Bendiák Dojo</v>
      </c>
      <c r="L1074" t="str">
        <f t="shared" si="195"/>
        <v>HUN</v>
      </c>
      <c r="M1074">
        <v>0</v>
      </c>
      <c r="N1074" t="s">
        <v>584</v>
      </c>
      <c r="O1074" s="83" t="s">
        <v>647</v>
      </c>
      <c r="P1074" s="78">
        <v>45556</v>
      </c>
      <c r="Q1074" t="str">
        <f t="shared" si="193"/>
        <v>Haverla Levente Bálint - Bendiák Dojo</v>
      </c>
      <c r="R1074" t="s">
        <v>636</v>
      </c>
      <c r="S1074" t="s">
        <v>636</v>
      </c>
      <c r="T1074" t="s">
        <v>645</v>
      </c>
    </row>
    <row r="1075" spans="1:20" x14ac:dyDescent="0.3">
      <c r="A1075" s="2" t="s">
        <v>646</v>
      </c>
      <c r="B1075" s="50">
        <v>2</v>
      </c>
      <c r="C1075">
        <v>46</v>
      </c>
      <c r="D1075" t="str">
        <f t="shared" si="196"/>
        <v>Kumite</v>
      </c>
      <c r="E1075" t="str">
        <f>"Kumite, Junior ffi 70 kg"</f>
        <v>Kumite, Junior ffi 70 kg</v>
      </c>
      <c r="F1075" t="s">
        <v>498</v>
      </c>
      <c r="G1075" t="str">
        <f t="shared" si="199"/>
        <v>2</v>
      </c>
      <c r="H1075" t="str">
        <f t="shared" si="200"/>
        <v>2 fős egyenes kiesés</v>
      </c>
      <c r="I1075" t="str">
        <f>"1"</f>
        <v>1</v>
      </c>
      <c r="J1075" t="str">
        <f>"Rozgics Dominik"</f>
        <v>Rozgics Dominik</v>
      </c>
      <c r="K1075" t="str">
        <f>"Kemecse SE"</f>
        <v>Kemecse SE</v>
      </c>
      <c r="L1075" t="str">
        <f t="shared" si="195"/>
        <v>HUN</v>
      </c>
      <c r="M1075">
        <v>3</v>
      </c>
      <c r="O1075" s="83" t="s">
        <v>647</v>
      </c>
      <c r="P1075" s="78">
        <v>45556</v>
      </c>
      <c r="Q1075" t="str">
        <f t="shared" si="193"/>
        <v>Rozgics Dominik - Kemecse SE</v>
      </c>
      <c r="R1075" t="s">
        <v>636</v>
      </c>
      <c r="S1075" t="s">
        <v>636</v>
      </c>
      <c r="T1075" t="s">
        <v>645</v>
      </c>
    </row>
    <row r="1076" spans="1:20" x14ac:dyDescent="0.3">
      <c r="A1076" s="2" t="s">
        <v>646</v>
      </c>
      <c r="B1076" s="50">
        <v>2</v>
      </c>
      <c r="C1076">
        <v>47</v>
      </c>
      <c r="D1076" t="str">
        <f t="shared" si="196"/>
        <v>Kumite</v>
      </c>
      <c r="E1076" t="str">
        <f>"Kumite, Junior ffi 70 kg"</f>
        <v>Kumite, Junior ffi 70 kg</v>
      </c>
      <c r="F1076" t="s">
        <v>498</v>
      </c>
      <c r="G1076" t="str">
        <f t="shared" si="199"/>
        <v>2</v>
      </c>
      <c r="H1076" t="str">
        <f t="shared" si="200"/>
        <v>2 fős egyenes kiesés</v>
      </c>
      <c r="I1076" t="str">
        <f>"2"</f>
        <v>2</v>
      </c>
      <c r="J1076" t="str">
        <f>"Gáspár Botond"</f>
        <v>Gáspár Botond</v>
      </c>
      <c r="K1076" t="str">
        <f>"Főnix Dojo"</f>
        <v>Főnix Dojo</v>
      </c>
      <c r="L1076" t="str">
        <f t="shared" si="195"/>
        <v>HUN</v>
      </c>
      <c r="M1076">
        <v>0</v>
      </c>
      <c r="N1076" t="s">
        <v>584</v>
      </c>
      <c r="O1076" s="83" t="s">
        <v>647</v>
      </c>
      <c r="P1076" s="78">
        <v>45556</v>
      </c>
      <c r="Q1076" t="str">
        <f t="shared" si="193"/>
        <v>Gáspár Botond - Főnix Dojo</v>
      </c>
      <c r="R1076" t="s">
        <v>636</v>
      </c>
      <c r="S1076" t="s">
        <v>636</v>
      </c>
      <c r="T1076" t="s">
        <v>645</v>
      </c>
    </row>
    <row r="1077" spans="1:20" x14ac:dyDescent="0.3">
      <c r="A1077" s="2" t="s">
        <v>646</v>
      </c>
      <c r="B1077" s="50">
        <v>2</v>
      </c>
      <c r="C1077">
        <v>48</v>
      </c>
      <c r="D1077" t="str">
        <f t="shared" si="196"/>
        <v>Kumite</v>
      </c>
      <c r="E1077" t="str">
        <f>"Kumite, Junior ffi  70 kg"</f>
        <v>Kumite, Junior ffi  70 kg</v>
      </c>
      <c r="F1077" t="s">
        <v>648</v>
      </c>
      <c r="G1077" t="str">
        <f t="shared" ref="G1077:G1093" si="201">"3"</f>
        <v>3</v>
      </c>
      <c r="H1077" t="str">
        <f t="shared" ref="H1077:H1093" si="202">"3 fős körmérkőzés"</f>
        <v>3 fős körmérkőzés</v>
      </c>
      <c r="I1077" t="str">
        <f>"1"</f>
        <v>1</v>
      </c>
      <c r="J1077" t="str">
        <f>"Bede Zsombor"</f>
        <v>Bede Zsombor</v>
      </c>
      <c r="K1077" t="str">
        <f>"Ippon KKSE"</f>
        <v>Ippon KKSE</v>
      </c>
      <c r="L1077" t="str">
        <f t="shared" si="195"/>
        <v>HUN</v>
      </c>
      <c r="M1077">
        <v>4</v>
      </c>
      <c r="O1077" s="83" t="s">
        <v>647</v>
      </c>
      <c r="P1077" s="78">
        <v>45556</v>
      </c>
      <c r="Q1077" t="str">
        <f t="shared" si="193"/>
        <v>Bede Zsombor - Ippon KKSE</v>
      </c>
      <c r="R1077" t="s">
        <v>636</v>
      </c>
      <c r="S1077" t="s">
        <v>636</v>
      </c>
      <c r="T1077" t="s">
        <v>645</v>
      </c>
    </row>
    <row r="1078" spans="1:20" x14ac:dyDescent="0.3">
      <c r="A1078" s="2" t="s">
        <v>646</v>
      </c>
      <c r="B1078" s="50">
        <v>2</v>
      </c>
      <c r="C1078">
        <v>49</v>
      </c>
      <c r="D1078" t="str">
        <f t="shared" si="196"/>
        <v>Kumite</v>
      </c>
      <c r="E1078" t="str">
        <f>"Kumite, Junior ffi  70 kg"</f>
        <v>Kumite, Junior ffi  70 kg</v>
      </c>
      <c r="F1078" t="s">
        <v>648</v>
      </c>
      <c r="G1078" t="str">
        <f t="shared" si="201"/>
        <v>3</v>
      </c>
      <c r="H1078" t="str">
        <f t="shared" si="202"/>
        <v>3 fős körmérkőzés</v>
      </c>
      <c r="I1078" t="str">
        <f>"2"</f>
        <v>2</v>
      </c>
      <c r="J1078" t="str">
        <f>"Esvég Dominik"</f>
        <v>Esvég Dominik</v>
      </c>
      <c r="K1078" t="str">
        <f>"Kisvárda KKDOSC"</f>
        <v>Kisvárda KKDOSC</v>
      </c>
      <c r="L1078" t="str">
        <f t="shared" si="195"/>
        <v>HUN</v>
      </c>
      <c r="M1078">
        <v>3</v>
      </c>
      <c r="O1078" s="83" t="s">
        <v>647</v>
      </c>
      <c r="P1078" s="78">
        <v>45556</v>
      </c>
      <c r="Q1078" t="str">
        <f t="shared" si="193"/>
        <v>Esvég Dominik - Kisvárda KKDOSC</v>
      </c>
      <c r="R1078" t="s">
        <v>636</v>
      </c>
      <c r="S1078" t="s">
        <v>636</v>
      </c>
      <c r="T1078" t="s">
        <v>645</v>
      </c>
    </row>
    <row r="1079" spans="1:20" x14ac:dyDescent="0.3">
      <c r="A1079" s="2" t="s">
        <v>646</v>
      </c>
      <c r="B1079" s="50">
        <v>2</v>
      </c>
      <c r="C1079">
        <v>25</v>
      </c>
      <c r="D1079" t="str">
        <f t="shared" si="192"/>
        <v>Kumite</v>
      </c>
      <c r="E1079" t="str">
        <f>"Kumite, Junior ffi  70 kg"</f>
        <v>Kumite, Junior ffi  70 kg</v>
      </c>
      <c r="F1079" t="s">
        <v>648</v>
      </c>
      <c r="G1079" t="str">
        <f>"3"</f>
        <v>3</v>
      </c>
      <c r="H1079" t="str">
        <f>"3 fős körmérkőzés"</f>
        <v>3 fős körmérkőzés</v>
      </c>
      <c r="I1079" t="str">
        <f>"3"</f>
        <v>3</v>
      </c>
      <c r="J1079" t="str">
        <f>"Baricza Péter"</f>
        <v>Baricza Péter</v>
      </c>
      <c r="K1079" t="str">
        <f>"Spirit SE."</f>
        <v>Spirit SE.</v>
      </c>
      <c r="L1079" t="str">
        <f t="shared" si="195"/>
        <v>HUN</v>
      </c>
      <c r="M1079">
        <v>0</v>
      </c>
      <c r="N1079" t="s">
        <v>584</v>
      </c>
      <c r="O1079" s="83" t="s">
        <v>647</v>
      </c>
      <c r="P1079" s="78">
        <v>45556</v>
      </c>
      <c r="Q1079" t="str">
        <f>J1079&amp;" - "&amp;K1079</f>
        <v>Baricza Péter - Spirit SE.</v>
      </c>
      <c r="R1079" t="s">
        <v>636</v>
      </c>
      <c r="S1079" t="s">
        <v>636</v>
      </c>
      <c r="T1079" t="s">
        <v>645</v>
      </c>
    </row>
    <row r="1080" spans="1:20" x14ac:dyDescent="0.3">
      <c r="A1080" s="2" t="s">
        <v>646</v>
      </c>
      <c r="B1080" s="50">
        <v>2</v>
      </c>
      <c r="C1080">
        <v>51</v>
      </c>
      <c r="D1080" t="str">
        <f t="shared" si="196"/>
        <v>Kumite</v>
      </c>
      <c r="E1080" t="str">
        <f>"Kumite, Junior női 60 kg"</f>
        <v>Kumite, Junior női 60 kg</v>
      </c>
      <c r="F1080" t="s">
        <v>506</v>
      </c>
      <c r="G1080" t="str">
        <f t="shared" si="201"/>
        <v>3</v>
      </c>
      <c r="H1080" t="str">
        <f t="shared" si="202"/>
        <v>3 fős körmérkőzés</v>
      </c>
      <c r="I1080" t="str">
        <f>"1"</f>
        <v>1</v>
      </c>
      <c r="J1080" t="str">
        <f>"Kis Mónika"</f>
        <v>Kis Mónika</v>
      </c>
      <c r="K1080" t="str">
        <f>"Főnix Dojo"</f>
        <v>Főnix Dojo</v>
      </c>
      <c r="L1080" t="str">
        <f t="shared" si="195"/>
        <v>HUN</v>
      </c>
      <c r="M1080">
        <v>4</v>
      </c>
      <c r="O1080" s="83" t="s">
        <v>647</v>
      </c>
      <c r="P1080" s="78">
        <v>45556</v>
      </c>
      <c r="Q1080" t="str">
        <f t="shared" ref="Q1080:Q1118" si="203">J1080&amp;" - "&amp;K1080</f>
        <v>Kis Mónika - Főnix Dojo</v>
      </c>
      <c r="R1080" t="s">
        <v>636</v>
      </c>
      <c r="S1080" t="s">
        <v>636</v>
      </c>
      <c r="T1080" t="s">
        <v>645</v>
      </c>
    </row>
    <row r="1081" spans="1:20" x14ac:dyDescent="0.3">
      <c r="A1081" s="2" t="s">
        <v>646</v>
      </c>
      <c r="B1081" s="50">
        <v>2</v>
      </c>
      <c r="C1081">
        <v>52</v>
      </c>
      <c r="D1081" t="str">
        <f t="shared" si="196"/>
        <v>Kumite</v>
      </c>
      <c r="E1081" t="str">
        <f>"Kumite, Junior női 60 kg"</f>
        <v>Kumite, Junior női 60 kg</v>
      </c>
      <c r="F1081" t="s">
        <v>506</v>
      </c>
      <c r="G1081" t="str">
        <f t="shared" si="201"/>
        <v>3</v>
      </c>
      <c r="H1081" t="str">
        <f t="shared" si="202"/>
        <v>3 fős körmérkőzés</v>
      </c>
      <c r="I1081" t="str">
        <f>"2"</f>
        <v>2</v>
      </c>
      <c r="J1081" t="str">
        <f>"Bánky Liliána"</f>
        <v>Bánky Liliána</v>
      </c>
      <c r="K1081" t="str">
        <f>"BHMSE"</f>
        <v>BHMSE</v>
      </c>
      <c r="L1081" t="str">
        <f t="shared" si="195"/>
        <v>HUN</v>
      </c>
      <c r="M1081">
        <v>3</v>
      </c>
      <c r="O1081" s="83" t="s">
        <v>647</v>
      </c>
      <c r="P1081" s="78">
        <v>45556</v>
      </c>
      <c r="Q1081" t="str">
        <f t="shared" si="203"/>
        <v>Bánky Liliána - BHMSE</v>
      </c>
      <c r="R1081" t="s">
        <v>636</v>
      </c>
      <c r="S1081" t="s">
        <v>636</v>
      </c>
      <c r="T1081" t="s">
        <v>645</v>
      </c>
    </row>
    <row r="1082" spans="1:20" x14ac:dyDescent="0.3">
      <c r="A1082" s="2" t="s">
        <v>646</v>
      </c>
      <c r="B1082" s="50">
        <v>2</v>
      </c>
      <c r="C1082">
        <v>53</v>
      </c>
      <c r="D1082" t="str">
        <f t="shared" si="196"/>
        <v>Kumite</v>
      </c>
      <c r="E1082" t="str">
        <f>"Kumite, Junior női 60 kg"</f>
        <v>Kumite, Junior női 60 kg</v>
      </c>
      <c r="F1082" t="s">
        <v>506</v>
      </c>
      <c r="G1082" t="str">
        <f t="shared" si="201"/>
        <v>3</v>
      </c>
      <c r="H1082" t="str">
        <f t="shared" si="202"/>
        <v>3 fős körmérkőzés</v>
      </c>
      <c r="I1082" t="str">
        <f>"3"</f>
        <v>3</v>
      </c>
      <c r="J1082" t="str">
        <f>"Szigeti Zsófia"</f>
        <v>Szigeti Zsófia</v>
      </c>
      <c r="K1082" t="str">
        <f>"Kemecse SE"</f>
        <v>Kemecse SE</v>
      </c>
      <c r="L1082" t="str">
        <f t="shared" si="195"/>
        <v>HUN</v>
      </c>
      <c r="M1082">
        <v>0</v>
      </c>
      <c r="N1082" t="s">
        <v>584</v>
      </c>
      <c r="O1082" s="83" t="s">
        <v>647</v>
      </c>
      <c r="P1082" s="78">
        <v>45556</v>
      </c>
      <c r="Q1082" t="str">
        <f t="shared" si="203"/>
        <v>Szigeti Zsófia - Kemecse SE</v>
      </c>
      <c r="R1082" t="s">
        <v>636</v>
      </c>
      <c r="S1082" t="s">
        <v>636</v>
      </c>
      <c r="T1082" t="s">
        <v>645</v>
      </c>
    </row>
    <row r="1083" spans="1:20" x14ac:dyDescent="0.3">
      <c r="A1083" s="2" t="s">
        <v>646</v>
      </c>
      <c r="B1083" s="50">
        <v>2</v>
      </c>
      <c r="C1083">
        <v>50</v>
      </c>
      <c r="D1083" t="str">
        <f t="shared" si="196"/>
        <v>Kumite</v>
      </c>
      <c r="E1083" t="str">
        <f>"Kumite, U20 ffi 70 kg"</f>
        <v>Kumite, U20 ffi 70 kg</v>
      </c>
      <c r="F1083" s="83" t="s">
        <v>649</v>
      </c>
      <c r="G1083" t="str">
        <f t="shared" si="201"/>
        <v>3</v>
      </c>
      <c r="H1083" t="str">
        <f t="shared" si="202"/>
        <v>3 fős körmérkőzés</v>
      </c>
      <c r="I1083" t="str">
        <f>"1"</f>
        <v>1</v>
      </c>
      <c r="J1083" t="str">
        <f>"Hardi Balázs"</f>
        <v>Hardi Balázs</v>
      </c>
      <c r="K1083" t="str">
        <f>"Siófok KSE"</f>
        <v>Siófok KSE</v>
      </c>
      <c r="L1083" t="str">
        <f t="shared" si="195"/>
        <v>HUN</v>
      </c>
      <c r="M1083">
        <v>4</v>
      </c>
      <c r="O1083" s="83" t="s">
        <v>647</v>
      </c>
      <c r="P1083" s="78">
        <v>45556</v>
      </c>
      <c r="Q1083" t="str">
        <f>J1083&amp;" - "&amp;K1083</f>
        <v>Hardi Balázs - Siófok KSE</v>
      </c>
      <c r="R1083" t="s">
        <v>636</v>
      </c>
      <c r="S1083" t="s">
        <v>636</v>
      </c>
      <c r="T1083" t="s">
        <v>645</v>
      </c>
    </row>
    <row r="1084" spans="1:20" x14ac:dyDescent="0.3">
      <c r="A1084" s="2" t="s">
        <v>646</v>
      </c>
      <c r="B1084" s="50">
        <v>2</v>
      </c>
      <c r="C1084">
        <v>55</v>
      </c>
      <c r="D1084" t="str">
        <f t="shared" si="196"/>
        <v>Kumite</v>
      </c>
      <c r="E1084" t="str">
        <f>"Kumite, U20 ffi 70 kg"</f>
        <v>Kumite, U20 ffi 70 kg</v>
      </c>
      <c r="F1084" s="83" t="s">
        <v>649</v>
      </c>
      <c r="G1084" t="str">
        <f t="shared" si="201"/>
        <v>3</v>
      </c>
      <c r="H1084" t="str">
        <f t="shared" si="202"/>
        <v>3 fős körmérkőzés</v>
      </c>
      <c r="I1084" t="str">
        <f>"2"</f>
        <v>2</v>
      </c>
      <c r="J1084" t="str">
        <f>"Balázs Ákos"</f>
        <v>Balázs Ákos</v>
      </c>
      <c r="K1084" t="str">
        <f>"Shogun"</f>
        <v>Shogun</v>
      </c>
      <c r="L1084" t="str">
        <f t="shared" si="195"/>
        <v>HUN</v>
      </c>
      <c r="M1084">
        <v>3</v>
      </c>
      <c r="O1084" s="83" t="s">
        <v>647</v>
      </c>
      <c r="P1084" s="78">
        <v>45556</v>
      </c>
      <c r="Q1084" t="str">
        <f t="shared" si="203"/>
        <v>Balázs Ákos - Shogun</v>
      </c>
      <c r="R1084" t="s">
        <v>636</v>
      </c>
      <c r="S1084" t="s">
        <v>636</v>
      </c>
      <c r="T1084" t="s">
        <v>645</v>
      </c>
    </row>
    <row r="1085" spans="1:20" x14ac:dyDescent="0.3">
      <c r="A1085" s="2" t="s">
        <v>646</v>
      </c>
      <c r="B1085" s="50">
        <v>2</v>
      </c>
      <c r="C1085">
        <v>56</v>
      </c>
      <c r="D1085" t="str">
        <f t="shared" si="196"/>
        <v>Kumite</v>
      </c>
      <c r="E1085" t="str">
        <f>"Kumite, U20 ffi 70 kg"</f>
        <v>Kumite, U20 ffi 70 kg</v>
      </c>
      <c r="F1085" s="83" t="s">
        <v>649</v>
      </c>
      <c r="G1085" t="str">
        <f t="shared" si="201"/>
        <v>3</v>
      </c>
      <c r="H1085" t="str">
        <f t="shared" si="202"/>
        <v>3 fős körmérkőzés</v>
      </c>
      <c r="I1085" t="str">
        <f>"3"</f>
        <v>3</v>
      </c>
      <c r="J1085" t="str">
        <f>"Gagna Patrik"</f>
        <v>Gagna Patrik</v>
      </c>
      <c r="K1085" t="str">
        <f>"Nozomu Dojo"</f>
        <v>Nozomu Dojo</v>
      </c>
      <c r="L1085" t="str">
        <f t="shared" si="195"/>
        <v>HUN</v>
      </c>
      <c r="M1085">
        <v>0</v>
      </c>
      <c r="N1085" t="s">
        <v>584</v>
      </c>
      <c r="O1085" s="83" t="s">
        <v>647</v>
      </c>
      <c r="P1085" s="78">
        <v>45556</v>
      </c>
      <c r="Q1085" t="str">
        <f t="shared" si="203"/>
        <v>Gagna Patrik - Nozomu Dojo</v>
      </c>
      <c r="R1085" t="s">
        <v>636</v>
      </c>
      <c r="S1085" t="s">
        <v>636</v>
      </c>
      <c r="T1085" t="s">
        <v>645</v>
      </c>
    </row>
    <row r="1086" spans="1:20" x14ac:dyDescent="0.3">
      <c r="A1086" s="2" t="s">
        <v>646</v>
      </c>
      <c r="B1086" s="50">
        <v>2</v>
      </c>
      <c r="C1086">
        <v>57</v>
      </c>
      <c r="D1086" t="str">
        <f t="shared" si="196"/>
        <v>Kumite</v>
      </c>
      <c r="E1086" t="str">
        <f>"Kumite, U20 ffi  85 kg"</f>
        <v>Kumite, U20 ffi  85 kg</v>
      </c>
      <c r="F1086" s="83" t="s">
        <v>650</v>
      </c>
      <c r="G1086" t="str">
        <f t="shared" si="201"/>
        <v>3</v>
      </c>
      <c r="H1086" t="str">
        <f t="shared" si="202"/>
        <v>3 fős körmérkőzés</v>
      </c>
      <c r="I1086" t="str">
        <f>"1"</f>
        <v>1</v>
      </c>
      <c r="J1086" t="str">
        <f>"Zsin Zsombor"</f>
        <v>Zsin Zsombor</v>
      </c>
      <c r="K1086" t="str">
        <f>"BHMSE"</f>
        <v>BHMSE</v>
      </c>
      <c r="L1086" t="str">
        <f t="shared" si="195"/>
        <v>HUN</v>
      </c>
      <c r="M1086">
        <v>4</v>
      </c>
      <c r="O1086" s="83" t="s">
        <v>647</v>
      </c>
      <c r="P1086" s="78">
        <v>45556</v>
      </c>
      <c r="Q1086" t="str">
        <f t="shared" si="203"/>
        <v>Zsin Zsombor - BHMSE</v>
      </c>
      <c r="R1086" t="s">
        <v>636</v>
      </c>
      <c r="S1086" t="s">
        <v>636</v>
      </c>
      <c r="T1086" t="s">
        <v>645</v>
      </c>
    </row>
    <row r="1087" spans="1:20" x14ac:dyDescent="0.3">
      <c r="A1087" s="2" t="s">
        <v>646</v>
      </c>
      <c r="B1087" s="50">
        <v>2</v>
      </c>
      <c r="C1087">
        <v>58</v>
      </c>
      <c r="D1087" t="str">
        <f t="shared" si="196"/>
        <v>Kumite</v>
      </c>
      <c r="E1087" t="str">
        <f>"Kumite, U20 ffi  85 kg"</f>
        <v>Kumite, U20 ffi  85 kg</v>
      </c>
      <c r="F1087" s="83" t="s">
        <v>650</v>
      </c>
      <c r="G1087" t="str">
        <f t="shared" si="201"/>
        <v>3</v>
      </c>
      <c r="H1087" t="str">
        <f t="shared" si="202"/>
        <v>3 fős körmérkőzés</v>
      </c>
      <c r="I1087" t="str">
        <f>"2"</f>
        <v>2</v>
      </c>
      <c r="J1087" t="str">
        <f>"Hoffer András"</f>
        <v>Hoffer András</v>
      </c>
      <c r="K1087" t="str">
        <f>"Castrum"</f>
        <v>Castrum</v>
      </c>
      <c r="L1087" t="str">
        <f t="shared" si="195"/>
        <v>HUN</v>
      </c>
      <c r="M1087">
        <v>3</v>
      </c>
      <c r="O1087" s="83" t="s">
        <v>647</v>
      </c>
      <c r="P1087" s="78">
        <v>45556</v>
      </c>
      <c r="Q1087" t="str">
        <f t="shared" si="203"/>
        <v>Hoffer András - Castrum</v>
      </c>
      <c r="R1087" t="s">
        <v>636</v>
      </c>
      <c r="S1087" t="s">
        <v>636</v>
      </c>
      <c r="T1087" t="s">
        <v>645</v>
      </c>
    </row>
    <row r="1088" spans="1:20" x14ac:dyDescent="0.3">
      <c r="A1088" s="2" t="s">
        <v>646</v>
      </c>
      <c r="B1088" s="50">
        <v>2</v>
      </c>
      <c r="C1088">
        <v>59</v>
      </c>
      <c r="D1088" t="str">
        <f t="shared" si="196"/>
        <v>Kumite</v>
      </c>
      <c r="E1088" t="str">
        <f>"Kumite, U20 ffi  85 kg"</f>
        <v>Kumite, U20 ffi  85 kg</v>
      </c>
      <c r="F1088" s="83" t="s">
        <v>650</v>
      </c>
      <c r="G1088" t="str">
        <f t="shared" si="201"/>
        <v>3</v>
      </c>
      <c r="H1088" t="str">
        <f t="shared" si="202"/>
        <v>3 fős körmérkőzés</v>
      </c>
      <c r="I1088" t="str">
        <f>"3"</f>
        <v>3</v>
      </c>
      <c r="J1088" t="str">
        <f>"Baranyai Máté"</f>
        <v>Baranyai Máté</v>
      </c>
      <c r="K1088" t="str">
        <f>"Shogun"</f>
        <v>Shogun</v>
      </c>
      <c r="L1088" t="str">
        <f t="shared" si="195"/>
        <v>HUN</v>
      </c>
      <c r="M1088">
        <v>0</v>
      </c>
      <c r="N1088" t="s">
        <v>584</v>
      </c>
      <c r="O1088" s="83" t="s">
        <v>647</v>
      </c>
      <c r="P1088" s="78">
        <v>45556</v>
      </c>
      <c r="Q1088" t="str">
        <f t="shared" si="203"/>
        <v>Baranyai Máté - Shogun</v>
      </c>
      <c r="R1088" t="s">
        <v>636</v>
      </c>
      <c r="S1088" t="s">
        <v>636</v>
      </c>
      <c r="T1088" t="s">
        <v>645</v>
      </c>
    </row>
    <row r="1089" spans="1:20" x14ac:dyDescent="0.3">
      <c r="A1089" s="2" t="s">
        <v>646</v>
      </c>
      <c r="B1089" s="50" t="s">
        <v>612</v>
      </c>
      <c r="C1089">
        <v>60</v>
      </c>
      <c r="D1089" t="str">
        <f t="shared" si="196"/>
        <v>Kumite</v>
      </c>
      <c r="E1089" t="str">
        <f>"Kumite, Felnőtt ffi C"</f>
        <v>Kumite, Felnőtt ffi C</v>
      </c>
      <c r="F1089" s="83" t="s">
        <v>651</v>
      </c>
      <c r="G1089" t="str">
        <f>"2"</f>
        <v>2</v>
      </c>
      <c r="H1089" t="str">
        <f>"2 fős egyenes kiesés"</f>
        <v>2 fős egyenes kiesés</v>
      </c>
      <c r="I1089" t="str">
        <f>"1"</f>
        <v>1</v>
      </c>
      <c r="J1089" t="str">
        <f>"Joó Dávid"</f>
        <v>Joó Dávid</v>
      </c>
      <c r="K1089" t="str">
        <f>"ASE Bulldog KKSZCS"</f>
        <v>ASE Bulldog KKSZCS</v>
      </c>
      <c r="L1089" t="str">
        <f t="shared" si="195"/>
        <v>HUN</v>
      </c>
      <c r="M1089">
        <v>1</v>
      </c>
      <c r="O1089" s="83" t="s">
        <v>647</v>
      </c>
      <c r="P1089" s="78">
        <v>45556</v>
      </c>
      <c r="Q1089" t="str">
        <f t="shared" si="203"/>
        <v>Joó Dávid - ASE Bulldog KKSZCS</v>
      </c>
      <c r="R1089" t="s">
        <v>636</v>
      </c>
      <c r="S1089" t="s">
        <v>636</v>
      </c>
      <c r="T1089" t="s">
        <v>644</v>
      </c>
    </row>
    <row r="1090" spans="1:20" x14ac:dyDescent="0.3">
      <c r="A1090" s="2" t="s">
        <v>646</v>
      </c>
      <c r="B1090" s="50" t="s">
        <v>612</v>
      </c>
      <c r="C1090">
        <v>61</v>
      </c>
      <c r="D1090" t="str">
        <f t="shared" si="196"/>
        <v>Kumite</v>
      </c>
      <c r="E1090" t="str">
        <f>"Kumite, Felnőtt ffi C"</f>
        <v>Kumite, Felnőtt ffi C</v>
      </c>
      <c r="F1090" s="83" t="s">
        <v>651</v>
      </c>
      <c r="G1090" t="str">
        <f>"2"</f>
        <v>2</v>
      </c>
      <c r="H1090" t="str">
        <f>"2 fős egyenes kiesés"</f>
        <v>2 fős egyenes kiesés</v>
      </c>
      <c r="I1090" t="str">
        <f>"2"</f>
        <v>2</v>
      </c>
      <c r="J1090" t="str">
        <f>"Hamar Levente"</f>
        <v>Hamar Levente</v>
      </c>
      <c r="K1090" t="str">
        <f>"KHSE"</f>
        <v>KHSE</v>
      </c>
      <c r="L1090" t="str">
        <f t="shared" si="195"/>
        <v>HUN</v>
      </c>
      <c r="M1090">
        <v>0</v>
      </c>
      <c r="N1090" t="s">
        <v>584</v>
      </c>
      <c r="O1090" s="83" t="s">
        <v>647</v>
      </c>
      <c r="P1090" s="78">
        <v>45556</v>
      </c>
      <c r="Q1090" t="str">
        <f t="shared" si="203"/>
        <v>Hamar Levente - KHSE</v>
      </c>
      <c r="R1090" t="s">
        <v>636</v>
      </c>
      <c r="S1090" t="s">
        <v>636</v>
      </c>
      <c r="T1090" t="s">
        <v>644</v>
      </c>
    </row>
    <row r="1091" spans="1:20" x14ac:dyDescent="0.3">
      <c r="A1091" s="2" t="s">
        <v>646</v>
      </c>
      <c r="B1091" s="50" t="s">
        <v>612</v>
      </c>
      <c r="C1091">
        <v>62</v>
      </c>
      <c r="D1091" t="str">
        <f t="shared" si="196"/>
        <v>Kumite</v>
      </c>
      <c r="E1091" t="str">
        <f>"Kumite, Felnőtt női C"</f>
        <v>Kumite, Felnőtt női C</v>
      </c>
      <c r="F1091" s="83" t="s">
        <v>652</v>
      </c>
      <c r="G1091" t="str">
        <f>"3"</f>
        <v>3</v>
      </c>
      <c r="H1091" t="str">
        <f>"3 fős körmérkőzés"</f>
        <v>3 fős körmérkőzés</v>
      </c>
      <c r="I1091" t="str">
        <f>"1"</f>
        <v>1</v>
      </c>
      <c r="J1091" t="str">
        <f>"Sharabi Maya"</f>
        <v>Sharabi Maya</v>
      </c>
      <c r="K1091" t="str">
        <f>"BHMSE"</f>
        <v>BHMSE</v>
      </c>
      <c r="L1091" t="str">
        <f t="shared" si="195"/>
        <v>HUN</v>
      </c>
      <c r="M1091">
        <v>2</v>
      </c>
      <c r="O1091" s="83" t="s">
        <v>647</v>
      </c>
      <c r="P1091" s="78">
        <v>45556</v>
      </c>
      <c r="Q1091" t="str">
        <f t="shared" si="203"/>
        <v>Sharabi Maya - BHMSE</v>
      </c>
      <c r="R1091" t="s">
        <v>636</v>
      </c>
      <c r="S1091" t="s">
        <v>636</v>
      </c>
      <c r="T1091" t="s">
        <v>644</v>
      </c>
    </row>
    <row r="1092" spans="1:20" x14ac:dyDescent="0.3">
      <c r="A1092" s="2" t="s">
        <v>646</v>
      </c>
      <c r="B1092" s="50" t="s">
        <v>612</v>
      </c>
      <c r="C1092">
        <v>63</v>
      </c>
      <c r="D1092" t="str">
        <f t="shared" si="196"/>
        <v>Kumite</v>
      </c>
      <c r="E1092" t="str">
        <f>"Kumite, Felnőtt női C"</f>
        <v>Kumite, Felnőtt női C</v>
      </c>
      <c r="F1092" s="83" t="s">
        <v>652</v>
      </c>
      <c r="G1092" t="str">
        <f>"3"</f>
        <v>3</v>
      </c>
      <c r="H1092" t="str">
        <f>"3 fős körmérkőzés"</f>
        <v>3 fős körmérkőzés</v>
      </c>
      <c r="I1092" t="str">
        <f>"2"</f>
        <v>2</v>
      </c>
      <c r="J1092" t="str">
        <f>"Dróth-Tóth Adrienn"</f>
        <v>Dróth-Tóth Adrienn</v>
      </c>
      <c r="K1092" t="str">
        <f>"Rakurai"</f>
        <v>Rakurai</v>
      </c>
      <c r="L1092" t="str">
        <f t="shared" si="195"/>
        <v>HUN</v>
      </c>
      <c r="M1092">
        <v>1</v>
      </c>
      <c r="O1092" s="83" t="s">
        <v>647</v>
      </c>
      <c r="P1092" s="78">
        <v>45556</v>
      </c>
      <c r="Q1092" t="str">
        <f t="shared" si="203"/>
        <v>Dróth-Tóth Adrienn - Rakurai</v>
      </c>
      <c r="R1092" t="s">
        <v>636</v>
      </c>
      <c r="S1092" t="s">
        <v>636</v>
      </c>
      <c r="T1092" t="s">
        <v>644</v>
      </c>
    </row>
    <row r="1093" spans="1:20" x14ac:dyDescent="0.3">
      <c r="A1093" s="2" t="s">
        <v>646</v>
      </c>
      <c r="B1093" s="50" t="s">
        <v>612</v>
      </c>
      <c r="C1093">
        <v>54</v>
      </c>
      <c r="D1093" t="str">
        <f t="shared" si="196"/>
        <v>Kumite</v>
      </c>
      <c r="E1093" t="str">
        <f>"Kumite, Felnőtt női C"</f>
        <v>Kumite, Felnőtt női C</v>
      </c>
      <c r="F1093" s="83" t="s">
        <v>652</v>
      </c>
      <c r="G1093" t="str">
        <f t="shared" si="201"/>
        <v>3</v>
      </c>
      <c r="H1093" t="str">
        <f t="shared" si="202"/>
        <v>3 fős körmérkőzés</v>
      </c>
      <c r="I1093" t="str">
        <f>"3"</f>
        <v>3</v>
      </c>
      <c r="J1093" t="str">
        <f>"Zvara Zsófia"</f>
        <v>Zvara Zsófia</v>
      </c>
      <c r="K1093" t="str">
        <f>"Nozomu Dojo"</f>
        <v>Nozomu Dojo</v>
      </c>
      <c r="L1093" t="str">
        <f t="shared" si="195"/>
        <v>HUN</v>
      </c>
      <c r="M1093">
        <v>0</v>
      </c>
      <c r="N1093" t="s">
        <v>584</v>
      </c>
      <c r="O1093" s="83" t="s">
        <v>647</v>
      </c>
      <c r="P1093" s="78">
        <v>45556</v>
      </c>
      <c r="Q1093" t="str">
        <f>J1093&amp;" - "&amp;K1093</f>
        <v>Zvara Zsófia - Nozomu Dojo</v>
      </c>
      <c r="R1093" t="s">
        <v>636</v>
      </c>
      <c r="S1093" t="s">
        <v>636</v>
      </c>
      <c r="T1093" t="s">
        <v>644</v>
      </c>
    </row>
    <row r="1094" spans="1:20" x14ac:dyDescent="0.3">
      <c r="A1094" s="2" t="s">
        <v>646</v>
      </c>
      <c r="B1094" s="50">
        <v>2</v>
      </c>
      <c r="C1094">
        <v>64</v>
      </c>
      <c r="D1094" t="str">
        <f t="shared" si="196"/>
        <v>Kumite</v>
      </c>
      <c r="E1094" t="str">
        <f>"Kumite, U20 N 55 kg"</f>
        <v>Kumite, U20 N 55 kg</v>
      </c>
      <c r="F1094" s="83" t="s">
        <v>653</v>
      </c>
      <c r="G1094" t="str">
        <f>"3"</f>
        <v>3</v>
      </c>
      <c r="H1094" t="str">
        <f>"3 fős körmérkőzés"</f>
        <v>3 fős körmérkőzés</v>
      </c>
      <c r="I1094" t="str">
        <f>"1"</f>
        <v>1</v>
      </c>
      <c r="J1094" t="str">
        <f>"Dévényi Lora"</f>
        <v>Dévényi Lora</v>
      </c>
      <c r="K1094" t="str">
        <f>"Victory"</f>
        <v>Victory</v>
      </c>
      <c r="L1094" t="str">
        <f t="shared" si="195"/>
        <v>HUN</v>
      </c>
      <c r="M1094">
        <v>4</v>
      </c>
      <c r="O1094" s="83" t="s">
        <v>647</v>
      </c>
      <c r="P1094" s="78">
        <v>45556</v>
      </c>
      <c r="Q1094" t="str">
        <f t="shared" si="203"/>
        <v>Dévényi Lora - Victory</v>
      </c>
      <c r="R1094" t="s">
        <v>636</v>
      </c>
      <c r="S1094" t="s">
        <v>636</v>
      </c>
      <c r="T1094" t="s">
        <v>645</v>
      </c>
    </row>
    <row r="1095" spans="1:20" x14ac:dyDescent="0.3">
      <c r="A1095" s="2" t="s">
        <v>646</v>
      </c>
      <c r="B1095" s="50">
        <v>2</v>
      </c>
      <c r="C1095">
        <v>65</v>
      </c>
      <c r="D1095" t="str">
        <f t="shared" si="196"/>
        <v>Kumite</v>
      </c>
      <c r="E1095" t="str">
        <f>"Kumite, U20 N 55 kg"</f>
        <v>Kumite, U20 N 55 kg</v>
      </c>
      <c r="F1095" s="83" t="s">
        <v>653</v>
      </c>
      <c r="G1095" t="str">
        <f>"3"</f>
        <v>3</v>
      </c>
      <c r="H1095" t="str">
        <f>"3 fős körmérkőzés"</f>
        <v>3 fős körmérkőzés</v>
      </c>
      <c r="I1095" t="str">
        <f>"2"</f>
        <v>2</v>
      </c>
      <c r="J1095" t="str">
        <f>"Gyenge Judit"</f>
        <v>Gyenge Judit</v>
      </c>
      <c r="K1095" t="str">
        <f>"KHSE"</f>
        <v>KHSE</v>
      </c>
      <c r="L1095" t="str">
        <f t="shared" si="195"/>
        <v>HUN</v>
      </c>
      <c r="M1095">
        <v>3</v>
      </c>
      <c r="O1095" s="83" t="s">
        <v>647</v>
      </c>
      <c r="P1095" s="78">
        <v>45556</v>
      </c>
      <c r="Q1095" t="str">
        <f t="shared" si="203"/>
        <v>Gyenge Judit - KHSE</v>
      </c>
      <c r="R1095" t="s">
        <v>636</v>
      </c>
      <c r="S1095" t="s">
        <v>636</v>
      </c>
      <c r="T1095" t="s">
        <v>645</v>
      </c>
    </row>
    <row r="1096" spans="1:20" x14ac:dyDescent="0.3">
      <c r="A1096" s="2" t="s">
        <v>646</v>
      </c>
      <c r="B1096" s="50">
        <v>2</v>
      </c>
      <c r="C1096">
        <v>66</v>
      </c>
      <c r="D1096" t="str">
        <f t="shared" si="196"/>
        <v>Kumite</v>
      </c>
      <c r="E1096" t="str">
        <f>"Kumite, U20 N 55 kg"</f>
        <v>Kumite, U20 N 55 kg</v>
      </c>
      <c r="F1096" s="83" t="s">
        <v>653</v>
      </c>
      <c r="G1096" t="str">
        <f>"3"</f>
        <v>3</v>
      </c>
      <c r="H1096" t="str">
        <f>"3 fős körmérkőzés"</f>
        <v>3 fős körmérkőzés</v>
      </c>
      <c r="I1096" t="str">
        <f>"3"</f>
        <v>3</v>
      </c>
      <c r="J1096" t="str">
        <f>"Gere Boglárka"</f>
        <v>Gere Boglárka</v>
      </c>
      <c r="K1096" t="str">
        <f>"Castrum"</f>
        <v>Castrum</v>
      </c>
      <c r="L1096" t="str">
        <f t="shared" si="195"/>
        <v>HUN</v>
      </c>
      <c r="M1096">
        <v>0</v>
      </c>
      <c r="N1096" t="s">
        <v>584</v>
      </c>
      <c r="O1096" s="83" t="s">
        <v>647</v>
      </c>
      <c r="P1096" s="78">
        <v>45556</v>
      </c>
      <c r="Q1096" t="str">
        <f t="shared" si="203"/>
        <v>Gere Boglárka - Castrum</v>
      </c>
      <c r="R1096" t="s">
        <v>636</v>
      </c>
      <c r="S1096" t="s">
        <v>636</v>
      </c>
      <c r="T1096" t="s">
        <v>645</v>
      </c>
    </row>
    <row r="1097" spans="1:20" s="114" customFormat="1" x14ac:dyDescent="0.3">
      <c r="A1097" s="112" t="s">
        <v>657</v>
      </c>
      <c r="B1097" s="113">
        <v>1</v>
      </c>
      <c r="C1097" s="114">
        <v>1</v>
      </c>
      <c r="D1097" s="114" t="s">
        <v>7</v>
      </c>
      <c r="E1097" s="114" t="s">
        <v>665</v>
      </c>
      <c r="F1097" s="114" t="s">
        <v>661</v>
      </c>
      <c r="G1097" s="113" t="s">
        <v>601</v>
      </c>
      <c r="H1097" s="114" t="s">
        <v>602</v>
      </c>
      <c r="I1097" s="115" t="s">
        <v>302</v>
      </c>
      <c r="J1097" s="114" t="s">
        <v>658</v>
      </c>
      <c r="K1097" s="114" t="s">
        <v>14</v>
      </c>
      <c r="L1097" s="114" t="s">
        <v>12</v>
      </c>
      <c r="M1097" s="114">
        <v>8</v>
      </c>
      <c r="N1097" s="114" t="s">
        <v>605</v>
      </c>
      <c r="O1097" s="116" t="s">
        <v>659</v>
      </c>
      <c r="P1097" s="117">
        <v>45591</v>
      </c>
      <c r="Q1097" s="114" t="str">
        <f t="shared" si="203"/>
        <v>Balázs Ákos - Shogun</v>
      </c>
      <c r="R1097" s="114" t="s">
        <v>636</v>
      </c>
      <c r="S1097" s="114" t="s">
        <v>636</v>
      </c>
      <c r="T1097" s="114" t="s">
        <v>644</v>
      </c>
    </row>
    <row r="1098" spans="1:20" x14ac:dyDescent="0.3">
      <c r="A1098" s="2" t="s">
        <v>657</v>
      </c>
      <c r="B1098" s="50">
        <v>1</v>
      </c>
      <c r="C1098">
        <v>2</v>
      </c>
      <c r="D1098" t="s">
        <v>7</v>
      </c>
      <c r="E1098" t="s">
        <v>660</v>
      </c>
      <c r="F1098" t="s">
        <v>555</v>
      </c>
      <c r="G1098" s="50" t="s">
        <v>601</v>
      </c>
      <c r="H1098" t="s">
        <v>602</v>
      </c>
      <c r="I1098" s="50">
        <v>3</v>
      </c>
      <c r="J1098" s="83" t="s">
        <v>619</v>
      </c>
      <c r="K1098" t="str">
        <f>"KHSE"</f>
        <v>KHSE</v>
      </c>
      <c r="L1098" t="s">
        <v>12</v>
      </c>
      <c r="M1098">
        <v>12</v>
      </c>
      <c r="N1098" t="s">
        <v>195</v>
      </c>
      <c r="O1098" s="83" t="s">
        <v>659</v>
      </c>
      <c r="P1098" s="78">
        <v>45591</v>
      </c>
      <c r="Q1098" t="str">
        <f t="shared" si="203"/>
        <v>Szabó Ákos Roland - KHSE</v>
      </c>
      <c r="R1098" t="s">
        <v>636</v>
      </c>
      <c r="S1098" t="s">
        <v>636</v>
      </c>
      <c r="T1098" t="s">
        <v>645</v>
      </c>
    </row>
    <row r="1099" spans="1:20" x14ac:dyDescent="0.3">
      <c r="A1099" s="2" t="s">
        <v>657</v>
      </c>
      <c r="B1099" s="50">
        <v>1</v>
      </c>
      <c r="C1099">
        <v>3</v>
      </c>
      <c r="D1099" t="s">
        <v>7</v>
      </c>
      <c r="E1099" t="s">
        <v>671</v>
      </c>
      <c r="F1099" t="s">
        <v>664</v>
      </c>
      <c r="G1099" s="50" t="s">
        <v>601</v>
      </c>
      <c r="H1099" t="s">
        <v>602</v>
      </c>
      <c r="I1099" s="67" t="s">
        <v>302</v>
      </c>
      <c r="J1099" t="s">
        <v>662</v>
      </c>
      <c r="K1099" t="str">
        <f>"BHMSE"</f>
        <v>BHMSE</v>
      </c>
      <c r="L1099" t="s">
        <v>12</v>
      </c>
      <c r="M1099" s="99">
        <v>0</v>
      </c>
      <c r="N1099" s="99" t="s">
        <v>608</v>
      </c>
      <c r="O1099" s="83" t="s">
        <v>659</v>
      </c>
      <c r="P1099" s="78">
        <v>45591</v>
      </c>
      <c r="Q1099" t="str">
        <f t="shared" si="203"/>
        <v>Zsin Zsombor - BHMSE</v>
      </c>
      <c r="R1099" t="s">
        <v>636</v>
      </c>
      <c r="S1099" t="s">
        <v>636</v>
      </c>
      <c r="T1099" t="s">
        <v>644</v>
      </c>
    </row>
    <row r="1100" spans="1:20" x14ac:dyDescent="0.3">
      <c r="A1100" s="2" t="s">
        <v>657</v>
      </c>
      <c r="B1100" s="50">
        <v>1</v>
      </c>
      <c r="C1100">
        <v>4</v>
      </c>
      <c r="D1100" t="s">
        <v>7</v>
      </c>
      <c r="E1100" t="s">
        <v>671</v>
      </c>
      <c r="F1100" t="s">
        <v>664</v>
      </c>
      <c r="G1100" s="50" t="s">
        <v>601</v>
      </c>
      <c r="H1100" t="s">
        <v>602</v>
      </c>
      <c r="I1100" s="67" t="s">
        <v>302</v>
      </c>
      <c r="J1100" t="s">
        <v>663</v>
      </c>
      <c r="K1100" t="str">
        <f>"Castrum"</f>
        <v>Castrum</v>
      </c>
      <c r="L1100" t="s">
        <v>12</v>
      </c>
      <c r="M1100" s="99">
        <v>0</v>
      </c>
      <c r="N1100" s="99" t="s">
        <v>608</v>
      </c>
      <c r="O1100" s="83" t="s">
        <v>659</v>
      </c>
      <c r="P1100" s="78">
        <v>45591</v>
      </c>
      <c r="Q1100" t="str">
        <f t="shared" si="203"/>
        <v>Hoffer András - Castrum</v>
      </c>
      <c r="R1100" t="s">
        <v>636</v>
      </c>
      <c r="S1100" t="s">
        <v>636</v>
      </c>
      <c r="T1100" t="s">
        <v>644</v>
      </c>
    </row>
    <row r="1101" spans="1:20" x14ac:dyDescent="0.3">
      <c r="A1101" s="2" t="s">
        <v>657</v>
      </c>
      <c r="B1101" s="50">
        <v>1</v>
      </c>
      <c r="C1101">
        <v>5</v>
      </c>
      <c r="D1101" t="s">
        <v>7</v>
      </c>
      <c r="E1101" t="s">
        <v>670</v>
      </c>
      <c r="F1101" t="s">
        <v>667</v>
      </c>
      <c r="G1101" s="50" t="s">
        <v>601</v>
      </c>
      <c r="H1101" t="s">
        <v>602</v>
      </c>
      <c r="I1101" s="67" t="s">
        <v>302</v>
      </c>
      <c r="J1101" t="s">
        <v>25</v>
      </c>
      <c r="K1101" t="str">
        <f>"Siófok KSE"</f>
        <v>Siófok KSE</v>
      </c>
      <c r="L1101" t="s">
        <v>12</v>
      </c>
      <c r="M1101">
        <v>8</v>
      </c>
      <c r="N1101" t="s">
        <v>605</v>
      </c>
      <c r="O1101" s="83" t="s">
        <v>659</v>
      </c>
      <c r="P1101" s="78">
        <v>45591</v>
      </c>
      <c r="Q1101" t="str">
        <f t="shared" si="203"/>
        <v>Hardi Balázs - Siófok KSE</v>
      </c>
      <c r="R1101" t="s">
        <v>636</v>
      </c>
      <c r="S1101" t="s">
        <v>636</v>
      </c>
      <c r="T1101" s="118" t="s">
        <v>645</v>
      </c>
    </row>
    <row r="1102" spans="1:20" x14ac:dyDescent="0.3">
      <c r="A1102" s="2" t="s">
        <v>657</v>
      </c>
      <c r="B1102" s="50">
        <v>1</v>
      </c>
      <c r="C1102">
        <v>6</v>
      </c>
      <c r="D1102" t="s">
        <v>7</v>
      </c>
      <c r="E1102" t="s">
        <v>669</v>
      </c>
      <c r="F1102" t="s">
        <v>668</v>
      </c>
      <c r="G1102" s="50" t="s">
        <v>601</v>
      </c>
      <c r="H1102" t="s">
        <v>602</v>
      </c>
      <c r="I1102" s="50">
        <v>2</v>
      </c>
      <c r="J1102" s="83" t="s">
        <v>118</v>
      </c>
      <c r="K1102" t="s">
        <v>82</v>
      </c>
      <c r="L1102" t="s">
        <v>12</v>
      </c>
      <c r="M1102">
        <v>25</v>
      </c>
      <c r="N1102" t="s">
        <v>605</v>
      </c>
      <c r="O1102" s="83" t="s">
        <v>659</v>
      </c>
      <c r="P1102" s="78">
        <v>45591</v>
      </c>
      <c r="Q1102" t="str">
        <f t="shared" si="203"/>
        <v>Kerezsi Csenge - Bátor KSE</v>
      </c>
      <c r="R1102" t="s">
        <v>636</v>
      </c>
      <c r="S1102" t="s">
        <v>636</v>
      </c>
      <c r="T1102" t="s">
        <v>644</v>
      </c>
    </row>
    <row r="1103" spans="1:20" x14ac:dyDescent="0.3">
      <c r="A1103" s="2" t="s">
        <v>657</v>
      </c>
      <c r="B1103" s="50">
        <v>1</v>
      </c>
      <c r="C1103">
        <v>7</v>
      </c>
      <c r="D1103" t="s">
        <v>126</v>
      </c>
      <c r="E1103" t="s">
        <v>672</v>
      </c>
      <c r="F1103" t="s">
        <v>548</v>
      </c>
      <c r="G1103" s="50" t="s">
        <v>601</v>
      </c>
      <c r="H1103" t="s">
        <v>602</v>
      </c>
      <c r="I1103" s="50">
        <v>3</v>
      </c>
      <c r="J1103" s="83" t="s">
        <v>586</v>
      </c>
      <c r="K1103" s="2" t="s">
        <v>14</v>
      </c>
      <c r="L1103" t="s">
        <v>12</v>
      </c>
      <c r="M1103">
        <v>9</v>
      </c>
      <c r="N1103" t="s">
        <v>195</v>
      </c>
      <c r="O1103" s="83" t="s">
        <v>659</v>
      </c>
      <c r="P1103" s="78">
        <v>45591</v>
      </c>
      <c r="Q1103" t="str">
        <f t="shared" si="203"/>
        <v>Bessenyei Csongor - Shogun</v>
      </c>
      <c r="R1103" t="s">
        <v>636</v>
      </c>
      <c r="S1103" t="s">
        <v>636</v>
      </c>
      <c r="T1103" t="s">
        <v>645</v>
      </c>
    </row>
    <row r="1104" spans="1:20" x14ac:dyDescent="0.3">
      <c r="A1104" s="2" t="s">
        <v>657</v>
      </c>
      <c r="B1104" s="50">
        <v>1</v>
      </c>
      <c r="C1104">
        <v>8</v>
      </c>
      <c r="D1104" t="s">
        <v>7</v>
      </c>
      <c r="E1104" t="s">
        <v>673</v>
      </c>
      <c r="F1104" t="s">
        <v>556</v>
      </c>
      <c r="G1104" s="50" t="s">
        <v>601</v>
      </c>
      <c r="H1104" t="s">
        <v>602</v>
      </c>
      <c r="I1104" s="50">
        <v>1</v>
      </c>
      <c r="J1104" s="83" t="s">
        <v>586</v>
      </c>
      <c r="K1104" s="2" t="s">
        <v>14</v>
      </c>
      <c r="L1104" t="s">
        <v>12</v>
      </c>
      <c r="M1104">
        <v>30</v>
      </c>
      <c r="N1104" t="s">
        <v>195</v>
      </c>
      <c r="O1104" s="83" t="s">
        <v>659</v>
      </c>
      <c r="P1104" s="78">
        <v>45591</v>
      </c>
      <c r="Q1104" t="str">
        <f t="shared" si="203"/>
        <v>Bessenyei Csongor - Shogun</v>
      </c>
      <c r="R1104" t="s">
        <v>636</v>
      </c>
      <c r="S1104" t="s">
        <v>636</v>
      </c>
      <c r="T1104" t="s">
        <v>645</v>
      </c>
    </row>
    <row r="1105" spans="1:20" x14ac:dyDescent="0.3">
      <c r="A1105" s="2" t="s">
        <v>657</v>
      </c>
      <c r="B1105" s="50">
        <v>1</v>
      </c>
      <c r="C1105">
        <v>9</v>
      </c>
      <c r="D1105" t="s">
        <v>7</v>
      </c>
      <c r="E1105" t="s">
        <v>674</v>
      </c>
      <c r="F1105" t="s">
        <v>675</v>
      </c>
      <c r="G1105" s="50" t="s">
        <v>601</v>
      </c>
      <c r="H1105" t="s">
        <v>602</v>
      </c>
      <c r="I1105" s="67" t="s">
        <v>302</v>
      </c>
      <c r="J1105" t="s">
        <v>50</v>
      </c>
      <c r="K1105" t="str">
        <f>"Kisvárda KKDOSC"</f>
        <v>Kisvárda KKDOSC</v>
      </c>
      <c r="L1105" t="s">
        <v>12</v>
      </c>
      <c r="M1105" s="99">
        <v>0</v>
      </c>
      <c r="N1105" s="99" t="s">
        <v>608</v>
      </c>
      <c r="O1105" s="83" t="s">
        <v>659</v>
      </c>
      <c r="P1105" s="78">
        <v>45591</v>
      </c>
      <c r="Q1105" t="str">
        <f t="shared" si="203"/>
        <v>Esvég Dominik - Kisvárda KKDOSC</v>
      </c>
      <c r="R1105" t="s">
        <v>636</v>
      </c>
      <c r="S1105" t="s">
        <v>636</v>
      </c>
      <c r="T1105" t="s">
        <v>644</v>
      </c>
    </row>
    <row r="1106" spans="1:20" x14ac:dyDescent="0.3">
      <c r="A1106" s="2" t="s">
        <v>657</v>
      </c>
      <c r="B1106" s="50">
        <v>1</v>
      </c>
      <c r="C1106">
        <v>10</v>
      </c>
      <c r="D1106" t="s">
        <v>7</v>
      </c>
      <c r="E1106" t="s">
        <v>666</v>
      </c>
      <c r="F1106" t="s">
        <v>552</v>
      </c>
      <c r="G1106" s="50" t="s">
        <v>601</v>
      </c>
      <c r="H1106" t="s">
        <v>602</v>
      </c>
      <c r="I1106" s="67" t="s">
        <v>302</v>
      </c>
      <c r="J1106" t="s">
        <v>623</v>
      </c>
      <c r="K1106" t="str">
        <f>"Kagami"</f>
        <v>Kagami</v>
      </c>
      <c r="L1106" t="s">
        <v>12</v>
      </c>
      <c r="M1106" s="99">
        <v>0</v>
      </c>
      <c r="N1106" s="99" t="s">
        <v>676</v>
      </c>
      <c r="O1106" s="83" t="s">
        <v>659</v>
      </c>
      <c r="P1106" s="78">
        <v>45591</v>
      </c>
      <c r="Q1106" t="str">
        <f t="shared" si="203"/>
        <v>Gerő Hanna Gréta - Kagami</v>
      </c>
      <c r="R1106" t="s">
        <v>636</v>
      </c>
      <c r="S1106" t="s">
        <v>636</v>
      </c>
      <c r="T1106" t="s">
        <v>645</v>
      </c>
    </row>
    <row r="1107" spans="1:20" x14ac:dyDescent="0.3">
      <c r="A1107" s="2" t="s">
        <v>657</v>
      </c>
      <c r="B1107" s="50">
        <v>1</v>
      </c>
      <c r="C1107">
        <v>11</v>
      </c>
      <c r="D1107" t="s">
        <v>7</v>
      </c>
      <c r="E1107" t="s">
        <v>677</v>
      </c>
      <c r="F1107" t="s">
        <v>684</v>
      </c>
      <c r="G1107" s="50" t="s">
        <v>601</v>
      </c>
      <c r="H1107" t="s">
        <v>602</v>
      </c>
      <c r="I1107" s="50">
        <v>1</v>
      </c>
      <c r="J1107" s="83" t="s">
        <v>122</v>
      </c>
      <c r="K1107" s="2" t="s">
        <v>47</v>
      </c>
      <c r="L1107" t="s">
        <v>12</v>
      </c>
      <c r="M1107">
        <v>35</v>
      </c>
      <c r="N1107" t="s">
        <v>605</v>
      </c>
      <c r="O1107" s="83" t="s">
        <v>659</v>
      </c>
      <c r="P1107" s="78">
        <v>45591</v>
      </c>
      <c r="Q1107" t="str">
        <f t="shared" si="203"/>
        <v>Gergely Henrietta - BHMSE</v>
      </c>
      <c r="R1107" t="s">
        <v>636</v>
      </c>
      <c r="S1107" t="s">
        <v>636</v>
      </c>
      <c r="T1107" t="s">
        <v>644</v>
      </c>
    </row>
    <row r="1108" spans="1:20" x14ac:dyDescent="0.3">
      <c r="A1108" s="2" t="s">
        <v>657</v>
      </c>
      <c r="B1108" s="50">
        <v>1</v>
      </c>
      <c r="C1108">
        <v>12</v>
      </c>
      <c r="D1108" t="s">
        <v>7</v>
      </c>
      <c r="E1108" t="s">
        <v>678</v>
      </c>
      <c r="F1108" t="s">
        <v>683</v>
      </c>
      <c r="G1108" s="50" t="s">
        <v>601</v>
      </c>
      <c r="H1108" t="s">
        <v>602</v>
      </c>
      <c r="I1108" s="50">
        <v>1</v>
      </c>
      <c r="J1108" s="83" t="s">
        <v>110</v>
      </c>
      <c r="K1108" t="str">
        <f>"KHSE"</f>
        <v>KHSE</v>
      </c>
      <c r="L1108" t="s">
        <v>12</v>
      </c>
      <c r="M1108">
        <v>35</v>
      </c>
      <c r="N1108" t="s">
        <v>605</v>
      </c>
      <c r="O1108" s="83" t="s">
        <v>659</v>
      </c>
      <c r="P1108" s="78">
        <v>45591</v>
      </c>
      <c r="Q1108" t="str">
        <f t="shared" si="203"/>
        <v>Gyenge Judit - KHSE</v>
      </c>
      <c r="R1108" t="s">
        <v>636</v>
      </c>
      <c r="S1108" t="s">
        <v>636</v>
      </c>
      <c r="T1108" t="s">
        <v>644</v>
      </c>
    </row>
    <row r="1109" spans="1:20" x14ac:dyDescent="0.3">
      <c r="A1109" s="2" t="s">
        <v>657</v>
      </c>
      <c r="B1109" s="50">
        <v>1</v>
      </c>
      <c r="C1109">
        <v>13</v>
      </c>
      <c r="D1109" t="s">
        <v>7</v>
      </c>
      <c r="E1109" t="s">
        <v>679</v>
      </c>
      <c r="F1109" t="s">
        <v>550</v>
      </c>
      <c r="G1109" s="50" t="s">
        <v>601</v>
      </c>
      <c r="H1109" t="s">
        <v>602</v>
      </c>
      <c r="I1109" s="50">
        <v>3</v>
      </c>
      <c r="J1109" s="83" t="s">
        <v>680</v>
      </c>
      <c r="K1109" t="str">
        <f>"BHMSE"</f>
        <v>BHMSE</v>
      </c>
      <c r="L1109" t="s">
        <v>12</v>
      </c>
      <c r="M1109">
        <v>12</v>
      </c>
      <c r="N1109" t="s">
        <v>195</v>
      </c>
      <c r="O1109" s="83" t="s">
        <v>659</v>
      </c>
      <c r="P1109" s="78">
        <v>45591</v>
      </c>
      <c r="Q1109" t="str">
        <f t="shared" si="203"/>
        <v>Lukács Kamilla - BHMSE</v>
      </c>
      <c r="R1109" t="s">
        <v>636</v>
      </c>
      <c r="S1109" t="s">
        <v>636</v>
      </c>
      <c r="T1109" t="s">
        <v>645</v>
      </c>
    </row>
    <row r="1110" spans="1:20" x14ac:dyDescent="0.3">
      <c r="A1110" s="2" t="s">
        <v>657</v>
      </c>
      <c r="B1110" s="50">
        <v>1</v>
      </c>
      <c r="C1110">
        <v>14</v>
      </c>
      <c r="D1110" t="s">
        <v>7</v>
      </c>
      <c r="E1110" t="s">
        <v>681</v>
      </c>
      <c r="F1110" t="s">
        <v>682</v>
      </c>
      <c r="G1110" s="50" t="s">
        <v>601</v>
      </c>
      <c r="H1110" t="s">
        <v>602</v>
      </c>
      <c r="I1110" s="67" t="s">
        <v>302</v>
      </c>
      <c r="J1110" t="s">
        <v>105</v>
      </c>
      <c r="K1110" t="s">
        <v>82</v>
      </c>
      <c r="L1110" t="s">
        <v>12</v>
      </c>
      <c r="M1110" s="99">
        <v>0</v>
      </c>
      <c r="N1110" s="99" t="s">
        <v>608</v>
      </c>
      <c r="O1110" s="83" t="s">
        <v>659</v>
      </c>
      <c r="P1110" s="78">
        <v>45591</v>
      </c>
      <c r="Q1110" t="str">
        <f t="shared" si="203"/>
        <v>Bihari Lili - Bátor KSE</v>
      </c>
      <c r="R1110" t="s">
        <v>636</v>
      </c>
      <c r="S1110" t="s">
        <v>636</v>
      </c>
      <c r="T1110" t="s">
        <v>644</v>
      </c>
    </row>
    <row r="1111" spans="1:20" x14ac:dyDescent="0.3">
      <c r="A1111" s="2" t="s">
        <v>657</v>
      </c>
      <c r="B1111" s="50">
        <v>1</v>
      </c>
      <c r="C1111">
        <v>15</v>
      </c>
      <c r="D1111" t="s">
        <v>7</v>
      </c>
      <c r="E1111" t="s">
        <v>678</v>
      </c>
      <c r="F1111" t="s">
        <v>683</v>
      </c>
      <c r="G1111" s="50" t="s">
        <v>601</v>
      </c>
      <c r="H1111" t="s">
        <v>602</v>
      </c>
      <c r="I1111" s="67" t="s">
        <v>302</v>
      </c>
      <c r="J1111" t="s">
        <v>685</v>
      </c>
      <c r="K1111" t="s">
        <v>87</v>
      </c>
      <c r="L1111" t="s">
        <v>12</v>
      </c>
      <c r="M1111">
        <v>8</v>
      </c>
      <c r="N1111" t="s">
        <v>605</v>
      </c>
      <c r="O1111" s="83" t="s">
        <v>659</v>
      </c>
      <c r="P1111" s="78">
        <v>45591</v>
      </c>
      <c r="Q1111" t="str">
        <f t="shared" si="203"/>
        <v>Dévényi Lora - Victory</v>
      </c>
      <c r="R1111" t="s">
        <v>636</v>
      </c>
      <c r="S1111" t="s">
        <v>636</v>
      </c>
      <c r="T1111" t="s">
        <v>644</v>
      </c>
    </row>
    <row r="1112" spans="1:20" x14ac:dyDescent="0.3">
      <c r="A1112" s="2" t="s">
        <v>657</v>
      </c>
      <c r="B1112" s="50">
        <v>1</v>
      </c>
      <c r="C1112">
        <v>16</v>
      </c>
      <c r="D1112" t="s">
        <v>7</v>
      </c>
      <c r="E1112" t="s">
        <v>681</v>
      </c>
      <c r="F1112" t="s">
        <v>682</v>
      </c>
      <c r="G1112" s="50" t="s">
        <v>601</v>
      </c>
      <c r="H1112" t="s">
        <v>602</v>
      </c>
      <c r="I1112" s="50">
        <v>3</v>
      </c>
      <c r="J1112" s="83" t="s">
        <v>55</v>
      </c>
      <c r="K1112" t="str">
        <f>"KKE - Spartacus"</f>
        <v>KKE - Spartacus</v>
      </c>
      <c r="L1112" t="s">
        <v>12</v>
      </c>
      <c r="M1112">
        <v>15</v>
      </c>
      <c r="N1112" t="s">
        <v>605</v>
      </c>
      <c r="O1112" s="83" t="s">
        <v>659</v>
      </c>
      <c r="P1112" s="78">
        <v>45591</v>
      </c>
      <c r="Q1112" t="str">
        <f t="shared" si="203"/>
        <v>Kiss-Leizer Luca - KKE - Spartacus</v>
      </c>
      <c r="R1112" t="s">
        <v>636</v>
      </c>
      <c r="S1112" t="s">
        <v>636</v>
      </c>
      <c r="T1112" t="s">
        <v>644</v>
      </c>
    </row>
    <row r="1113" spans="1:20" x14ac:dyDescent="0.3">
      <c r="A1113" s="2" t="s">
        <v>657</v>
      </c>
      <c r="B1113" s="50">
        <v>1</v>
      </c>
      <c r="C1113">
        <v>17</v>
      </c>
      <c r="D1113" t="s">
        <v>7</v>
      </c>
      <c r="E1113" t="s">
        <v>686</v>
      </c>
      <c r="F1113" t="s">
        <v>687</v>
      </c>
      <c r="G1113" s="50" t="s">
        <v>601</v>
      </c>
      <c r="H1113" t="s">
        <v>602</v>
      </c>
      <c r="I1113" s="67" t="s">
        <v>302</v>
      </c>
      <c r="J1113" t="s">
        <v>688</v>
      </c>
      <c r="K1113" t="str">
        <f>"Hajdúszoboszló"</f>
        <v>Hajdúszoboszló</v>
      </c>
      <c r="L1113" t="s">
        <v>12</v>
      </c>
      <c r="M1113">
        <v>8</v>
      </c>
      <c r="N1113" t="s">
        <v>605</v>
      </c>
      <c r="O1113" s="83" t="s">
        <v>659</v>
      </c>
      <c r="P1113" s="78">
        <v>45591</v>
      </c>
      <c r="Q1113" t="str">
        <f t="shared" si="203"/>
        <v>Szücs Marcell - Hajdúszoboszló</v>
      </c>
      <c r="R1113" t="s">
        <v>636</v>
      </c>
      <c r="S1113" t="s">
        <v>636</v>
      </c>
      <c r="T1113" t="s">
        <v>644</v>
      </c>
    </row>
    <row r="1114" spans="1:20" x14ac:dyDescent="0.3">
      <c r="A1114" s="2" t="s">
        <v>657</v>
      </c>
      <c r="B1114" s="50">
        <v>1</v>
      </c>
      <c r="C1114">
        <v>18</v>
      </c>
      <c r="D1114" t="s">
        <v>7</v>
      </c>
      <c r="E1114" t="s">
        <v>689</v>
      </c>
      <c r="F1114" t="s">
        <v>551</v>
      </c>
      <c r="G1114" s="50" t="s">
        <v>601</v>
      </c>
      <c r="H1114" t="s">
        <v>602</v>
      </c>
      <c r="I1114" s="50">
        <v>3</v>
      </c>
      <c r="J1114" s="83" t="s">
        <v>477</v>
      </c>
      <c r="K1114" s="83" t="s">
        <v>23</v>
      </c>
      <c r="L1114" t="s">
        <v>12</v>
      </c>
      <c r="M1114">
        <v>12</v>
      </c>
      <c r="N1114" t="s">
        <v>195</v>
      </c>
      <c r="O1114" s="83" t="s">
        <v>659</v>
      </c>
      <c r="P1114" s="78">
        <v>45591</v>
      </c>
      <c r="Q1114" t="str">
        <f t="shared" si="203"/>
        <v>Orosz Dorina - Kemecse SE</v>
      </c>
      <c r="R1114" t="s">
        <v>636</v>
      </c>
      <c r="S1114" t="s">
        <v>636</v>
      </c>
      <c r="T1114" t="s">
        <v>645</v>
      </c>
    </row>
    <row r="1115" spans="1:20" x14ac:dyDescent="0.3">
      <c r="A1115" s="2" t="s">
        <v>657</v>
      </c>
      <c r="B1115" s="50">
        <v>1</v>
      </c>
      <c r="C1115">
        <v>19</v>
      </c>
      <c r="D1115" t="s">
        <v>7</v>
      </c>
      <c r="E1115" t="s">
        <v>690</v>
      </c>
      <c r="F1115" t="s">
        <v>691</v>
      </c>
      <c r="G1115" s="50" t="s">
        <v>601</v>
      </c>
      <c r="H1115" t="s">
        <v>602</v>
      </c>
      <c r="I1115" s="50">
        <v>3</v>
      </c>
      <c r="J1115" s="83" t="s">
        <v>692</v>
      </c>
      <c r="K1115" t="str">
        <f>"Castrum"</f>
        <v>Castrum</v>
      </c>
      <c r="L1115" t="s">
        <v>12</v>
      </c>
      <c r="M1115">
        <v>12</v>
      </c>
      <c r="N1115" t="s">
        <v>195</v>
      </c>
      <c r="O1115" s="83" t="s">
        <v>659</v>
      </c>
      <c r="P1115" s="78">
        <v>45591</v>
      </c>
      <c r="Q1115" t="str">
        <f t="shared" si="203"/>
        <v>Németh Virág - Castrum</v>
      </c>
      <c r="R1115" t="s">
        <v>636</v>
      </c>
      <c r="S1115" t="s">
        <v>636</v>
      </c>
      <c r="T1115" t="s">
        <v>645</v>
      </c>
    </row>
    <row r="1116" spans="1:20" x14ac:dyDescent="0.3">
      <c r="A1116" s="2" t="s">
        <v>657</v>
      </c>
      <c r="B1116" s="50">
        <v>1</v>
      </c>
      <c r="C1116">
        <v>20</v>
      </c>
      <c r="D1116" t="s">
        <v>7</v>
      </c>
      <c r="E1116" t="s">
        <v>694</v>
      </c>
      <c r="F1116" s="83" t="s">
        <v>491</v>
      </c>
      <c r="G1116" s="50" t="s">
        <v>601</v>
      </c>
      <c r="H1116" t="s">
        <v>602</v>
      </c>
      <c r="I1116" s="50">
        <v>2</v>
      </c>
      <c r="J1116" t="s">
        <v>112</v>
      </c>
      <c r="K1116" t="s">
        <v>87</v>
      </c>
      <c r="L1116" t="s">
        <v>12</v>
      </c>
      <c r="M1116">
        <v>45</v>
      </c>
      <c r="N1116" t="s">
        <v>693</v>
      </c>
      <c r="O1116" s="83" t="s">
        <v>659</v>
      </c>
      <c r="P1116" s="78">
        <v>45592</v>
      </c>
      <c r="Q1116" t="str">
        <f t="shared" si="203"/>
        <v>Mező Lili - Victory</v>
      </c>
      <c r="R1116" t="s">
        <v>636</v>
      </c>
      <c r="S1116" t="s">
        <v>636</v>
      </c>
      <c r="T1116" t="s">
        <v>644</v>
      </c>
    </row>
    <row r="1117" spans="1:20" x14ac:dyDescent="0.3">
      <c r="A1117" s="2" t="s">
        <v>657</v>
      </c>
      <c r="B1117" s="50">
        <v>1</v>
      </c>
      <c r="C1117">
        <v>21</v>
      </c>
      <c r="D1117" t="s">
        <v>7</v>
      </c>
      <c r="E1117" t="s">
        <v>695</v>
      </c>
      <c r="F1117" t="s">
        <v>488</v>
      </c>
      <c r="G1117" s="50" t="s">
        <v>601</v>
      </c>
      <c r="H1117" t="s">
        <v>602</v>
      </c>
      <c r="I1117" s="50">
        <v>2</v>
      </c>
      <c r="J1117" t="s">
        <v>95</v>
      </c>
      <c r="K1117" t="s">
        <v>87</v>
      </c>
      <c r="L1117" t="s">
        <v>12</v>
      </c>
      <c r="M1117">
        <v>45</v>
      </c>
      <c r="N1117" t="s">
        <v>693</v>
      </c>
      <c r="O1117" s="83" t="s">
        <v>659</v>
      </c>
      <c r="P1117" s="78">
        <v>45592</v>
      </c>
      <c r="Q1117" t="str">
        <f t="shared" si="203"/>
        <v>Lajtos Patrik - Victory</v>
      </c>
      <c r="R1117" t="s">
        <v>636</v>
      </c>
      <c r="S1117" t="s">
        <v>636</v>
      </c>
      <c r="T1117" t="s">
        <v>644</v>
      </c>
    </row>
    <row r="1118" spans="1:20" x14ac:dyDescent="0.3">
      <c r="A1118" s="2" t="s">
        <v>657</v>
      </c>
      <c r="B1118" s="50">
        <v>1</v>
      </c>
      <c r="C1118">
        <v>22</v>
      </c>
      <c r="D1118" t="s">
        <v>7</v>
      </c>
      <c r="E1118" t="s">
        <v>695</v>
      </c>
      <c r="F1118" t="s">
        <v>487</v>
      </c>
      <c r="G1118" s="50" t="s">
        <v>601</v>
      </c>
      <c r="H1118" t="s">
        <v>602</v>
      </c>
      <c r="I1118" s="50">
        <v>3</v>
      </c>
      <c r="J1118" t="s">
        <v>86</v>
      </c>
      <c r="K1118" t="s">
        <v>87</v>
      </c>
      <c r="L1118" t="s">
        <v>12</v>
      </c>
      <c r="M1118">
        <v>30</v>
      </c>
      <c r="N1118" t="s">
        <v>693</v>
      </c>
      <c r="O1118" s="83" t="s">
        <v>659</v>
      </c>
      <c r="P1118" s="78">
        <v>45592</v>
      </c>
      <c r="Q1118" t="str">
        <f t="shared" si="203"/>
        <v>Fekete Gergely - Victory</v>
      </c>
      <c r="R1118" t="s">
        <v>636</v>
      </c>
      <c r="S1118" t="s">
        <v>636</v>
      </c>
      <c r="T1118" t="s">
        <v>644</v>
      </c>
    </row>
  </sheetData>
  <autoFilter ref="A1:T1118"/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J736"/>
  <sheetViews>
    <sheetView zoomScale="80" zoomScaleNormal="80" workbookViewId="0">
      <selection activeCell="I9" sqref="I9"/>
    </sheetView>
  </sheetViews>
  <sheetFormatPr defaultRowHeight="14.4" x14ac:dyDescent="0.3"/>
  <cols>
    <col min="1" max="1" width="27.88671875" customWidth="1"/>
    <col min="5" max="5" width="24" bestFit="1" customWidth="1"/>
    <col min="6" max="6" width="9.21875" bestFit="1" customWidth="1"/>
    <col min="9" max="9" width="24" bestFit="1" customWidth="1"/>
  </cols>
  <sheetData>
    <row r="1" spans="1:10" x14ac:dyDescent="0.3">
      <c r="A1" t="s">
        <v>483</v>
      </c>
      <c r="B1">
        <v>1</v>
      </c>
    </row>
    <row r="2" spans="1:10" x14ac:dyDescent="0.3">
      <c r="A2" t="s">
        <v>485</v>
      </c>
      <c r="B2">
        <v>1</v>
      </c>
    </row>
    <row r="3" spans="1:10" x14ac:dyDescent="0.3">
      <c r="A3" t="s">
        <v>485</v>
      </c>
      <c r="B3">
        <v>1</v>
      </c>
    </row>
    <row r="4" spans="1:10" x14ac:dyDescent="0.3">
      <c r="A4" t="s">
        <v>484</v>
      </c>
      <c r="B4">
        <v>1</v>
      </c>
    </row>
    <row r="5" spans="1:10" x14ac:dyDescent="0.3">
      <c r="A5" t="s">
        <v>484</v>
      </c>
      <c r="B5">
        <v>1</v>
      </c>
    </row>
    <row r="6" spans="1:10" x14ac:dyDescent="0.3">
      <c r="A6" t="s">
        <v>484</v>
      </c>
      <c r="B6">
        <v>1</v>
      </c>
    </row>
    <row r="7" spans="1:10" x14ac:dyDescent="0.3">
      <c r="A7" t="s">
        <v>487</v>
      </c>
      <c r="B7">
        <v>1</v>
      </c>
      <c r="E7" s="1" t="s">
        <v>163</v>
      </c>
      <c r="F7" t="s">
        <v>581</v>
      </c>
      <c r="I7" t="s">
        <v>163</v>
      </c>
      <c r="J7" t="s">
        <v>581</v>
      </c>
    </row>
    <row r="8" spans="1:10" x14ac:dyDescent="0.3">
      <c r="A8" t="s">
        <v>487</v>
      </c>
      <c r="B8">
        <v>1</v>
      </c>
      <c r="E8" s="2" t="s">
        <v>495</v>
      </c>
      <c r="F8">
        <v>6</v>
      </c>
      <c r="I8" t="s">
        <v>495</v>
      </c>
      <c r="J8">
        <v>6</v>
      </c>
    </row>
    <row r="9" spans="1:10" x14ac:dyDescent="0.3">
      <c r="A9" t="s">
        <v>487</v>
      </c>
      <c r="B9">
        <v>1</v>
      </c>
      <c r="E9" s="2" t="s">
        <v>494</v>
      </c>
      <c r="F9">
        <v>7</v>
      </c>
      <c r="I9" t="s">
        <v>494</v>
      </c>
      <c r="J9">
        <v>7</v>
      </c>
    </row>
    <row r="10" spans="1:10" x14ac:dyDescent="0.3">
      <c r="A10" t="s">
        <v>487</v>
      </c>
      <c r="B10">
        <v>1</v>
      </c>
      <c r="E10" s="2" t="s">
        <v>514</v>
      </c>
      <c r="F10">
        <v>20</v>
      </c>
      <c r="I10" t="s">
        <v>514</v>
      </c>
      <c r="J10">
        <v>20</v>
      </c>
    </row>
    <row r="11" spans="1:10" x14ac:dyDescent="0.3">
      <c r="A11" t="s">
        <v>486</v>
      </c>
      <c r="B11">
        <v>1</v>
      </c>
      <c r="E11" s="2" t="s">
        <v>520</v>
      </c>
      <c r="F11">
        <v>12</v>
      </c>
      <c r="I11" t="s">
        <v>520</v>
      </c>
      <c r="J11">
        <v>12</v>
      </c>
    </row>
    <row r="12" spans="1:10" x14ac:dyDescent="0.3">
      <c r="A12" t="s">
        <v>486</v>
      </c>
      <c r="B12">
        <v>1</v>
      </c>
      <c r="E12" s="2" t="s">
        <v>525</v>
      </c>
      <c r="F12">
        <v>19</v>
      </c>
      <c r="I12" t="s">
        <v>525</v>
      </c>
      <c r="J12">
        <v>19</v>
      </c>
    </row>
    <row r="13" spans="1:10" x14ac:dyDescent="0.3">
      <c r="A13" t="s">
        <v>486</v>
      </c>
      <c r="B13">
        <v>1</v>
      </c>
      <c r="E13" s="2" t="s">
        <v>526</v>
      </c>
      <c r="F13">
        <v>18</v>
      </c>
      <c r="I13" t="s">
        <v>526</v>
      </c>
      <c r="J13">
        <v>18</v>
      </c>
    </row>
    <row r="14" spans="1:10" x14ac:dyDescent="0.3">
      <c r="A14" t="s">
        <v>488</v>
      </c>
      <c r="B14">
        <v>1</v>
      </c>
      <c r="E14" s="2" t="s">
        <v>548</v>
      </c>
      <c r="F14">
        <v>11</v>
      </c>
      <c r="I14" t="s">
        <v>548</v>
      </c>
      <c r="J14">
        <v>11</v>
      </c>
    </row>
    <row r="15" spans="1:10" x14ac:dyDescent="0.3">
      <c r="A15" t="s">
        <v>488</v>
      </c>
      <c r="B15">
        <v>1</v>
      </c>
      <c r="E15" s="2" t="s">
        <v>549</v>
      </c>
      <c r="F15">
        <v>16</v>
      </c>
      <c r="I15" t="s">
        <v>549</v>
      </c>
      <c r="J15">
        <v>16</v>
      </c>
    </row>
    <row r="16" spans="1:10" x14ac:dyDescent="0.3">
      <c r="A16" t="s">
        <v>488</v>
      </c>
      <c r="B16">
        <v>1</v>
      </c>
      <c r="E16" s="2" t="s">
        <v>502</v>
      </c>
      <c r="F16">
        <v>16</v>
      </c>
      <c r="I16" t="s">
        <v>502</v>
      </c>
      <c r="J16">
        <v>16</v>
      </c>
    </row>
    <row r="17" spans="1:10" x14ac:dyDescent="0.3">
      <c r="A17" t="s">
        <v>99</v>
      </c>
      <c r="B17">
        <v>1</v>
      </c>
      <c r="E17" s="2" t="s">
        <v>503</v>
      </c>
      <c r="F17">
        <v>24</v>
      </c>
      <c r="I17" t="s">
        <v>503</v>
      </c>
      <c r="J17">
        <v>24</v>
      </c>
    </row>
    <row r="18" spans="1:10" x14ac:dyDescent="0.3">
      <c r="A18" t="s">
        <v>99</v>
      </c>
      <c r="B18">
        <v>1</v>
      </c>
      <c r="E18" s="2" t="s">
        <v>537</v>
      </c>
      <c r="F18">
        <v>19</v>
      </c>
      <c r="I18" t="s">
        <v>537</v>
      </c>
      <c r="J18">
        <v>19</v>
      </c>
    </row>
    <row r="19" spans="1:10" x14ac:dyDescent="0.3">
      <c r="A19" t="s">
        <v>99</v>
      </c>
      <c r="B19">
        <v>1</v>
      </c>
      <c r="E19" s="2" t="s">
        <v>538</v>
      </c>
      <c r="F19">
        <v>13</v>
      </c>
      <c r="I19" t="s">
        <v>538</v>
      </c>
      <c r="J19">
        <v>13</v>
      </c>
    </row>
    <row r="20" spans="1:10" x14ac:dyDescent="0.3">
      <c r="A20" t="s">
        <v>99</v>
      </c>
      <c r="B20">
        <v>1</v>
      </c>
      <c r="E20" s="2" t="s">
        <v>488</v>
      </c>
      <c r="F20">
        <v>3</v>
      </c>
      <c r="I20" t="s">
        <v>488</v>
      </c>
      <c r="J20">
        <v>3</v>
      </c>
    </row>
    <row r="21" spans="1:10" x14ac:dyDescent="0.3">
      <c r="A21" t="s">
        <v>489</v>
      </c>
      <c r="B21">
        <v>1</v>
      </c>
      <c r="E21" s="2" t="s">
        <v>485</v>
      </c>
      <c r="F21">
        <v>2</v>
      </c>
      <c r="I21" t="s">
        <v>485</v>
      </c>
      <c r="J21">
        <v>2</v>
      </c>
    </row>
    <row r="22" spans="1:10" x14ac:dyDescent="0.3">
      <c r="A22" t="s">
        <v>489</v>
      </c>
      <c r="B22">
        <v>1</v>
      </c>
      <c r="E22" s="2" t="s">
        <v>484</v>
      </c>
      <c r="F22">
        <v>3</v>
      </c>
      <c r="I22" t="s">
        <v>484</v>
      </c>
      <c r="J22">
        <v>3</v>
      </c>
    </row>
    <row r="23" spans="1:10" x14ac:dyDescent="0.3">
      <c r="A23" t="s">
        <v>490</v>
      </c>
      <c r="B23">
        <v>1</v>
      </c>
      <c r="E23" s="2" t="s">
        <v>487</v>
      </c>
      <c r="F23">
        <v>4</v>
      </c>
      <c r="I23" t="s">
        <v>487</v>
      </c>
      <c r="J23">
        <v>4</v>
      </c>
    </row>
    <row r="24" spans="1:10" x14ac:dyDescent="0.3">
      <c r="A24" t="s">
        <v>490</v>
      </c>
      <c r="B24">
        <v>1</v>
      </c>
      <c r="E24" s="2" t="s">
        <v>486</v>
      </c>
      <c r="F24">
        <v>3</v>
      </c>
      <c r="I24" t="s">
        <v>486</v>
      </c>
      <c r="J24">
        <v>3</v>
      </c>
    </row>
    <row r="25" spans="1:10" x14ac:dyDescent="0.3">
      <c r="A25" t="s">
        <v>490</v>
      </c>
      <c r="B25">
        <v>1</v>
      </c>
      <c r="E25" s="2" t="s">
        <v>493</v>
      </c>
      <c r="F25">
        <v>4</v>
      </c>
      <c r="I25" t="s">
        <v>493</v>
      </c>
      <c r="J25">
        <v>4</v>
      </c>
    </row>
    <row r="26" spans="1:10" x14ac:dyDescent="0.3">
      <c r="A26" t="s">
        <v>491</v>
      </c>
      <c r="B26">
        <v>1</v>
      </c>
      <c r="E26" s="2" t="s">
        <v>489</v>
      </c>
      <c r="F26">
        <v>2</v>
      </c>
      <c r="I26" t="s">
        <v>489</v>
      </c>
      <c r="J26">
        <v>2</v>
      </c>
    </row>
    <row r="27" spans="1:10" x14ac:dyDescent="0.3">
      <c r="A27" t="s">
        <v>491</v>
      </c>
      <c r="B27">
        <v>1</v>
      </c>
      <c r="E27" s="2" t="s">
        <v>490</v>
      </c>
      <c r="F27">
        <v>3</v>
      </c>
      <c r="I27" t="s">
        <v>490</v>
      </c>
      <c r="J27">
        <v>3</v>
      </c>
    </row>
    <row r="28" spans="1:10" x14ac:dyDescent="0.3">
      <c r="A28" t="s">
        <v>491</v>
      </c>
      <c r="B28">
        <v>1</v>
      </c>
      <c r="E28" s="2" t="s">
        <v>491</v>
      </c>
      <c r="F28">
        <v>3</v>
      </c>
      <c r="I28" t="s">
        <v>491</v>
      </c>
      <c r="J28">
        <v>3</v>
      </c>
    </row>
    <row r="29" spans="1:10" x14ac:dyDescent="0.3">
      <c r="A29" t="s">
        <v>492</v>
      </c>
      <c r="B29">
        <v>1</v>
      </c>
      <c r="E29" s="2" t="s">
        <v>492</v>
      </c>
      <c r="F29">
        <v>3</v>
      </c>
      <c r="I29" t="s">
        <v>492</v>
      </c>
      <c r="J29">
        <v>3</v>
      </c>
    </row>
    <row r="30" spans="1:10" x14ac:dyDescent="0.3">
      <c r="A30" t="s">
        <v>492</v>
      </c>
      <c r="B30">
        <v>1</v>
      </c>
      <c r="E30" s="2" t="s">
        <v>513</v>
      </c>
      <c r="F30">
        <v>16</v>
      </c>
      <c r="I30" t="s">
        <v>513</v>
      </c>
      <c r="J30">
        <v>16</v>
      </c>
    </row>
    <row r="31" spans="1:10" x14ac:dyDescent="0.3">
      <c r="A31" t="s">
        <v>492</v>
      </c>
      <c r="B31">
        <v>1</v>
      </c>
      <c r="E31" s="2" t="s">
        <v>554</v>
      </c>
      <c r="F31">
        <v>5</v>
      </c>
      <c r="I31" t="s">
        <v>554</v>
      </c>
      <c r="J31">
        <v>5</v>
      </c>
    </row>
    <row r="32" spans="1:10" x14ac:dyDescent="0.3">
      <c r="A32" t="s">
        <v>493</v>
      </c>
      <c r="B32">
        <v>1</v>
      </c>
      <c r="E32" s="2" t="s">
        <v>509</v>
      </c>
      <c r="F32">
        <v>16</v>
      </c>
      <c r="I32" t="s">
        <v>509</v>
      </c>
      <c r="J32">
        <v>16</v>
      </c>
    </row>
    <row r="33" spans="1:10" x14ac:dyDescent="0.3">
      <c r="A33" t="s">
        <v>493</v>
      </c>
      <c r="B33">
        <v>1</v>
      </c>
      <c r="E33" s="2" t="s">
        <v>511</v>
      </c>
      <c r="F33">
        <v>15</v>
      </c>
      <c r="I33" t="s">
        <v>511</v>
      </c>
      <c r="J33">
        <v>15</v>
      </c>
    </row>
    <row r="34" spans="1:10" x14ac:dyDescent="0.3">
      <c r="A34" t="s">
        <v>493</v>
      </c>
      <c r="B34">
        <v>1</v>
      </c>
      <c r="E34" s="2" t="s">
        <v>519</v>
      </c>
      <c r="F34">
        <v>9</v>
      </c>
      <c r="I34" t="s">
        <v>519</v>
      </c>
      <c r="J34">
        <v>9</v>
      </c>
    </row>
    <row r="35" spans="1:10" x14ac:dyDescent="0.3">
      <c r="A35" t="s">
        <v>493</v>
      </c>
      <c r="B35">
        <v>1</v>
      </c>
      <c r="E35" s="2" t="s">
        <v>515</v>
      </c>
      <c r="F35">
        <v>14</v>
      </c>
      <c r="I35" t="s">
        <v>515</v>
      </c>
      <c r="J35">
        <v>14</v>
      </c>
    </row>
    <row r="36" spans="1:10" x14ac:dyDescent="0.3">
      <c r="A36" t="s">
        <v>494</v>
      </c>
      <c r="B36">
        <v>1</v>
      </c>
      <c r="E36" s="2" t="s">
        <v>516</v>
      </c>
      <c r="F36">
        <v>9</v>
      </c>
      <c r="I36" t="s">
        <v>516</v>
      </c>
      <c r="J36">
        <v>9</v>
      </c>
    </row>
    <row r="37" spans="1:10" x14ac:dyDescent="0.3">
      <c r="A37" t="s">
        <v>494</v>
      </c>
      <c r="B37">
        <v>1</v>
      </c>
      <c r="E37" s="2" t="s">
        <v>524</v>
      </c>
      <c r="F37">
        <v>13</v>
      </c>
      <c r="I37" t="s">
        <v>524</v>
      </c>
      <c r="J37">
        <v>13</v>
      </c>
    </row>
    <row r="38" spans="1:10" x14ac:dyDescent="0.3">
      <c r="A38" t="s">
        <v>494</v>
      </c>
      <c r="B38">
        <v>1</v>
      </c>
      <c r="E38" s="2" t="s">
        <v>510</v>
      </c>
      <c r="F38">
        <v>5</v>
      </c>
      <c r="I38" t="s">
        <v>510</v>
      </c>
      <c r="J38">
        <v>5</v>
      </c>
    </row>
    <row r="39" spans="1:10" x14ac:dyDescent="0.3">
      <c r="A39" t="s">
        <v>494</v>
      </c>
      <c r="B39">
        <v>1</v>
      </c>
      <c r="E39" s="2" t="s">
        <v>512</v>
      </c>
      <c r="F39">
        <v>15</v>
      </c>
      <c r="I39" t="s">
        <v>512</v>
      </c>
      <c r="J39">
        <v>15</v>
      </c>
    </row>
    <row r="40" spans="1:10" x14ac:dyDescent="0.3">
      <c r="A40" t="s">
        <v>494</v>
      </c>
      <c r="B40">
        <v>1</v>
      </c>
      <c r="E40" s="2" t="s">
        <v>518</v>
      </c>
      <c r="F40">
        <v>17</v>
      </c>
      <c r="I40" t="s">
        <v>518</v>
      </c>
      <c r="J40">
        <v>17</v>
      </c>
    </row>
    <row r="41" spans="1:10" x14ac:dyDescent="0.3">
      <c r="A41" t="s">
        <v>494</v>
      </c>
      <c r="B41">
        <v>1</v>
      </c>
      <c r="E41" s="2" t="s">
        <v>521</v>
      </c>
      <c r="F41">
        <v>15</v>
      </c>
      <c r="I41" t="s">
        <v>521</v>
      </c>
      <c r="J41">
        <v>15</v>
      </c>
    </row>
    <row r="42" spans="1:10" x14ac:dyDescent="0.3">
      <c r="A42" t="s">
        <v>494</v>
      </c>
      <c r="B42">
        <v>1</v>
      </c>
      <c r="E42" s="2" t="s">
        <v>522</v>
      </c>
      <c r="F42">
        <v>12</v>
      </c>
      <c r="I42" t="s">
        <v>522</v>
      </c>
      <c r="J42">
        <v>12</v>
      </c>
    </row>
    <row r="43" spans="1:10" x14ac:dyDescent="0.3">
      <c r="A43" t="s">
        <v>495</v>
      </c>
      <c r="B43">
        <v>1</v>
      </c>
      <c r="E43" s="2" t="s">
        <v>528</v>
      </c>
      <c r="F43">
        <v>8</v>
      </c>
      <c r="I43" t="s">
        <v>528</v>
      </c>
      <c r="J43">
        <v>8</v>
      </c>
    </row>
    <row r="44" spans="1:10" x14ac:dyDescent="0.3">
      <c r="A44" t="s">
        <v>495</v>
      </c>
      <c r="B44">
        <v>1</v>
      </c>
      <c r="E44" s="2" t="s">
        <v>517</v>
      </c>
      <c r="F44">
        <v>10</v>
      </c>
      <c r="I44" t="s">
        <v>517</v>
      </c>
      <c r="J44">
        <v>10</v>
      </c>
    </row>
    <row r="45" spans="1:10" x14ac:dyDescent="0.3">
      <c r="A45" t="s">
        <v>495</v>
      </c>
      <c r="B45">
        <v>1</v>
      </c>
      <c r="E45" s="2" t="s">
        <v>523</v>
      </c>
      <c r="F45">
        <v>10</v>
      </c>
      <c r="I45" t="s">
        <v>523</v>
      </c>
      <c r="J45">
        <v>10</v>
      </c>
    </row>
    <row r="46" spans="1:10" x14ac:dyDescent="0.3">
      <c r="A46" t="s">
        <v>495</v>
      </c>
      <c r="B46">
        <v>1</v>
      </c>
      <c r="E46" s="2" t="s">
        <v>527</v>
      </c>
      <c r="F46">
        <v>16</v>
      </c>
      <c r="I46" t="s">
        <v>527</v>
      </c>
      <c r="J46">
        <v>16</v>
      </c>
    </row>
    <row r="47" spans="1:10" x14ac:dyDescent="0.3">
      <c r="A47" t="s">
        <v>495</v>
      </c>
      <c r="B47">
        <v>1</v>
      </c>
      <c r="E47" s="2" t="s">
        <v>547</v>
      </c>
      <c r="F47">
        <v>12</v>
      </c>
      <c r="I47" t="s">
        <v>547</v>
      </c>
      <c r="J47">
        <v>12</v>
      </c>
    </row>
    <row r="48" spans="1:10" x14ac:dyDescent="0.3">
      <c r="A48" t="s">
        <v>495</v>
      </c>
      <c r="B48">
        <v>1</v>
      </c>
      <c r="E48" s="2" t="s">
        <v>541</v>
      </c>
      <c r="F48">
        <v>9</v>
      </c>
      <c r="I48" t="s">
        <v>541</v>
      </c>
      <c r="J48">
        <v>9</v>
      </c>
    </row>
    <row r="49" spans="1:10" x14ac:dyDescent="0.3">
      <c r="A49" t="s">
        <v>496</v>
      </c>
      <c r="B49">
        <v>1</v>
      </c>
      <c r="E49" s="2" t="s">
        <v>542</v>
      </c>
      <c r="F49">
        <v>6</v>
      </c>
      <c r="I49" t="s">
        <v>542</v>
      </c>
      <c r="J49">
        <v>6</v>
      </c>
    </row>
    <row r="50" spans="1:10" x14ac:dyDescent="0.3">
      <c r="A50" t="s">
        <v>496</v>
      </c>
      <c r="B50">
        <v>1</v>
      </c>
      <c r="E50" s="2" t="s">
        <v>544</v>
      </c>
      <c r="F50">
        <v>10</v>
      </c>
      <c r="I50" t="s">
        <v>544</v>
      </c>
      <c r="J50">
        <v>10</v>
      </c>
    </row>
    <row r="51" spans="1:10" x14ac:dyDescent="0.3">
      <c r="A51" t="s">
        <v>496</v>
      </c>
      <c r="B51">
        <v>1</v>
      </c>
      <c r="E51" s="2" t="s">
        <v>555</v>
      </c>
      <c r="F51">
        <v>6</v>
      </c>
      <c r="I51" t="s">
        <v>555</v>
      </c>
      <c r="J51">
        <v>6</v>
      </c>
    </row>
    <row r="52" spans="1:10" x14ac:dyDescent="0.3">
      <c r="A52" t="s">
        <v>496</v>
      </c>
      <c r="B52">
        <v>1</v>
      </c>
      <c r="E52" s="2" t="s">
        <v>545</v>
      </c>
      <c r="F52">
        <v>10</v>
      </c>
      <c r="I52" t="s">
        <v>545</v>
      </c>
      <c r="J52">
        <v>10</v>
      </c>
    </row>
    <row r="53" spans="1:10" x14ac:dyDescent="0.3">
      <c r="A53" t="s">
        <v>497</v>
      </c>
      <c r="B53">
        <v>1</v>
      </c>
      <c r="E53" s="2" t="s">
        <v>556</v>
      </c>
      <c r="F53">
        <v>8</v>
      </c>
      <c r="I53" t="s">
        <v>556</v>
      </c>
      <c r="J53">
        <v>8</v>
      </c>
    </row>
    <row r="54" spans="1:10" x14ac:dyDescent="0.3">
      <c r="A54" t="s">
        <v>497</v>
      </c>
      <c r="B54">
        <v>1</v>
      </c>
      <c r="E54" s="2" t="s">
        <v>553</v>
      </c>
      <c r="F54">
        <v>11</v>
      </c>
      <c r="I54" t="s">
        <v>553</v>
      </c>
      <c r="J54">
        <v>11</v>
      </c>
    </row>
    <row r="55" spans="1:10" x14ac:dyDescent="0.3">
      <c r="A55" t="s">
        <v>497</v>
      </c>
      <c r="B55">
        <v>1</v>
      </c>
      <c r="E55" s="2" t="s">
        <v>546</v>
      </c>
      <c r="F55">
        <v>9</v>
      </c>
      <c r="I55" t="s">
        <v>546</v>
      </c>
      <c r="J55">
        <v>9</v>
      </c>
    </row>
    <row r="56" spans="1:10" x14ac:dyDescent="0.3">
      <c r="A56" t="s">
        <v>497</v>
      </c>
      <c r="B56">
        <v>1</v>
      </c>
      <c r="E56" s="2" t="s">
        <v>550</v>
      </c>
      <c r="F56">
        <v>6</v>
      </c>
      <c r="I56" t="s">
        <v>550</v>
      </c>
      <c r="J56">
        <v>6</v>
      </c>
    </row>
    <row r="57" spans="1:10" x14ac:dyDescent="0.3">
      <c r="A57" t="s">
        <v>498</v>
      </c>
      <c r="B57">
        <v>1</v>
      </c>
      <c r="E57" s="2" t="s">
        <v>551</v>
      </c>
      <c r="F57">
        <v>11</v>
      </c>
      <c r="I57" t="s">
        <v>551</v>
      </c>
      <c r="J57">
        <v>11</v>
      </c>
    </row>
    <row r="58" spans="1:10" x14ac:dyDescent="0.3">
      <c r="A58" t="s">
        <v>498</v>
      </c>
      <c r="B58">
        <v>1</v>
      </c>
      <c r="E58" s="2" t="s">
        <v>552</v>
      </c>
      <c r="F58">
        <v>9</v>
      </c>
      <c r="I58" t="s">
        <v>552</v>
      </c>
      <c r="J58">
        <v>9</v>
      </c>
    </row>
    <row r="59" spans="1:10" x14ac:dyDescent="0.3">
      <c r="A59" t="s">
        <v>498</v>
      </c>
      <c r="B59">
        <v>1</v>
      </c>
      <c r="E59" s="2" t="s">
        <v>501</v>
      </c>
      <c r="F59">
        <v>7</v>
      </c>
      <c r="I59" t="s">
        <v>501</v>
      </c>
      <c r="J59">
        <v>7</v>
      </c>
    </row>
    <row r="60" spans="1:10" x14ac:dyDescent="0.3">
      <c r="A60" t="s">
        <v>498</v>
      </c>
      <c r="B60">
        <v>1</v>
      </c>
      <c r="E60" s="2" t="s">
        <v>496</v>
      </c>
      <c r="F60">
        <v>15</v>
      </c>
      <c r="I60" t="s">
        <v>496</v>
      </c>
      <c r="J60">
        <v>15</v>
      </c>
    </row>
    <row r="61" spans="1:10" x14ac:dyDescent="0.3">
      <c r="A61" t="s">
        <v>499</v>
      </c>
      <c r="B61">
        <v>1</v>
      </c>
      <c r="E61" s="2" t="s">
        <v>497</v>
      </c>
      <c r="F61">
        <v>7</v>
      </c>
      <c r="I61" t="s">
        <v>497</v>
      </c>
      <c r="J61">
        <v>7</v>
      </c>
    </row>
    <row r="62" spans="1:10" x14ac:dyDescent="0.3">
      <c r="A62" t="s">
        <v>499</v>
      </c>
      <c r="B62">
        <v>1</v>
      </c>
      <c r="E62" s="2" t="s">
        <v>498</v>
      </c>
      <c r="F62">
        <v>14</v>
      </c>
      <c r="I62" t="s">
        <v>498</v>
      </c>
      <c r="J62">
        <v>14</v>
      </c>
    </row>
    <row r="63" spans="1:10" x14ac:dyDescent="0.3">
      <c r="A63" t="s">
        <v>499</v>
      </c>
      <c r="B63">
        <v>1</v>
      </c>
      <c r="E63" s="2" t="s">
        <v>499</v>
      </c>
      <c r="F63">
        <v>11</v>
      </c>
      <c r="I63" t="s">
        <v>499</v>
      </c>
      <c r="J63">
        <v>11</v>
      </c>
    </row>
    <row r="64" spans="1:10" x14ac:dyDescent="0.3">
      <c r="A64" t="s">
        <v>499</v>
      </c>
      <c r="B64">
        <v>1</v>
      </c>
      <c r="E64" s="2" t="s">
        <v>500</v>
      </c>
      <c r="F64">
        <v>9</v>
      </c>
      <c r="I64" t="s">
        <v>500</v>
      </c>
      <c r="J64">
        <v>9</v>
      </c>
    </row>
    <row r="65" spans="1:10" x14ac:dyDescent="0.3">
      <c r="A65" t="s">
        <v>500</v>
      </c>
      <c r="B65">
        <v>1</v>
      </c>
      <c r="E65" s="2" t="s">
        <v>508</v>
      </c>
      <c r="F65">
        <v>13</v>
      </c>
      <c r="I65" t="s">
        <v>508</v>
      </c>
      <c r="J65">
        <v>13</v>
      </c>
    </row>
    <row r="66" spans="1:10" x14ac:dyDescent="0.3">
      <c r="A66" t="s">
        <v>500</v>
      </c>
      <c r="B66">
        <v>1</v>
      </c>
      <c r="E66" s="2" t="s">
        <v>504</v>
      </c>
      <c r="F66">
        <v>4</v>
      </c>
      <c r="I66" t="s">
        <v>504</v>
      </c>
      <c r="J66">
        <v>4</v>
      </c>
    </row>
    <row r="67" spans="1:10" x14ac:dyDescent="0.3">
      <c r="A67" t="s">
        <v>501</v>
      </c>
      <c r="B67">
        <v>1</v>
      </c>
      <c r="E67" s="2" t="s">
        <v>505</v>
      </c>
      <c r="F67">
        <v>13</v>
      </c>
      <c r="I67" t="s">
        <v>505</v>
      </c>
      <c r="J67">
        <v>13</v>
      </c>
    </row>
    <row r="68" spans="1:10" x14ac:dyDescent="0.3">
      <c r="A68" t="s">
        <v>501</v>
      </c>
      <c r="B68">
        <v>1</v>
      </c>
      <c r="E68" s="2" t="s">
        <v>506</v>
      </c>
      <c r="F68">
        <v>4</v>
      </c>
      <c r="I68" t="s">
        <v>506</v>
      </c>
      <c r="J68">
        <v>4</v>
      </c>
    </row>
    <row r="69" spans="1:10" x14ac:dyDescent="0.3">
      <c r="A69" t="s">
        <v>501</v>
      </c>
      <c r="B69">
        <v>1</v>
      </c>
      <c r="E69" s="2" t="s">
        <v>507</v>
      </c>
      <c r="F69">
        <v>6</v>
      </c>
      <c r="I69" t="s">
        <v>507</v>
      </c>
      <c r="J69">
        <v>6</v>
      </c>
    </row>
    <row r="70" spans="1:10" x14ac:dyDescent="0.3">
      <c r="A70" t="s">
        <v>504</v>
      </c>
      <c r="B70">
        <v>1</v>
      </c>
      <c r="E70" s="2" t="s">
        <v>99</v>
      </c>
      <c r="F70">
        <v>4</v>
      </c>
      <c r="I70" t="s">
        <v>99</v>
      </c>
      <c r="J70">
        <v>4</v>
      </c>
    </row>
    <row r="71" spans="1:10" x14ac:dyDescent="0.3">
      <c r="A71" t="s">
        <v>504</v>
      </c>
      <c r="B71">
        <v>1</v>
      </c>
      <c r="E71" s="2" t="s">
        <v>535</v>
      </c>
      <c r="F71">
        <v>9</v>
      </c>
      <c r="I71" t="s">
        <v>535</v>
      </c>
      <c r="J71">
        <v>9</v>
      </c>
    </row>
    <row r="72" spans="1:10" x14ac:dyDescent="0.3">
      <c r="A72" t="s">
        <v>505</v>
      </c>
      <c r="B72">
        <v>1</v>
      </c>
      <c r="E72" s="2" t="s">
        <v>529</v>
      </c>
      <c r="F72">
        <v>11</v>
      </c>
      <c r="I72" t="s">
        <v>529</v>
      </c>
      <c r="J72">
        <v>11</v>
      </c>
    </row>
    <row r="73" spans="1:10" x14ac:dyDescent="0.3">
      <c r="A73" t="s">
        <v>505</v>
      </c>
      <c r="B73">
        <v>1</v>
      </c>
      <c r="E73" s="2" t="s">
        <v>530</v>
      </c>
      <c r="F73">
        <v>10</v>
      </c>
      <c r="I73" t="s">
        <v>530</v>
      </c>
      <c r="J73">
        <v>10</v>
      </c>
    </row>
    <row r="74" spans="1:10" x14ac:dyDescent="0.3">
      <c r="A74" t="s">
        <v>505</v>
      </c>
      <c r="B74">
        <v>1</v>
      </c>
      <c r="E74" s="2" t="s">
        <v>531</v>
      </c>
      <c r="F74">
        <v>10</v>
      </c>
      <c r="I74" t="s">
        <v>531</v>
      </c>
      <c r="J74">
        <v>10</v>
      </c>
    </row>
    <row r="75" spans="1:10" x14ac:dyDescent="0.3">
      <c r="A75" t="s">
        <v>506</v>
      </c>
      <c r="B75">
        <v>1</v>
      </c>
      <c r="E75" s="2" t="s">
        <v>534</v>
      </c>
      <c r="F75">
        <v>6</v>
      </c>
      <c r="I75" t="s">
        <v>534</v>
      </c>
      <c r="J75">
        <v>6</v>
      </c>
    </row>
    <row r="76" spans="1:10" x14ac:dyDescent="0.3">
      <c r="A76" t="s">
        <v>506</v>
      </c>
      <c r="B76">
        <v>1</v>
      </c>
      <c r="E76" s="2" t="s">
        <v>532</v>
      </c>
      <c r="F76">
        <v>14</v>
      </c>
      <c r="I76" t="s">
        <v>532</v>
      </c>
      <c r="J76">
        <v>14</v>
      </c>
    </row>
    <row r="77" spans="1:10" x14ac:dyDescent="0.3">
      <c r="A77" t="s">
        <v>507</v>
      </c>
      <c r="B77">
        <v>1</v>
      </c>
      <c r="E77" s="2" t="s">
        <v>533</v>
      </c>
      <c r="F77">
        <v>11</v>
      </c>
      <c r="I77" t="s">
        <v>533</v>
      </c>
      <c r="J77">
        <v>11</v>
      </c>
    </row>
    <row r="78" spans="1:10" x14ac:dyDescent="0.3">
      <c r="A78" t="s">
        <v>507</v>
      </c>
      <c r="B78">
        <v>1</v>
      </c>
      <c r="E78" s="2" t="s">
        <v>543</v>
      </c>
      <c r="F78">
        <v>6</v>
      </c>
      <c r="I78" t="s">
        <v>543</v>
      </c>
      <c r="J78">
        <v>6</v>
      </c>
    </row>
    <row r="79" spans="1:10" x14ac:dyDescent="0.3">
      <c r="A79" t="s">
        <v>507</v>
      </c>
      <c r="B79">
        <v>1</v>
      </c>
      <c r="E79" s="2" t="s">
        <v>536</v>
      </c>
      <c r="F79">
        <v>6</v>
      </c>
      <c r="I79" t="s">
        <v>536</v>
      </c>
      <c r="J79">
        <v>6</v>
      </c>
    </row>
    <row r="80" spans="1:10" x14ac:dyDescent="0.3">
      <c r="A80" t="s">
        <v>508</v>
      </c>
      <c r="B80">
        <v>1</v>
      </c>
      <c r="E80" s="2" t="s">
        <v>539</v>
      </c>
      <c r="F80">
        <v>13</v>
      </c>
      <c r="I80" t="s">
        <v>539</v>
      </c>
      <c r="J80">
        <v>13</v>
      </c>
    </row>
    <row r="81" spans="1:10" x14ac:dyDescent="0.3">
      <c r="A81" t="s">
        <v>508</v>
      </c>
      <c r="B81">
        <v>1</v>
      </c>
      <c r="E81" s="2" t="s">
        <v>540</v>
      </c>
      <c r="F81">
        <v>9</v>
      </c>
      <c r="I81" t="s">
        <v>540</v>
      </c>
      <c r="J81">
        <v>9</v>
      </c>
    </row>
    <row r="82" spans="1:10" x14ac:dyDescent="0.3">
      <c r="A82" t="s">
        <v>508</v>
      </c>
      <c r="B82">
        <v>1</v>
      </c>
      <c r="E82" s="2" t="s">
        <v>164</v>
      </c>
      <c r="F82">
        <v>735</v>
      </c>
      <c r="I82" t="s">
        <v>164</v>
      </c>
      <c r="J82">
        <v>735</v>
      </c>
    </row>
    <row r="83" spans="1:10" x14ac:dyDescent="0.3">
      <c r="A83" t="s">
        <v>502</v>
      </c>
      <c r="B83">
        <v>1</v>
      </c>
    </row>
    <row r="84" spans="1:10" x14ac:dyDescent="0.3">
      <c r="A84" t="s">
        <v>502</v>
      </c>
      <c r="B84">
        <v>1</v>
      </c>
    </row>
    <row r="85" spans="1:10" x14ac:dyDescent="0.3">
      <c r="A85" t="s">
        <v>502</v>
      </c>
      <c r="B85">
        <v>1</v>
      </c>
    </row>
    <row r="86" spans="1:10" x14ac:dyDescent="0.3">
      <c r="A86" t="s">
        <v>502</v>
      </c>
      <c r="B86">
        <v>1</v>
      </c>
    </row>
    <row r="87" spans="1:10" x14ac:dyDescent="0.3">
      <c r="A87" t="s">
        <v>502</v>
      </c>
      <c r="B87">
        <v>1</v>
      </c>
    </row>
    <row r="88" spans="1:10" x14ac:dyDescent="0.3">
      <c r="A88" t="s">
        <v>502</v>
      </c>
      <c r="B88">
        <v>1</v>
      </c>
    </row>
    <row r="89" spans="1:10" x14ac:dyDescent="0.3">
      <c r="A89" t="s">
        <v>503</v>
      </c>
      <c r="B89">
        <v>1</v>
      </c>
    </row>
    <row r="90" spans="1:10" x14ac:dyDescent="0.3">
      <c r="A90" t="s">
        <v>503</v>
      </c>
      <c r="B90">
        <v>1</v>
      </c>
    </row>
    <row r="91" spans="1:10" x14ac:dyDescent="0.3">
      <c r="A91" t="s">
        <v>503</v>
      </c>
      <c r="B91">
        <v>1</v>
      </c>
    </row>
    <row r="92" spans="1:10" x14ac:dyDescent="0.3">
      <c r="A92" t="s">
        <v>503</v>
      </c>
      <c r="B92">
        <v>1</v>
      </c>
    </row>
    <row r="93" spans="1:10" x14ac:dyDescent="0.3">
      <c r="A93" t="s">
        <v>503</v>
      </c>
      <c r="B93">
        <v>1</v>
      </c>
    </row>
    <row r="94" spans="1:10" x14ac:dyDescent="0.3">
      <c r="A94" t="s">
        <v>503</v>
      </c>
      <c r="B94">
        <v>1</v>
      </c>
    </row>
    <row r="95" spans="1:10" x14ac:dyDescent="0.3">
      <c r="A95" t="s">
        <v>503</v>
      </c>
      <c r="B95">
        <v>1</v>
      </c>
    </row>
    <row r="96" spans="1:10" x14ac:dyDescent="0.3">
      <c r="A96" t="s">
        <v>503</v>
      </c>
      <c r="B96">
        <v>1</v>
      </c>
    </row>
    <row r="97" spans="1:2" x14ac:dyDescent="0.3">
      <c r="A97" t="s">
        <v>509</v>
      </c>
      <c r="B97">
        <v>1</v>
      </c>
    </row>
    <row r="98" spans="1:2" x14ac:dyDescent="0.3">
      <c r="A98" t="s">
        <v>509</v>
      </c>
      <c r="B98">
        <v>1</v>
      </c>
    </row>
    <row r="99" spans="1:2" x14ac:dyDescent="0.3">
      <c r="A99" t="s">
        <v>509</v>
      </c>
      <c r="B99">
        <v>1</v>
      </c>
    </row>
    <row r="100" spans="1:2" x14ac:dyDescent="0.3">
      <c r="A100" t="s">
        <v>509</v>
      </c>
      <c r="B100">
        <v>1</v>
      </c>
    </row>
    <row r="101" spans="1:2" x14ac:dyDescent="0.3">
      <c r="A101" t="s">
        <v>509</v>
      </c>
      <c r="B101">
        <v>1</v>
      </c>
    </row>
    <row r="102" spans="1:2" x14ac:dyDescent="0.3">
      <c r="A102" t="s">
        <v>509</v>
      </c>
      <c r="B102">
        <v>1</v>
      </c>
    </row>
    <row r="103" spans="1:2" x14ac:dyDescent="0.3">
      <c r="A103" t="s">
        <v>509</v>
      </c>
      <c r="B103">
        <v>1</v>
      </c>
    </row>
    <row r="104" spans="1:2" x14ac:dyDescent="0.3">
      <c r="A104" t="s">
        <v>509</v>
      </c>
      <c r="B104">
        <v>1</v>
      </c>
    </row>
    <row r="105" spans="1:2" x14ac:dyDescent="0.3">
      <c r="A105" t="s">
        <v>511</v>
      </c>
      <c r="B105">
        <v>1</v>
      </c>
    </row>
    <row r="106" spans="1:2" x14ac:dyDescent="0.3">
      <c r="A106" t="s">
        <v>511</v>
      </c>
      <c r="B106">
        <v>1</v>
      </c>
    </row>
    <row r="107" spans="1:2" x14ac:dyDescent="0.3">
      <c r="A107" t="s">
        <v>511</v>
      </c>
      <c r="B107">
        <v>1</v>
      </c>
    </row>
    <row r="108" spans="1:2" x14ac:dyDescent="0.3">
      <c r="A108" t="s">
        <v>511</v>
      </c>
      <c r="B108">
        <v>1</v>
      </c>
    </row>
    <row r="109" spans="1:2" x14ac:dyDescent="0.3">
      <c r="A109" t="s">
        <v>513</v>
      </c>
      <c r="B109">
        <v>1</v>
      </c>
    </row>
    <row r="110" spans="1:2" x14ac:dyDescent="0.3">
      <c r="A110" t="s">
        <v>513</v>
      </c>
      <c r="B110">
        <v>1</v>
      </c>
    </row>
    <row r="111" spans="1:2" x14ac:dyDescent="0.3">
      <c r="A111" t="s">
        <v>513</v>
      </c>
      <c r="B111">
        <v>1</v>
      </c>
    </row>
    <row r="112" spans="1:2" x14ac:dyDescent="0.3">
      <c r="A112" t="s">
        <v>513</v>
      </c>
      <c r="B112">
        <v>1</v>
      </c>
    </row>
    <row r="113" spans="1:2" x14ac:dyDescent="0.3">
      <c r="A113" t="s">
        <v>514</v>
      </c>
      <c r="B113">
        <v>1</v>
      </c>
    </row>
    <row r="114" spans="1:2" x14ac:dyDescent="0.3">
      <c r="A114" t="s">
        <v>514</v>
      </c>
      <c r="B114">
        <v>1</v>
      </c>
    </row>
    <row r="115" spans="1:2" x14ac:dyDescent="0.3">
      <c r="A115" t="s">
        <v>514</v>
      </c>
      <c r="B115">
        <v>1</v>
      </c>
    </row>
    <row r="116" spans="1:2" x14ac:dyDescent="0.3">
      <c r="A116" t="s">
        <v>514</v>
      </c>
      <c r="B116">
        <v>1</v>
      </c>
    </row>
    <row r="117" spans="1:2" x14ac:dyDescent="0.3">
      <c r="A117" t="s">
        <v>514</v>
      </c>
      <c r="B117">
        <v>1</v>
      </c>
    </row>
    <row r="118" spans="1:2" x14ac:dyDescent="0.3">
      <c r="A118" t="s">
        <v>514</v>
      </c>
      <c r="B118">
        <v>1</v>
      </c>
    </row>
    <row r="119" spans="1:2" x14ac:dyDescent="0.3">
      <c r="A119" t="s">
        <v>515</v>
      </c>
      <c r="B119">
        <v>1</v>
      </c>
    </row>
    <row r="120" spans="1:2" x14ac:dyDescent="0.3">
      <c r="A120" t="s">
        <v>515</v>
      </c>
      <c r="B120">
        <v>1</v>
      </c>
    </row>
    <row r="121" spans="1:2" x14ac:dyDescent="0.3">
      <c r="A121" t="s">
        <v>515</v>
      </c>
      <c r="B121">
        <v>1</v>
      </c>
    </row>
    <row r="122" spans="1:2" x14ac:dyDescent="0.3">
      <c r="A122" t="s">
        <v>515</v>
      </c>
      <c r="B122">
        <v>1</v>
      </c>
    </row>
    <row r="123" spans="1:2" x14ac:dyDescent="0.3">
      <c r="A123" t="s">
        <v>515</v>
      </c>
      <c r="B123">
        <v>1</v>
      </c>
    </row>
    <row r="124" spans="1:2" x14ac:dyDescent="0.3">
      <c r="A124" t="s">
        <v>516</v>
      </c>
      <c r="B124">
        <v>1</v>
      </c>
    </row>
    <row r="125" spans="1:2" x14ac:dyDescent="0.3">
      <c r="A125" t="s">
        <v>516</v>
      </c>
      <c r="B125">
        <v>1</v>
      </c>
    </row>
    <row r="126" spans="1:2" x14ac:dyDescent="0.3">
      <c r="A126" t="s">
        <v>519</v>
      </c>
      <c r="B126">
        <v>1</v>
      </c>
    </row>
    <row r="127" spans="1:2" x14ac:dyDescent="0.3">
      <c r="A127" t="s">
        <v>519</v>
      </c>
      <c r="B127">
        <v>1</v>
      </c>
    </row>
    <row r="128" spans="1:2" x14ac:dyDescent="0.3">
      <c r="A128" t="s">
        <v>520</v>
      </c>
      <c r="B128">
        <v>1</v>
      </c>
    </row>
    <row r="129" spans="1:2" x14ac:dyDescent="0.3">
      <c r="A129" t="s">
        <v>520</v>
      </c>
      <c r="B129">
        <v>1</v>
      </c>
    </row>
    <row r="130" spans="1:2" x14ac:dyDescent="0.3">
      <c r="A130" t="s">
        <v>520</v>
      </c>
      <c r="B130">
        <v>1</v>
      </c>
    </row>
    <row r="131" spans="1:2" x14ac:dyDescent="0.3">
      <c r="A131" t="s">
        <v>512</v>
      </c>
      <c r="B131">
        <v>1</v>
      </c>
    </row>
    <row r="132" spans="1:2" x14ac:dyDescent="0.3">
      <c r="A132" t="s">
        <v>512</v>
      </c>
      <c r="B132">
        <v>1</v>
      </c>
    </row>
    <row r="133" spans="1:2" x14ac:dyDescent="0.3">
      <c r="A133" t="s">
        <v>512</v>
      </c>
      <c r="B133">
        <v>1</v>
      </c>
    </row>
    <row r="134" spans="1:2" x14ac:dyDescent="0.3">
      <c r="A134" t="s">
        <v>512</v>
      </c>
      <c r="B134">
        <v>1</v>
      </c>
    </row>
    <row r="135" spans="1:2" x14ac:dyDescent="0.3">
      <c r="A135" t="s">
        <v>512</v>
      </c>
      <c r="B135">
        <v>1</v>
      </c>
    </row>
    <row r="136" spans="1:2" x14ac:dyDescent="0.3">
      <c r="A136" t="s">
        <v>512</v>
      </c>
      <c r="B136">
        <v>1</v>
      </c>
    </row>
    <row r="137" spans="1:2" x14ac:dyDescent="0.3">
      <c r="A137" t="s">
        <v>518</v>
      </c>
      <c r="B137">
        <v>1</v>
      </c>
    </row>
    <row r="138" spans="1:2" x14ac:dyDescent="0.3">
      <c r="A138" t="s">
        <v>518</v>
      </c>
      <c r="B138">
        <v>1</v>
      </c>
    </row>
    <row r="139" spans="1:2" x14ac:dyDescent="0.3">
      <c r="A139" t="s">
        <v>518</v>
      </c>
      <c r="B139">
        <v>1</v>
      </c>
    </row>
    <row r="140" spans="1:2" x14ac:dyDescent="0.3">
      <c r="A140" t="s">
        <v>518</v>
      </c>
      <c r="B140">
        <v>1</v>
      </c>
    </row>
    <row r="141" spans="1:2" x14ac:dyDescent="0.3">
      <c r="A141" t="s">
        <v>518</v>
      </c>
      <c r="B141">
        <v>1</v>
      </c>
    </row>
    <row r="142" spans="1:2" x14ac:dyDescent="0.3">
      <c r="A142" t="s">
        <v>521</v>
      </c>
      <c r="B142">
        <v>1</v>
      </c>
    </row>
    <row r="143" spans="1:2" x14ac:dyDescent="0.3">
      <c r="A143" t="s">
        <v>521</v>
      </c>
      <c r="B143">
        <v>1</v>
      </c>
    </row>
    <row r="144" spans="1:2" x14ac:dyDescent="0.3">
      <c r="A144" t="s">
        <v>521</v>
      </c>
      <c r="B144">
        <v>1</v>
      </c>
    </row>
    <row r="145" spans="1:2" x14ac:dyDescent="0.3">
      <c r="A145" t="s">
        <v>521</v>
      </c>
      <c r="B145">
        <v>1</v>
      </c>
    </row>
    <row r="146" spans="1:2" x14ac:dyDescent="0.3">
      <c r="A146" t="s">
        <v>522</v>
      </c>
      <c r="B146">
        <v>1</v>
      </c>
    </row>
    <row r="147" spans="1:2" x14ac:dyDescent="0.3">
      <c r="A147" t="s">
        <v>522</v>
      </c>
      <c r="B147">
        <v>1</v>
      </c>
    </row>
    <row r="148" spans="1:2" x14ac:dyDescent="0.3">
      <c r="A148" t="s">
        <v>522</v>
      </c>
      <c r="B148">
        <v>1</v>
      </c>
    </row>
    <row r="149" spans="1:2" x14ac:dyDescent="0.3">
      <c r="A149" t="s">
        <v>524</v>
      </c>
      <c r="B149">
        <v>1</v>
      </c>
    </row>
    <row r="150" spans="1:2" x14ac:dyDescent="0.3">
      <c r="A150" t="s">
        <v>524</v>
      </c>
      <c r="B150">
        <v>1</v>
      </c>
    </row>
    <row r="151" spans="1:2" x14ac:dyDescent="0.3">
      <c r="A151" t="s">
        <v>524</v>
      </c>
      <c r="B151">
        <v>1</v>
      </c>
    </row>
    <row r="152" spans="1:2" x14ac:dyDescent="0.3">
      <c r="A152" t="s">
        <v>524</v>
      </c>
      <c r="B152">
        <v>1</v>
      </c>
    </row>
    <row r="153" spans="1:2" x14ac:dyDescent="0.3">
      <c r="A153" t="s">
        <v>525</v>
      </c>
      <c r="B153">
        <v>1</v>
      </c>
    </row>
    <row r="154" spans="1:2" x14ac:dyDescent="0.3">
      <c r="A154" t="s">
        <v>525</v>
      </c>
      <c r="B154">
        <v>1</v>
      </c>
    </row>
    <row r="155" spans="1:2" x14ac:dyDescent="0.3">
      <c r="A155" t="s">
        <v>525</v>
      </c>
      <c r="B155">
        <v>1</v>
      </c>
    </row>
    <row r="156" spans="1:2" x14ac:dyDescent="0.3">
      <c r="A156" t="s">
        <v>525</v>
      </c>
      <c r="B156">
        <v>1</v>
      </c>
    </row>
    <row r="157" spans="1:2" x14ac:dyDescent="0.3">
      <c r="A157" t="s">
        <v>525</v>
      </c>
      <c r="B157">
        <v>1</v>
      </c>
    </row>
    <row r="158" spans="1:2" x14ac:dyDescent="0.3">
      <c r="A158" t="s">
        <v>517</v>
      </c>
      <c r="B158">
        <v>1</v>
      </c>
    </row>
    <row r="159" spans="1:2" x14ac:dyDescent="0.3">
      <c r="A159" t="s">
        <v>517</v>
      </c>
      <c r="B159">
        <v>1</v>
      </c>
    </row>
    <row r="160" spans="1:2" x14ac:dyDescent="0.3">
      <c r="A160" t="s">
        <v>517</v>
      </c>
      <c r="B160">
        <v>1</v>
      </c>
    </row>
    <row r="161" spans="1:2" x14ac:dyDescent="0.3">
      <c r="A161" t="s">
        <v>517</v>
      </c>
      <c r="B161">
        <v>1</v>
      </c>
    </row>
    <row r="162" spans="1:2" x14ac:dyDescent="0.3">
      <c r="A162" t="s">
        <v>523</v>
      </c>
      <c r="B162">
        <v>1</v>
      </c>
    </row>
    <row r="163" spans="1:2" x14ac:dyDescent="0.3">
      <c r="A163" t="s">
        <v>523</v>
      </c>
      <c r="B163">
        <v>1</v>
      </c>
    </row>
    <row r="164" spans="1:2" x14ac:dyDescent="0.3">
      <c r="A164" t="s">
        <v>528</v>
      </c>
      <c r="B164">
        <v>1</v>
      </c>
    </row>
    <row r="165" spans="1:2" x14ac:dyDescent="0.3">
      <c r="A165" t="s">
        <v>528</v>
      </c>
      <c r="B165">
        <v>1</v>
      </c>
    </row>
    <row r="166" spans="1:2" x14ac:dyDescent="0.3">
      <c r="A166" t="s">
        <v>528</v>
      </c>
      <c r="B166">
        <v>1</v>
      </c>
    </row>
    <row r="167" spans="1:2" x14ac:dyDescent="0.3">
      <c r="A167" t="s">
        <v>528</v>
      </c>
      <c r="B167">
        <v>1</v>
      </c>
    </row>
    <row r="168" spans="1:2" x14ac:dyDescent="0.3">
      <c r="A168" t="s">
        <v>527</v>
      </c>
      <c r="B168">
        <v>1</v>
      </c>
    </row>
    <row r="169" spans="1:2" x14ac:dyDescent="0.3">
      <c r="A169" t="s">
        <v>527</v>
      </c>
      <c r="B169">
        <v>1</v>
      </c>
    </row>
    <row r="170" spans="1:2" x14ac:dyDescent="0.3">
      <c r="A170" t="s">
        <v>527</v>
      </c>
      <c r="B170">
        <v>1</v>
      </c>
    </row>
    <row r="171" spans="1:2" x14ac:dyDescent="0.3">
      <c r="A171" t="s">
        <v>527</v>
      </c>
      <c r="B171">
        <v>1</v>
      </c>
    </row>
    <row r="172" spans="1:2" x14ac:dyDescent="0.3">
      <c r="A172" t="s">
        <v>527</v>
      </c>
      <c r="B172">
        <v>1</v>
      </c>
    </row>
    <row r="173" spans="1:2" x14ac:dyDescent="0.3">
      <c r="A173" t="s">
        <v>526</v>
      </c>
      <c r="B173">
        <v>1</v>
      </c>
    </row>
    <row r="174" spans="1:2" x14ac:dyDescent="0.3">
      <c r="A174" t="s">
        <v>526</v>
      </c>
      <c r="B174">
        <v>1</v>
      </c>
    </row>
    <row r="175" spans="1:2" x14ac:dyDescent="0.3">
      <c r="A175" t="s">
        <v>526</v>
      </c>
      <c r="B175">
        <v>1</v>
      </c>
    </row>
    <row r="176" spans="1:2" x14ac:dyDescent="0.3">
      <c r="A176" t="s">
        <v>526</v>
      </c>
      <c r="B176">
        <v>1</v>
      </c>
    </row>
    <row r="177" spans="1:2" x14ac:dyDescent="0.3">
      <c r="A177" t="s">
        <v>526</v>
      </c>
      <c r="B177">
        <v>1</v>
      </c>
    </row>
    <row r="178" spans="1:2" x14ac:dyDescent="0.3">
      <c r="A178" t="s">
        <v>526</v>
      </c>
      <c r="B178">
        <v>1</v>
      </c>
    </row>
    <row r="179" spans="1:2" x14ac:dyDescent="0.3">
      <c r="A179" t="s">
        <v>529</v>
      </c>
      <c r="B179">
        <v>1</v>
      </c>
    </row>
    <row r="180" spans="1:2" x14ac:dyDescent="0.3">
      <c r="A180" t="s">
        <v>529</v>
      </c>
      <c r="B180">
        <v>1</v>
      </c>
    </row>
    <row r="181" spans="1:2" x14ac:dyDescent="0.3">
      <c r="A181" t="s">
        <v>529</v>
      </c>
      <c r="B181">
        <v>1</v>
      </c>
    </row>
    <row r="182" spans="1:2" x14ac:dyDescent="0.3">
      <c r="A182" t="s">
        <v>530</v>
      </c>
      <c r="B182">
        <v>1</v>
      </c>
    </row>
    <row r="183" spans="1:2" x14ac:dyDescent="0.3">
      <c r="A183" t="s">
        <v>530</v>
      </c>
      <c r="B183">
        <v>1</v>
      </c>
    </row>
    <row r="184" spans="1:2" x14ac:dyDescent="0.3">
      <c r="A184" t="s">
        <v>530</v>
      </c>
      <c r="B184">
        <v>1</v>
      </c>
    </row>
    <row r="185" spans="1:2" x14ac:dyDescent="0.3">
      <c r="A185" t="s">
        <v>531</v>
      </c>
      <c r="B185">
        <v>1</v>
      </c>
    </row>
    <row r="186" spans="1:2" x14ac:dyDescent="0.3">
      <c r="A186" t="s">
        <v>531</v>
      </c>
      <c r="B186">
        <v>1</v>
      </c>
    </row>
    <row r="187" spans="1:2" x14ac:dyDescent="0.3">
      <c r="A187" t="s">
        <v>532</v>
      </c>
      <c r="B187">
        <v>1</v>
      </c>
    </row>
    <row r="188" spans="1:2" x14ac:dyDescent="0.3">
      <c r="A188" t="s">
        <v>532</v>
      </c>
      <c r="B188">
        <v>1</v>
      </c>
    </row>
    <row r="189" spans="1:2" x14ac:dyDescent="0.3">
      <c r="A189" t="s">
        <v>532</v>
      </c>
      <c r="B189">
        <v>1</v>
      </c>
    </row>
    <row r="190" spans="1:2" x14ac:dyDescent="0.3">
      <c r="A190" t="s">
        <v>532</v>
      </c>
      <c r="B190">
        <v>1</v>
      </c>
    </row>
    <row r="191" spans="1:2" x14ac:dyDescent="0.3">
      <c r="A191" t="s">
        <v>532</v>
      </c>
      <c r="B191">
        <v>1</v>
      </c>
    </row>
    <row r="192" spans="1:2" x14ac:dyDescent="0.3">
      <c r="A192" t="s">
        <v>532</v>
      </c>
      <c r="B192">
        <v>1</v>
      </c>
    </row>
    <row r="193" spans="1:2" x14ac:dyDescent="0.3">
      <c r="A193" t="s">
        <v>535</v>
      </c>
      <c r="B193">
        <v>1</v>
      </c>
    </row>
    <row r="194" spans="1:2" x14ac:dyDescent="0.3">
      <c r="A194" t="s">
        <v>535</v>
      </c>
      <c r="B194">
        <v>1</v>
      </c>
    </row>
    <row r="195" spans="1:2" x14ac:dyDescent="0.3">
      <c r="A195" t="s">
        <v>535</v>
      </c>
      <c r="B195">
        <v>1</v>
      </c>
    </row>
    <row r="196" spans="1:2" x14ac:dyDescent="0.3">
      <c r="A196" t="s">
        <v>533</v>
      </c>
      <c r="B196">
        <v>1</v>
      </c>
    </row>
    <row r="197" spans="1:2" x14ac:dyDescent="0.3">
      <c r="A197" t="s">
        <v>533</v>
      </c>
      <c r="B197">
        <v>1</v>
      </c>
    </row>
    <row r="198" spans="1:2" x14ac:dyDescent="0.3">
      <c r="A198" t="s">
        <v>533</v>
      </c>
      <c r="B198">
        <v>1</v>
      </c>
    </row>
    <row r="199" spans="1:2" x14ac:dyDescent="0.3">
      <c r="A199" t="s">
        <v>537</v>
      </c>
      <c r="B199">
        <v>1</v>
      </c>
    </row>
    <row r="200" spans="1:2" x14ac:dyDescent="0.3">
      <c r="A200" t="s">
        <v>537</v>
      </c>
      <c r="B200">
        <v>1</v>
      </c>
    </row>
    <row r="201" spans="1:2" x14ac:dyDescent="0.3">
      <c r="A201" t="s">
        <v>537</v>
      </c>
      <c r="B201">
        <v>1</v>
      </c>
    </row>
    <row r="202" spans="1:2" x14ac:dyDescent="0.3">
      <c r="A202" t="s">
        <v>537</v>
      </c>
      <c r="B202">
        <v>1</v>
      </c>
    </row>
    <row r="203" spans="1:2" x14ac:dyDescent="0.3">
      <c r="A203" t="s">
        <v>537</v>
      </c>
      <c r="B203">
        <v>1</v>
      </c>
    </row>
    <row r="204" spans="1:2" x14ac:dyDescent="0.3">
      <c r="A204" t="s">
        <v>536</v>
      </c>
      <c r="B204">
        <v>1</v>
      </c>
    </row>
    <row r="205" spans="1:2" x14ac:dyDescent="0.3">
      <c r="A205" t="s">
        <v>536</v>
      </c>
      <c r="B205">
        <v>1</v>
      </c>
    </row>
    <row r="206" spans="1:2" x14ac:dyDescent="0.3">
      <c r="A206" t="s">
        <v>536</v>
      </c>
      <c r="B206">
        <v>1</v>
      </c>
    </row>
    <row r="207" spans="1:2" x14ac:dyDescent="0.3">
      <c r="A207" t="s">
        <v>539</v>
      </c>
      <c r="B207">
        <v>1</v>
      </c>
    </row>
    <row r="208" spans="1:2" x14ac:dyDescent="0.3">
      <c r="A208" t="s">
        <v>539</v>
      </c>
      <c r="B208">
        <v>1</v>
      </c>
    </row>
    <row r="209" spans="1:2" x14ac:dyDescent="0.3">
      <c r="A209" t="s">
        <v>539</v>
      </c>
      <c r="B209">
        <v>1</v>
      </c>
    </row>
    <row r="210" spans="1:2" x14ac:dyDescent="0.3">
      <c r="A210" t="s">
        <v>539</v>
      </c>
      <c r="B210">
        <v>1</v>
      </c>
    </row>
    <row r="211" spans="1:2" x14ac:dyDescent="0.3">
      <c r="A211" t="s">
        <v>540</v>
      </c>
      <c r="B211">
        <v>1</v>
      </c>
    </row>
    <row r="212" spans="1:2" x14ac:dyDescent="0.3">
      <c r="A212" t="s">
        <v>540</v>
      </c>
      <c r="B212">
        <v>1</v>
      </c>
    </row>
    <row r="213" spans="1:2" x14ac:dyDescent="0.3">
      <c r="A213" t="s">
        <v>540</v>
      </c>
      <c r="B213">
        <v>1</v>
      </c>
    </row>
    <row r="214" spans="1:2" x14ac:dyDescent="0.3">
      <c r="A214" t="s">
        <v>543</v>
      </c>
      <c r="B214">
        <v>1</v>
      </c>
    </row>
    <row r="215" spans="1:2" x14ac:dyDescent="0.3">
      <c r="A215" t="s">
        <v>543</v>
      </c>
      <c r="B215">
        <v>1</v>
      </c>
    </row>
    <row r="216" spans="1:2" x14ac:dyDescent="0.3">
      <c r="A216" t="s">
        <v>543</v>
      </c>
      <c r="B216">
        <v>1</v>
      </c>
    </row>
    <row r="217" spans="1:2" x14ac:dyDescent="0.3">
      <c r="A217" t="s">
        <v>538</v>
      </c>
      <c r="B217">
        <v>1</v>
      </c>
    </row>
    <row r="218" spans="1:2" x14ac:dyDescent="0.3">
      <c r="A218" t="s">
        <v>538</v>
      </c>
      <c r="B218">
        <v>1</v>
      </c>
    </row>
    <row r="219" spans="1:2" x14ac:dyDescent="0.3">
      <c r="A219" t="s">
        <v>538</v>
      </c>
      <c r="B219">
        <v>1</v>
      </c>
    </row>
    <row r="220" spans="1:2" x14ac:dyDescent="0.3">
      <c r="A220" t="s">
        <v>541</v>
      </c>
      <c r="B220">
        <v>1</v>
      </c>
    </row>
    <row r="221" spans="1:2" x14ac:dyDescent="0.3">
      <c r="A221" t="s">
        <v>541</v>
      </c>
      <c r="B221">
        <v>1</v>
      </c>
    </row>
    <row r="222" spans="1:2" x14ac:dyDescent="0.3">
      <c r="A222" t="s">
        <v>541</v>
      </c>
      <c r="B222">
        <v>1</v>
      </c>
    </row>
    <row r="223" spans="1:2" x14ac:dyDescent="0.3">
      <c r="A223" t="s">
        <v>542</v>
      </c>
      <c r="B223">
        <v>1</v>
      </c>
    </row>
    <row r="224" spans="1:2" x14ac:dyDescent="0.3">
      <c r="A224" t="s">
        <v>542</v>
      </c>
      <c r="B224">
        <v>1</v>
      </c>
    </row>
    <row r="225" spans="1:2" x14ac:dyDescent="0.3">
      <c r="A225" t="s">
        <v>542</v>
      </c>
      <c r="B225">
        <v>1</v>
      </c>
    </row>
    <row r="226" spans="1:2" x14ac:dyDescent="0.3">
      <c r="A226" t="s">
        <v>544</v>
      </c>
      <c r="B226">
        <v>1</v>
      </c>
    </row>
    <row r="227" spans="1:2" x14ac:dyDescent="0.3">
      <c r="A227" t="s">
        <v>544</v>
      </c>
      <c r="B227">
        <v>1</v>
      </c>
    </row>
    <row r="228" spans="1:2" x14ac:dyDescent="0.3">
      <c r="A228" t="s">
        <v>544</v>
      </c>
      <c r="B228">
        <v>1</v>
      </c>
    </row>
    <row r="229" spans="1:2" x14ac:dyDescent="0.3">
      <c r="A229" t="s">
        <v>545</v>
      </c>
      <c r="B229">
        <v>1</v>
      </c>
    </row>
    <row r="230" spans="1:2" x14ac:dyDescent="0.3">
      <c r="A230" t="s">
        <v>545</v>
      </c>
      <c r="B230">
        <v>1</v>
      </c>
    </row>
    <row r="231" spans="1:2" x14ac:dyDescent="0.3">
      <c r="A231" t="s">
        <v>545</v>
      </c>
      <c r="B231">
        <v>1</v>
      </c>
    </row>
    <row r="232" spans="1:2" x14ac:dyDescent="0.3">
      <c r="A232" t="s">
        <v>547</v>
      </c>
      <c r="B232">
        <v>1</v>
      </c>
    </row>
    <row r="233" spans="1:2" x14ac:dyDescent="0.3">
      <c r="A233" t="s">
        <v>547</v>
      </c>
      <c r="B233">
        <v>1</v>
      </c>
    </row>
    <row r="234" spans="1:2" x14ac:dyDescent="0.3">
      <c r="A234" t="s">
        <v>547</v>
      </c>
      <c r="B234">
        <v>1</v>
      </c>
    </row>
    <row r="235" spans="1:2" x14ac:dyDescent="0.3">
      <c r="A235" t="s">
        <v>547</v>
      </c>
      <c r="B235">
        <v>1</v>
      </c>
    </row>
    <row r="236" spans="1:2" x14ac:dyDescent="0.3">
      <c r="A236" t="s">
        <v>548</v>
      </c>
      <c r="B236">
        <v>1</v>
      </c>
    </row>
    <row r="237" spans="1:2" x14ac:dyDescent="0.3">
      <c r="A237" t="s">
        <v>548</v>
      </c>
      <c r="B237">
        <v>1</v>
      </c>
    </row>
    <row r="238" spans="1:2" x14ac:dyDescent="0.3">
      <c r="A238" t="s">
        <v>548</v>
      </c>
      <c r="B238">
        <v>1</v>
      </c>
    </row>
    <row r="239" spans="1:2" x14ac:dyDescent="0.3">
      <c r="A239" t="s">
        <v>546</v>
      </c>
      <c r="B239">
        <v>1</v>
      </c>
    </row>
    <row r="240" spans="1:2" x14ac:dyDescent="0.3">
      <c r="A240" t="s">
        <v>546</v>
      </c>
      <c r="B240">
        <v>1</v>
      </c>
    </row>
    <row r="241" spans="1:2" x14ac:dyDescent="0.3">
      <c r="A241" t="s">
        <v>546</v>
      </c>
      <c r="B241">
        <v>1</v>
      </c>
    </row>
    <row r="242" spans="1:2" x14ac:dyDescent="0.3">
      <c r="A242" t="s">
        <v>550</v>
      </c>
      <c r="B242">
        <v>1</v>
      </c>
    </row>
    <row r="243" spans="1:2" x14ac:dyDescent="0.3">
      <c r="A243" t="s">
        <v>550</v>
      </c>
      <c r="B243">
        <v>1</v>
      </c>
    </row>
    <row r="244" spans="1:2" x14ac:dyDescent="0.3">
      <c r="A244" t="s">
        <v>550</v>
      </c>
      <c r="B244">
        <v>1</v>
      </c>
    </row>
    <row r="245" spans="1:2" x14ac:dyDescent="0.3">
      <c r="A245" t="s">
        <v>551</v>
      </c>
      <c r="B245">
        <v>1</v>
      </c>
    </row>
    <row r="246" spans="1:2" x14ac:dyDescent="0.3">
      <c r="A246" t="s">
        <v>551</v>
      </c>
      <c r="B246">
        <v>1</v>
      </c>
    </row>
    <row r="247" spans="1:2" x14ac:dyDescent="0.3">
      <c r="A247" t="s">
        <v>551</v>
      </c>
      <c r="B247">
        <v>1</v>
      </c>
    </row>
    <row r="248" spans="1:2" x14ac:dyDescent="0.3">
      <c r="A248" t="s">
        <v>552</v>
      </c>
      <c r="B248">
        <v>1</v>
      </c>
    </row>
    <row r="249" spans="1:2" x14ac:dyDescent="0.3">
      <c r="A249" t="s">
        <v>552</v>
      </c>
      <c r="B249">
        <v>1</v>
      </c>
    </row>
    <row r="250" spans="1:2" x14ac:dyDescent="0.3">
      <c r="A250" t="s">
        <v>553</v>
      </c>
      <c r="B250">
        <v>1</v>
      </c>
    </row>
    <row r="251" spans="1:2" x14ac:dyDescent="0.3">
      <c r="A251" t="s">
        <v>553</v>
      </c>
      <c r="B251">
        <v>1</v>
      </c>
    </row>
    <row r="252" spans="1:2" x14ac:dyDescent="0.3">
      <c r="A252" t="s">
        <v>549</v>
      </c>
      <c r="B252">
        <v>1</v>
      </c>
    </row>
    <row r="253" spans="1:2" x14ac:dyDescent="0.3">
      <c r="A253" t="s">
        <v>549</v>
      </c>
      <c r="B253">
        <v>1</v>
      </c>
    </row>
    <row r="254" spans="1:2" x14ac:dyDescent="0.3">
      <c r="A254" t="s">
        <v>549</v>
      </c>
      <c r="B254">
        <v>1</v>
      </c>
    </row>
    <row r="255" spans="1:2" x14ac:dyDescent="0.3">
      <c r="A255" t="s">
        <v>549</v>
      </c>
      <c r="B255">
        <v>1</v>
      </c>
    </row>
    <row r="256" spans="1:2" x14ac:dyDescent="0.3">
      <c r="A256" t="s">
        <v>496</v>
      </c>
      <c r="B256">
        <v>1</v>
      </c>
    </row>
    <row r="257" spans="1:2" x14ac:dyDescent="0.3">
      <c r="A257" t="s">
        <v>496</v>
      </c>
      <c r="B257">
        <v>1</v>
      </c>
    </row>
    <row r="258" spans="1:2" x14ac:dyDescent="0.3">
      <c r="A258" t="s">
        <v>496</v>
      </c>
      <c r="B258">
        <v>1</v>
      </c>
    </row>
    <row r="259" spans="1:2" x14ac:dyDescent="0.3">
      <c r="A259" t="s">
        <v>498</v>
      </c>
      <c r="B259">
        <v>1</v>
      </c>
    </row>
    <row r="260" spans="1:2" x14ac:dyDescent="0.3">
      <c r="A260" t="s">
        <v>498</v>
      </c>
      <c r="B260">
        <v>1</v>
      </c>
    </row>
    <row r="261" spans="1:2" x14ac:dyDescent="0.3">
      <c r="A261" t="s">
        <v>498</v>
      </c>
      <c r="B261">
        <v>1</v>
      </c>
    </row>
    <row r="262" spans="1:2" x14ac:dyDescent="0.3">
      <c r="A262" t="s">
        <v>499</v>
      </c>
      <c r="B262">
        <v>1</v>
      </c>
    </row>
    <row r="263" spans="1:2" x14ac:dyDescent="0.3">
      <c r="A263" t="s">
        <v>499</v>
      </c>
      <c r="B263">
        <v>1</v>
      </c>
    </row>
    <row r="264" spans="1:2" x14ac:dyDescent="0.3">
      <c r="A264" t="s">
        <v>500</v>
      </c>
      <c r="B264">
        <v>1</v>
      </c>
    </row>
    <row r="265" spans="1:2" x14ac:dyDescent="0.3">
      <c r="A265" t="s">
        <v>500</v>
      </c>
      <c r="B265">
        <v>1</v>
      </c>
    </row>
    <row r="266" spans="1:2" x14ac:dyDescent="0.3">
      <c r="A266" t="s">
        <v>500</v>
      </c>
      <c r="B266">
        <v>1</v>
      </c>
    </row>
    <row r="267" spans="1:2" x14ac:dyDescent="0.3">
      <c r="A267" t="s">
        <v>502</v>
      </c>
      <c r="B267">
        <v>1</v>
      </c>
    </row>
    <row r="268" spans="1:2" x14ac:dyDescent="0.3">
      <c r="A268" t="s">
        <v>502</v>
      </c>
      <c r="B268">
        <v>1</v>
      </c>
    </row>
    <row r="269" spans="1:2" x14ac:dyDescent="0.3">
      <c r="A269" t="s">
        <v>505</v>
      </c>
      <c r="B269">
        <v>1</v>
      </c>
    </row>
    <row r="270" spans="1:2" x14ac:dyDescent="0.3">
      <c r="A270" t="s">
        <v>505</v>
      </c>
      <c r="B270">
        <v>1</v>
      </c>
    </row>
    <row r="271" spans="1:2" x14ac:dyDescent="0.3">
      <c r="A271" t="s">
        <v>505</v>
      </c>
      <c r="B271">
        <v>1</v>
      </c>
    </row>
    <row r="272" spans="1:2" x14ac:dyDescent="0.3">
      <c r="A272" t="s">
        <v>508</v>
      </c>
      <c r="B272">
        <v>1</v>
      </c>
    </row>
    <row r="273" spans="1:2" x14ac:dyDescent="0.3">
      <c r="A273" t="s">
        <v>508</v>
      </c>
      <c r="B273">
        <v>1</v>
      </c>
    </row>
    <row r="274" spans="1:2" x14ac:dyDescent="0.3">
      <c r="A274" t="s">
        <v>508</v>
      </c>
      <c r="B274">
        <v>1</v>
      </c>
    </row>
    <row r="275" spans="1:2" x14ac:dyDescent="0.3">
      <c r="A275" t="s">
        <v>503</v>
      </c>
      <c r="B275">
        <v>1</v>
      </c>
    </row>
    <row r="276" spans="1:2" x14ac:dyDescent="0.3">
      <c r="A276" t="s">
        <v>503</v>
      </c>
      <c r="B276">
        <v>1</v>
      </c>
    </row>
    <row r="277" spans="1:2" x14ac:dyDescent="0.3">
      <c r="A277" t="s">
        <v>503</v>
      </c>
      <c r="B277">
        <v>1</v>
      </c>
    </row>
    <row r="278" spans="1:2" x14ac:dyDescent="0.3">
      <c r="A278" t="s">
        <v>499</v>
      </c>
      <c r="B278">
        <v>1</v>
      </c>
    </row>
    <row r="279" spans="1:2" x14ac:dyDescent="0.3">
      <c r="A279" t="s">
        <v>503</v>
      </c>
      <c r="B279">
        <v>1</v>
      </c>
    </row>
    <row r="280" spans="1:2" x14ac:dyDescent="0.3">
      <c r="A280" t="s">
        <v>509</v>
      </c>
      <c r="B280">
        <v>1</v>
      </c>
    </row>
    <row r="281" spans="1:2" x14ac:dyDescent="0.3">
      <c r="A281" t="s">
        <v>509</v>
      </c>
      <c r="B281">
        <v>1</v>
      </c>
    </row>
    <row r="282" spans="1:2" x14ac:dyDescent="0.3">
      <c r="A282" t="s">
        <v>509</v>
      </c>
      <c r="B282">
        <v>1</v>
      </c>
    </row>
    <row r="283" spans="1:2" x14ac:dyDescent="0.3">
      <c r="A283" t="s">
        <v>509</v>
      </c>
      <c r="B283">
        <v>1</v>
      </c>
    </row>
    <row r="284" spans="1:2" x14ac:dyDescent="0.3">
      <c r="A284" t="s">
        <v>511</v>
      </c>
      <c r="B284">
        <v>1</v>
      </c>
    </row>
    <row r="285" spans="1:2" x14ac:dyDescent="0.3">
      <c r="A285" t="s">
        <v>511</v>
      </c>
      <c r="B285">
        <v>1</v>
      </c>
    </row>
    <row r="286" spans="1:2" x14ac:dyDescent="0.3">
      <c r="A286" t="s">
        <v>511</v>
      </c>
      <c r="B286">
        <v>1</v>
      </c>
    </row>
    <row r="287" spans="1:2" x14ac:dyDescent="0.3">
      <c r="A287" t="s">
        <v>513</v>
      </c>
      <c r="B287">
        <v>1</v>
      </c>
    </row>
    <row r="288" spans="1:2" x14ac:dyDescent="0.3">
      <c r="A288" t="s">
        <v>513</v>
      </c>
      <c r="B288">
        <v>1</v>
      </c>
    </row>
    <row r="289" spans="1:2" x14ac:dyDescent="0.3">
      <c r="A289" t="s">
        <v>513</v>
      </c>
      <c r="B289">
        <v>1</v>
      </c>
    </row>
    <row r="290" spans="1:2" x14ac:dyDescent="0.3">
      <c r="A290" t="s">
        <v>513</v>
      </c>
      <c r="B290">
        <v>1</v>
      </c>
    </row>
    <row r="291" spans="1:2" x14ac:dyDescent="0.3">
      <c r="A291" t="s">
        <v>513</v>
      </c>
      <c r="B291">
        <v>1</v>
      </c>
    </row>
    <row r="292" spans="1:2" x14ac:dyDescent="0.3">
      <c r="A292" t="s">
        <v>514</v>
      </c>
      <c r="B292">
        <v>1</v>
      </c>
    </row>
    <row r="293" spans="1:2" x14ac:dyDescent="0.3">
      <c r="A293" t="s">
        <v>514</v>
      </c>
      <c r="B293">
        <v>1</v>
      </c>
    </row>
    <row r="294" spans="1:2" x14ac:dyDescent="0.3">
      <c r="A294" t="s">
        <v>514</v>
      </c>
      <c r="B294">
        <v>1</v>
      </c>
    </row>
    <row r="295" spans="1:2" x14ac:dyDescent="0.3">
      <c r="A295" t="s">
        <v>514</v>
      </c>
      <c r="B295">
        <v>1</v>
      </c>
    </row>
    <row r="296" spans="1:2" x14ac:dyDescent="0.3">
      <c r="A296" t="s">
        <v>514</v>
      </c>
      <c r="B296">
        <v>1</v>
      </c>
    </row>
    <row r="297" spans="1:2" x14ac:dyDescent="0.3">
      <c r="A297" t="s">
        <v>514</v>
      </c>
      <c r="B297">
        <v>1</v>
      </c>
    </row>
    <row r="298" spans="1:2" x14ac:dyDescent="0.3">
      <c r="A298" t="s">
        <v>515</v>
      </c>
      <c r="B298">
        <v>1</v>
      </c>
    </row>
    <row r="299" spans="1:2" x14ac:dyDescent="0.3">
      <c r="A299" t="s">
        <v>515</v>
      </c>
      <c r="B299">
        <v>1</v>
      </c>
    </row>
    <row r="300" spans="1:2" x14ac:dyDescent="0.3">
      <c r="A300" t="s">
        <v>515</v>
      </c>
      <c r="B300">
        <v>1</v>
      </c>
    </row>
    <row r="301" spans="1:2" x14ac:dyDescent="0.3">
      <c r="A301" t="s">
        <v>516</v>
      </c>
      <c r="B301">
        <v>1</v>
      </c>
    </row>
    <row r="302" spans="1:2" x14ac:dyDescent="0.3">
      <c r="A302" t="s">
        <v>516</v>
      </c>
      <c r="B302">
        <v>1</v>
      </c>
    </row>
    <row r="303" spans="1:2" x14ac:dyDescent="0.3">
      <c r="A303" t="s">
        <v>516</v>
      </c>
      <c r="B303">
        <v>1</v>
      </c>
    </row>
    <row r="304" spans="1:2" x14ac:dyDescent="0.3">
      <c r="A304" t="s">
        <v>519</v>
      </c>
      <c r="B304">
        <v>1</v>
      </c>
    </row>
    <row r="305" spans="1:2" x14ac:dyDescent="0.3">
      <c r="A305" t="s">
        <v>519</v>
      </c>
      <c r="B305">
        <v>1</v>
      </c>
    </row>
    <row r="306" spans="1:2" x14ac:dyDescent="0.3">
      <c r="A306" t="s">
        <v>519</v>
      </c>
      <c r="B306">
        <v>1</v>
      </c>
    </row>
    <row r="307" spans="1:2" x14ac:dyDescent="0.3">
      <c r="A307" t="s">
        <v>520</v>
      </c>
      <c r="B307">
        <v>1</v>
      </c>
    </row>
    <row r="308" spans="1:2" x14ac:dyDescent="0.3">
      <c r="A308" t="s">
        <v>520</v>
      </c>
      <c r="B308">
        <v>1</v>
      </c>
    </row>
    <row r="309" spans="1:2" x14ac:dyDescent="0.3">
      <c r="A309" t="s">
        <v>520</v>
      </c>
      <c r="B309">
        <v>1</v>
      </c>
    </row>
    <row r="310" spans="1:2" x14ac:dyDescent="0.3">
      <c r="A310" t="s">
        <v>520</v>
      </c>
      <c r="B310">
        <v>1</v>
      </c>
    </row>
    <row r="311" spans="1:2" x14ac:dyDescent="0.3">
      <c r="A311" t="s">
        <v>512</v>
      </c>
      <c r="B311">
        <v>1</v>
      </c>
    </row>
    <row r="312" spans="1:2" x14ac:dyDescent="0.3">
      <c r="A312" t="s">
        <v>512</v>
      </c>
      <c r="B312">
        <v>1</v>
      </c>
    </row>
    <row r="313" spans="1:2" x14ac:dyDescent="0.3">
      <c r="A313" t="s">
        <v>512</v>
      </c>
      <c r="B313">
        <v>1</v>
      </c>
    </row>
    <row r="314" spans="1:2" x14ac:dyDescent="0.3">
      <c r="A314" t="s">
        <v>512</v>
      </c>
      <c r="B314">
        <v>1</v>
      </c>
    </row>
    <row r="315" spans="1:2" x14ac:dyDescent="0.3">
      <c r="A315" t="s">
        <v>512</v>
      </c>
      <c r="B315">
        <v>1</v>
      </c>
    </row>
    <row r="316" spans="1:2" x14ac:dyDescent="0.3">
      <c r="A316" t="s">
        <v>518</v>
      </c>
      <c r="B316">
        <v>1</v>
      </c>
    </row>
    <row r="317" spans="1:2" x14ac:dyDescent="0.3">
      <c r="A317" t="s">
        <v>518</v>
      </c>
      <c r="B317">
        <v>1</v>
      </c>
    </row>
    <row r="318" spans="1:2" x14ac:dyDescent="0.3">
      <c r="A318" t="s">
        <v>518</v>
      </c>
      <c r="B318">
        <v>1</v>
      </c>
    </row>
    <row r="319" spans="1:2" x14ac:dyDescent="0.3">
      <c r="A319" t="s">
        <v>518</v>
      </c>
      <c r="B319">
        <v>1</v>
      </c>
    </row>
    <row r="320" spans="1:2" x14ac:dyDescent="0.3">
      <c r="A320" t="s">
        <v>521</v>
      </c>
      <c r="B320">
        <v>1</v>
      </c>
    </row>
    <row r="321" spans="1:2" x14ac:dyDescent="0.3">
      <c r="A321" t="s">
        <v>521</v>
      </c>
      <c r="B321">
        <v>1</v>
      </c>
    </row>
    <row r="322" spans="1:2" x14ac:dyDescent="0.3">
      <c r="A322" t="s">
        <v>521</v>
      </c>
      <c r="B322">
        <v>1</v>
      </c>
    </row>
    <row r="323" spans="1:2" x14ac:dyDescent="0.3">
      <c r="A323" t="s">
        <v>521</v>
      </c>
      <c r="B323">
        <v>1</v>
      </c>
    </row>
    <row r="324" spans="1:2" x14ac:dyDescent="0.3">
      <c r="A324" t="s">
        <v>522</v>
      </c>
      <c r="B324">
        <v>1</v>
      </c>
    </row>
    <row r="325" spans="1:2" x14ac:dyDescent="0.3">
      <c r="A325" t="s">
        <v>522</v>
      </c>
      <c r="B325">
        <v>1</v>
      </c>
    </row>
    <row r="326" spans="1:2" x14ac:dyDescent="0.3">
      <c r="A326" t="s">
        <v>522</v>
      </c>
      <c r="B326">
        <v>1</v>
      </c>
    </row>
    <row r="327" spans="1:2" x14ac:dyDescent="0.3">
      <c r="A327" t="s">
        <v>524</v>
      </c>
      <c r="B327">
        <v>1</v>
      </c>
    </row>
    <row r="328" spans="1:2" x14ac:dyDescent="0.3">
      <c r="A328" t="s">
        <v>524</v>
      </c>
      <c r="B328">
        <v>1</v>
      </c>
    </row>
    <row r="329" spans="1:2" x14ac:dyDescent="0.3">
      <c r="A329" t="s">
        <v>524</v>
      </c>
      <c r="B329">
        <v>1</v>
      </c>
    </row>
    <row r="330" spans="1:2" x14ac:dyDescent="0.3">
      <c r="A330" t="s">
        <v>524</v>
      </c>
      <c r="B330">
        <v>1</v>
      </c>
    </row>
    <row r="331" spans="1:2" x14ac:dyDescent="0.3">
      <c r="A331" t="s">
        <v>524</v>
      </c>
      <c r="B331">
        <v>1</v>
      </c>
    </row>
    <row r="332" spans="1:2" x14ac:dyDescent="0.3">
      <c r="A332" t="s">
        <v>525</v>
      </c>
      <c r="B332">
        <v>1</v>
      </c>
    </row>
    <row r="333" spans="1:2" x14ac:dyDescent="0.3">
      <c r="A333" t="s">
        <v>525</v>
      </c>
      <c r="B333">
        <v>1</v>
      </c>
    </row>
    <row r="334" spans="1:2" x14ac:dyDescent="0.3">
      <c r="A334" t="s">
        <v>525</v>
      </c>
      <c r="B334">
        <v>1</v>
      </c>
    </row>
    <row r="335" spans="1:2" x14ac:dyDescent="0.3">
      <c r="A335" t="s">
        <v>525</v>
      </c>
      <c r="B335">
        <v>1</v>
      </c>
    </row>
    <row r="336" spans="1:2" x14ac:dyDescent="0.3">
      <c r="A336" t="s">
        <v>525</v>
      </c>
      <c r="B336">
        <v>1</v>
      </c>
    </row>
    <row r="337" spans="1:2" x14ac:dyDescent="0.3">
      <c r="A337" t="s">
        <v>525</v>
      </c>
      <c r="B337">
        <v>1</v>
      </c>
    </row>
    <row r="338" spans="1:2" x14ac:dyDescent="0.3">
      <c r="A338" t="s">
        <v>517</v>
      </c>
      <c r="B338">
        <v>1</v>
      </c>
    </row>
    <row r="339" spans="1:2" x14ac:dyDescent="0.3">
      <c r="A339" t="s">
        <v>517</v>
      </c>
      <c r="B339">
        <v>1</v>
      </c>
    </row>
    <row r="340" spans="1:2" x14ac:dyDescent="0.3">
      <c r="A340" t="s">
        <v>523</v>
      </c>
      <c r="B340">
        <v>1</v>
      </c>
    </row>
    <row r="341" spans="1:2" x14ac:dyDescent="0.3">
      <c r="A341" t="s">
        <v>523</v>
      </c>
      <c r="B341">
        <v>1</v>
      </c>
    </row>
    <row r="342" spans="1:2" x14ac:dyDescent="0.3">
      <c r="A342" t="s">
        <v>523</v>
      </c>
      <c r="B342">
        <v>1</v>
      </c>
    </row>
    <row r="343" spans="1:2" x14ac:dyDescent="0.3">
      <c r="A343" t="s">
        <v>523</v>
      </c>
      <c r="B343">
        <v>1</v>
      </c>
    </row>
    <row r="344" spans="1:2" x14ac:dyDescent="0.3">
      <c r="A344" t="s">
        <v>527</v>
      </c>
      <c r="B344">
        <v>1</v>
      </c>
    </row>
    <row r="345" spans="1:2" x14ac:dyDescent="0.3">
      <c r="A345" t="s">
        <v>527</v>
      </c>
      <c r="B345">
        <v>1</v>
      </c>
    </row>
    <row r="346" spans="1:2" x14ac:dyDescent="0.3">
      <c r="A346" t="s">
        <v>527</v>
      </c>
      <c r="B346">
        <v>1</v>
      </c>
    </row>
    <row r="347" spans="1:2" x14ac:dyDescent="0.3">
      <c r="A347" t="s">
        <v>527</v>
      </c>
      <c r="B347">
        <v>1</v>
      </c>
    </row>
    <row r="348" spans="1:2" x14ac:dyDescent="0.3">
      <c r="A348" t="s">
        <v>527</v>
      </c>
      <c r="B348">
        <v>1</v>
      </c>
    </row>
    <row r="349" spans="1:2" x14ac:dyDescent="0.3">
      <c r="A349" t="s">
        <v>526</v>
      </c>
      <c r="B349">
        <v>1</v>
      </c>
    </row>
    <row r="350" spans="1:2" x14ac:dyDescent="0.3">
      <c r="A350" t="s">
        <v>526</v>
      </c>
      <c r="B350">
        <v>1</v>
      </c>
    </row>
    <row r="351" spans="1:2" x14ac:dyDescent="0.3">
      <c r="A351" t="s">
        <v>526</v>
      </c>
      <c r="B351">
        <v>1</v>
      </c>
    </row>
    <row r="352" spans="1:2" x14ac:dyDescent="0.3">
      <c r="A352" t="s">
        <v>526</v>
      </c>
      <c r="B352">
        <v>1</v>
      </c>
    </row>
    <row r="353" spans="1:2" x14ac:dyDescent="0.3">
      <c r="A353" t="s">
        <v>529</v>
      </c>
      <c r="B353">
        <v>1</v>
      </c>
    </row>
    <row r="354" spans="1:2" x14ac:dyDescent="0.3">
      <c r="A354" t="s">
        <v>529</v>
      </c>
      <c r="B354">
        <v>1</v>
      </c>
    </row>
    <row r="355" spans="1:2" x14ac:dyDescent="0.3">
      <c r="A355" t="s">
        <v>529</v>
      </c>
      <c r="B355">
        <v>1</v>
      </c>
    </row>
    <row r="356" spans="1:2" x14ac:dyDescent="0.3">
      <c r="A356" t="s">
        <v>529</v>
      </c>
      <c r="B356">
        <v>1</v>
      </c>
    </row>
    <row r="357" spans="1:2" x14ac:dyDescent="0.3">
      <c r="A357" t="s">
        <v>530</v>
      </c>
      <c r="B357">
        <v>1</v>
      </c>
    </row>
    <row r="358" spans="1:2" x14ac:dyDescent="0.3">
      <c r="A358" t="s">
        <v>530</v>
      </c>
      <c r="B358">
        <v>1</v>
      </c>
    </row>
    <row r="359" spans="1:2" x14ac:dyDescent="0.3">
      <c r="A359" t="s">
        <v>530</v>
      </c>
      <c r="B359">
        <v>1</v>
      </c>
    </row>
    <row r="360" spans="1:2" x14ac:dyDescent="0.3">
      <c r="A360" t="s">
        <v>531</v>
      </c>
      <c r="B360">
        <v>1</v>
      </c>
    </row>
    <row r="361" spans="1:2" x14ac:dyDescent="0.3">
      <c r="A361" t="s">
        <v>531</v>
      </c>
      <c r="B361">
        <v>1</v>
      </c>
    </row>
    <row r="362" spans="1:2" x14ac:dyDescent="0.3">
      <c r="A362" t="s">
        <v>531</v>
      </c>
      <c r="B362">
        <v>1</v>
      </c>
    </row>
    <row r="363" spans="1:2" x14ac:dyDescent="0.3">
      <c r="A363" t="s">
        <v>531</v>
      </c>
      <c r="B363">
        <v>1</v>
      </c>
    </row>
    <row r="364" spans="1:2" x14ac:dyDescent="0.3">
      <c r="A364" t="s">
        <v>532</v>
      </c>
      <c r="B364">
        <v>1</v>
      </c>
    </row>
    <row r="365" spans="1:2" x14ac:dyDescent="0.3">
      <c r="A365" t="s">
        <v>532</v>
      </c>
      <c r="B365">
        <v>1</v>
      </c>
    </row>
    <row r="366" spans="1:2" x14ac:dyDescent="0.3">
      <c r="A366" t="s">
        <v>532</v>
      </c>
      <c r="B366">
        <v>1</v>
      </c>
    </row>
    <row r="367" spans="1:2" x14ac:dyDescent="0.3">
      <c r="A367" t="s">
        <v>532</v>
      </c>
      <c r="B367">
        <v>1</v>
      </c>
    </row>
    <row r="368" spans="1:2" x14ac:dyDescent="0.3">
      <c r="A368" t="s">
        <v>535</v>
      </c>
      <c r="B368">
        <v>1</v>
      </c>
    </row>
    <row r="369" spans="1:2" x14ac:dyDescent="0.3">
      <c r="A369" t="s">
        <v>535</v>
      </c>
      <c r="B369">
        <v>1</v>
      </c>
    </row>
    <row r="370" spans="1:2" x14ac:dyDescent="0.3">
      <c r="A370" t="s">
        <v>535</v>
      </c>
      <c r="B370">
        <v>1</v>
      </c>
    </row>
    <row r="371" spans="1:2" x14ac:dyDescent="0.3">
      <c r="A371" t="s">
        <v>533</v>
      </c>
      <c r="B371">
        <v>1</v>
      </c>
    </row>
    <row r="372" spans="1:2" x14ac:dyDescent="0.3">
      <c r="A372" t="s">
        <v>533</v>
      </c>
      <c r="B372">
        <v>1</v>
      </c>
    </row>
    <row r="373" spans="1:2" x14ac:dyDescent="0.3">
      <c r="A373" t="s">
        <v>533</v>
      </c>
      <c r="B373">
        <v>1</v>
      </c>
    </row>
    <row r="374" spans="1:2" x14ac:dyDescent="0.3">
      <c r="A374" t="s">
        <v>537</v>
      </c>
      <c r="B374">
        <v>1</v>
      </c>
    </row>
    <row r="375" spans="1:2" x14ac:dyDescent="0.3">
      <c r="A375" t="s">
        <v>537</v>
      </c>
      <c r="B375">
        <v>1</v>
      </c>
    </row>
    <row r="376" spans="1:2" x14ac:dyDescent="0.3">
      <c r="A376" t="s">
        <v>537</v>
      </c>
      <c r="B376">
        <v>1</v>
      </c>
    </row>
    <row r="377" spans="1:2" x14ac:dyDescent="0.3">
      <c r="A377" t="s">
        <v>537</v>
      </c>
      <c r="B377">
        <v>1</v>
      </c>
    </row>
    <row r="378" spans="1:2" x14ac:dyDescent="0.3">
      <c r="A378" t="s">
        <v>537</v>
      </c>
      <c r="B378">
        <v>1</v>
      </c>
    </row>
    <row r="379" spans="1:2" x14ac:dyDescent="0.3">
      <c r="A379" t="s">
        <v>537</v>
      </c>
      <c r="B379">
        <v>1</v>
      </c>
    </row>
    <row r="380" spans="1:2" x14ac:dyDescent="0.3">
      <c r="A380" t="s">
        <v>539</v>
      </c>
      <c r="B380">
        <v>1</v>
      </c>
    </row>
    <row r="381" spans="1:2" x14ac:dyDescent="0.3">
      <c r="A381" t="s">
        <v>539</v>
      </c>
      <c r="B381">
        <v>1</v>
      </c>
    </row>
    <row r="382" spans="1:2" x14ac:dyDescent="0.3">
      <c r="A382" t="s">
        <v>539</v>
      </c>
      <c r="B382">
        <v>1</v>
      </c>
    </row>
    <row r="383" spans="1:2" x14ac:dyDescent="0.3">
      <c r="A383" t="s">
        <v>540</v>
      </c>
      <c r="B383">
        <v>1</v>
      </c>
    </row>
    <row r="384" spans="1:2" x14ac:dyDescent="0.3">
      <c r="A384" t="s">
        <v>540</v>
      </c>
      <c r="B384">
        <v>1</v>
      </c>
    </row>
    <row r="385" spans="1:2" x14ac:dyDescent="0.3">
      <c r="A385" t="s">
        <v>540</v>
      </c>
      <c r="B385">
        <v>1</v>
      </c>
    </row>
    <row r="386" spans="1:2" x14ac:dyDescent="0.3">
      <c r="A386" t="s">
        <v>553</v>
      </c>
      <c r="B386">
        <v>1</v>
      </c>
    </row>
    <row r="387" spans="1:2" x14ac:dyDescent="0.3">
      <c r="A387" t="s">
        <v>553</v>
      </c>
      <c r="B387">
        <v>1</v>
      </c>
    </row>
    <row r="388" spans="1:2" x14ac:dyDescent="0.3">
      <c r="A388" t="s">
        <v>553</v>
      </c>
      <c r="B388">
        <v>1</v>
      </c>
    </row>
    <row r="389" spans="1:2" x14ac:dyDescent="0.3">
      <c r="A389" t="s">
        <v>538</v>
      </c>
      <c r="B389">
        <v>1</v>
      </c>
    </row>
    <row r="390" spans="1:2" x14ac:dyDescent="0.3">
      <c r="A390" t="s">
        <v>538</v>
      </c>
      <c r="B390">
        <v>1</v>
      </c>
    </row>
    <row r="391" spans="1:2" x14ac:dyDescent="0.3">
      <c r="A391" t="s">
        <v>538</v>
      </c>
      <c r="B391">
        <v>1</v>
      </c>
    </row>
    <row r="392" spans="1:2" x14ac:dyDescent="0.3">
      <c r="A392" t="s">
        <v>538</v>
      </c>
      <c r="B392">
        <v>1</v>
      </c>
    </row>
    <row r="393" spans="1:2" x14ac:dyDescent="0.3">
      <c r="A393" t="s">
        <v>541</v>
      </c>
      <c r="B393">
        <v>1</v>
      </c>
    </row>
    <row r="394" spans="1:2" x14ac:dyDescent="0.3">
      <c r="A394" t="s">
        <v>541</v>
      </c>
      <c r="B394">
        <v>1</v>
      </c>
    </row>
    <row r="395" spans="1:2" x14ac:dyDescent="0.3">
      <c r="A395" t="s">
        <v>541</v>
      </c>
      <c r="B395">
        <v>1</v>
      </c>
    </row>
    <row r="396" spans="1:2" x14ac:dyDescent="0.3">
      <c r="A396" t="s">
        <v>544</v>
      </c>
      <c r="B396">
        <v>1</v>
      </c>
    </row>
    <row r="397" spans="1:2" x14ac:dyDescent="0.3">
      <c r="A397" t="s">
        <v>544</v>
      </c>
      <c r="B397">
        <v>1</v>
      </c>
    </row>
    <row r="398" spans="1:2" x14ac:dyDescent="0.3">
      <c r="A398" t="s">
        <v>544</v>
      </c>
      <c r="B398">
        <v>1</v>
      </c>
    </row>
    <row r="399" spans="1:2" x14ac:dyDescent="0.3">
      <c r="A399" t="s">
        <v>555</v>
      </c>
      <c r="B399">
        <v>1</v>
      </c>
    </row>
    <row r="400" spans="1:2" x14ac:dyDescent="0.3">
      <c r="A400" t="s">
        <v>555</v>
      </c>
      <c r="B400">
        <v>1</v>
      </c>
    </row>
    <row r="401" spans="1:2" x14ac:dyDescent="0.3">
      <c r="A401" t="s">
        <v>555</v>
      </c>
      <c r="B401">
        <v>1</v>
      </c>
    </row>
    <row r="402" spans="1:2" x14ac:dyDescent="0.3">
      <c r="A402" t="s">
        <v>545</v>
      </c>
      <c r="B402">
        <v>1</v>
      </c>
    </row>
    <row r="403" spans="1:2" x14ac:dyDescent="0.3">
      <c r="A403" t="s">
        <v>545</v>
      </c>
      <c r="B403">
        <v>1</v>
      </c>
    </row>
    <row r="404" spans="1:2" x14ac:dyDescent="0.3">
      <c r="A404" t="s">
        <v>545</v>
      </c>
      <c r="B404">
        <v>1</v>
      </c>
    </row>
    <row r="405" spans="1:2" x14ac:dyDescent="0.3">
      <c r="A405" t="s">
        <v>556</v>
      </c>
      <c r="B405">
        <v>1</v>
      </c>
    </row>
    <row r="406" spans="1:2" x14ac:dyDescent="0.3">
      <c r="A406" t="s">
        <v>556</v>
      </c>
      <c r="B406">
        <v>1</v>
      </c>
    </row>
    <row r="407" spans="1:2" x14ac:dyDescent="0.3">
      <c r="A407" t="s">
        <v>556</v>
      </c>
      <c r="B407">
        <v>1</v>
      </c>
    </row>
    <row r="408" spans="1:2" x14ac:dyDescent="0.3">
      <c r="A408" t="s">
        <v>556</v>
      </c>
      <c r="B408">
        <v>1</v>
      </c>
    </row>
    <row r="409" spans="1:2" x14ac:dyDescent="0.3">
      <c r="A409" t="s">
        <v>547</v>
      </c>
      <c r="B409">
        <v>1</v>
      </c>
    </row>
    <row r="410" spans="1:2" x14ac:dyDescent="0.3">
      <c r="A410" t="s">
        <v>547</v>
      </c>
      <c r="B410">
        <v>1</v>
      </c>
    </row>
    <row r="411" spans="1:2" x14ac:dyDescent="0.3">
      <c r="A411" t="s">
        <v>547</v>
      </c>
      <c r="B411">
        <v>1</v>
      </c>
    </row>
    <row r="412" spans="1:2" x14ac:dyDescent="0.3">
      <c r="A412" t="s">
        <v>548</v>
      </c>
      <c r="B412">
        <v>1</v>
      </c>
    </row>
    <row r="413" spans="1:2" x14ac:dyDescent="0.3">
      <c r="A413" t="s">
        <v>548</v>
      </c>
      <c r="B413">
        <v>1</v>
      </c>
    </row>
    <row r="414" spans="1:2" x14ac:dyDescent="0.3">
      <c r="A414" t="s">
        <v>548</v>
      </c>
      <c r="B414">
        <v>1</v>
      </c>
    </row>
    <row r="415" spans="1:2" x14ac:dyDescent="0.3">
      <c r="A415" t="s">
        <v>548</v>
      </c>
      <c r="B415">
        <v>1</v>
      </c>
    </row>
    <row r="416" spans="1:2" x14ac:dyDescent="0.3">
      <c r="A416" t="s">
        <v>546</v>
      </c>
      <c r="B416">
        <v>1</v>
      </c>
    </row>
    <row r="417" spans="1:2" x14ac:dyDescent="0.3">
      <c r="A417" t="s">
        <v>546</v>
      </c>
      <c r="B417">
        <v>1</v>
      </c>
    </row>
    <row r="418" spans="1:2" x14ac:dyDescent="0.3">
      <c r="A418" t="s">
        <v>551</v>
      </c>
      <c r="B418">
        <v>1</v>
      </c>
    </row>
    <row r="419" spans="1:2" x14ac:dyDescent="0.3">
      <c r="A419" t="s">
        <v>551</v>
      </c>
      <c r="B419">
        <v>1</v>
      </c>
    </row>
    <row r="420" spans="1:2" x14ac:dyDescent="0.3">
      <c r="A420" t="s">
        <v>551</v>
      </c>
      <c r="B420">
        <v>1</v>
      </c>
    </row>
    <row r="421" spans="1:2" x14ac:dyDescent="0.3">
      <c r="A421" t="s">
        <v>551</v>
      </c>
      <c r="B421">
        <v>1</v>
      </c>
    </row>
    <row r="422" spans="1:2" x14ac:dyDescent="0.3">
      <c r="A422" t="s">
        <v>552</v>
      </c>
      <c r="B422">
        <v>1</v>
      </c>
    </row>
    <row r="423" spans="1:2" x14ac:dyDescent="0.3">
      <c r="A423" t="s">
        <v>552</v>
      </c>
      <c r="B423">
        <v>1</v>
      </c>
    </row>
    <row r="424" spans="1:2" x14ac:dyDescent="0.3">
      <c r="A424" t="s">
        <v>552</v>
      </c>
      <c r="B424">
        <v>1</v>
      </c>
    </row>
    <row r="425" spans="1:2" x14ac:dyDescent="0.3">
      <c r="A425" t="s">
        <v>553</v>
      </c>
      <c r="B425">
        <v>1</v>
      </c>
    </row>
    <row r="426" spans="1:2" x14ac:dyDescent="0.3">
      <c r="A426" t="s">
        <v>553</v>
      </c>
      <c r="B426">
        <v>1</v>
      </c>
    </row>
    <row r="427" spans="1:2" x14ac:dyDescent="0.3">
      <c r="A427" t="s">
        <v>553</v>
      </c>
      <c r="B427">
        <v>1</v>
      </c>
    </row>
    <row r="428" spans="1:2" x14ac:dyDescent="0.3">
      <c r="A428" t="s">
        <v>549</v>
      </c>
      <c r="B428">
        <v>1</v>
      </c>
    </row>
    <row r="429" spans="1:2" x14ac:dyDescent="0.3">
      <c r="A429" t="s">
        <v>549</v>
      </c>
      <c r="B429">
        <v>1</v>
      </c>
    </row>
    <row r="430" spans="1:2" x14ac:dyDescent="0.3">
      <c r="A430" t="s">
        <v>549</v>
      </c>
      <c r="B430">
        <v>1</v>
      </c>
    </row>
    <row r="431" spans="1:2" x14ac:dyDescent="0.3">
      <c r="A431" t="s">
        <v>549</v>
      </c>
      <c r="B431">
        <v>1</v>
      </c>
    </row>
    <row r="432" spans="1:2" x14ac:dyDescent="0.3">
      <c r="A432" t="s">
        <v>496</v>
      </c>
      <c r="B432">
        <v>1</v>
      </c>
    </row>
    <row r="433" spans="1:2" x14ac:dyDescent="0.3">
      <c r="A433" t="s">
        <v>496</v>
      </c>
      <c r="B433">
        <v>1</v>
      </c>
    </row>
    <row r="434" spans="1:2" x14ac:dyDescent="0.3">
      <c r="A434" t="s">
        <v>498</v>
      </c>
      <c r="B434">
        <v>1</v>
      </c>
    </row>
    <row r="435" spans="1:2" x14ac:dyDescent="0.3">
      <c r="A435" t="s">
        <v>498</v>
      </c>
      <c r="B435">
        <v>1</v>
      </c>
    </row>
    <row r="436" spans="1:2" x14ac:dyDescent="0.3">
      <c r="A436" t="s">
        <v>498</v>
      </c>
      <c r="B436">
        <v>1</v>
      </c>
    </row>
    <row r="437" spans="1:2" x14ac:dyDescent="0.3">
      <c r="A437" t="s">
        <v>502</v>
      </c>
      <c r="B437">
        <v>1</v>
      </c>
    </row>
    <row r="438" spans="1:2" x14ac:dyDescent="0.3">
      <c r="A438" t="s">
        <v>502</v>
      </c>
      <c r="B438">
        <v>1</v>
      </c>
    </row>
    <row r="439" spans="1:2" x14ac:dyDescent="0.3">
      <c r="A439" t="s">
        <v>502</v>
      </c>
      <c r="B439">
        <v>1</v>
      </c>
    </row>
    <row r="440" spans="1:2" x14ac:dyDescent="0.3">
      <c r="A440" t="s">
        <v>505</v>
      </c>
      <c r="B440">
        <v>1</v>
      </c>
    </row>
    <row r="441" spans="1:2" x14ac:dyDescent="0.3">
      <c r="A441" t="s">
        <v>505</v>
      </c>
      <c r="B441">
        <v>1</v>
      </c>
    </row>
    <row r="442" spans="1:2" x14ac:dyDescent="0.3">
      <c r="A442" t="s">
        <v>505</v>
      </c>
      <c r="B442">
        <v>1</v>
      </c>
    </row>
    <row r="443" spans="1:2" x14ac:dyDescent="0.3">
      <c r="A443" t="s">
        <v>508</v>
      </c>
      <c r="B443">
        <v>1</v>
      </c>
    </row>
    <row r="444" spans="1:2" x14ac:dyDescent="0.3">
      <c r="A444" t="s">
        <v>508</v>
      </c>
      <c r="B444">
        <v>1</v>
      </c>
    </row>
    <row r="445" spans="1:2" x14ac:dyDescent="0.3">
      <c r="A445" t="s">
        <v>503</v>
      </c>
      <c r="B445">
        <v>1</v>
      </c>
    </row>
    <row r="446" spans="1:2" x14ac:dyDescent="0.3">
      <c r="A446" t="s">
        <v>503</v>
      </c>
      <c r="B446">
        <v>1</v>
      </c>
    </row>
    <row r="447" spans="1:2" x14ac:dyDescent="0.3">
      <c r="A447" t="s">
        <v>503</v>
      </c>
      <c r="B447">
        <v>1</v>
      </c>
    </row>
    <row r="448" spans="1:2" x14ac:dyDescent="0.3">
      <c r="A448" t="s">
        <v>503</v>
      </c>
      <c r="B448">
        <v>1</v>
      </c>
    </row>
    <row r="449" spans="1:2" x14ac:dyDescent="0.3">
      <c r="A449" t="s">
        <v>496</v>
      </c>
      <c r="B449">
        <v>1</v>
      </c>
    </row>
    <row r="450" spans="1:2" x14ac:dyDescent="0.3">
      <c r="A450" t="s">
        <v>502</v>
      </c>
      <c r="B450">
        <v>1</v>
      </c>
    </row>
    <row r="451" spans="1:2" x14ac:dyDescent="0.3">
      <c r="A451" t="s">
        <v>508</v>
      </c>
      <c r="B451">
        <v>1</v>
      </c>
    </row>
    <row r="452" spans="1:2" x14ac:dyDescent="0.3">
      <c r="A452" t="s">
        <v>554</v>
      </c>
      <c r="B452">
        <v>1</v>
      </c>
    </row>
    <row r="453" spans="1:2" x14ac:dyDescent="0.3">
      <c r="A453" t="s">
        <v>554</v>
      </c>
      <c r="B453">
        <v>1</v>
      </c>
    </row>
    <row r="454" spans="1:2" x14ac:dyDescent="0.3">
      <c r="A454" t="s">
        <v>554</v>
      </c>
      <c r="B454">
        <v>1</v>
      </c>
    </row>
    <row r="455" spans="1:2" x14ac:dyDescent="0.3">
      <c r="A455" t="s">
        <v>554</v>
      </c>
      <c r="B455">
        <v>1</v>
      </c>
    </row>
    <row r="456" spans="1:2" x14ac:dyDescent="0.3">
      <c r="A456" t="s">
        <v>554</v>
      </c>
      <c r="B456">
        <v>1</v>
      </c>
    </row>
    <row r="457" spans="1:2" x14ac:dyDescent="0.3">
      <c r="A457" t="s">
        <v>509</v>
      </c>
      <c r="B457">
        <v>1</v>
      </c>
    </row>
    <row r="458" spans="1:2" x14ac:dyDescent="0.3">
      <c r="A458" t="s">
        <v>509</v>
      </c>
      <c r="B458">
        <v>1</v>
      </c>
    </row>
    <row r="459" spans="1:2" x14ac:dyDescent="0.3">
      <c r="A459" t="s">
        <v>509</v>
      </c>
      <c r="B459">
        <v>1</v>
      </c>
    </row>
    <row r="460" spans="1:2" x14ac:dyDescent="0.3">
      <c r="A460" t="s">
        <v>509</v>
      </c>
      <c r="B460">
        <v>1</v>
      </c>
    </row>
    <row r="461" spans="1:2" x14ac:dyDescent="0.3">
      <c r="A461" t="s">
        <v>513</v>
      </c>
      <c r="B461">
        <v>1</v>
      </c>
    </row>
    <row r="462" spans="1:2" x14ac:dyDescent="0.3">
      <c r="A462" t="s">
        <v>513</v>
      </c>
      <c r="B462">
        <v>1</v>
      </c>
    </row>
    <row r="463" spans="1:2" x14ac:dyDescent="0.3">
      <c r="A463" t="s">
        <v>513</v>
      </c>
      <c r="B463">
        <v>1</v>
      </c>
    </row>
    <row r="464" spans="1:2" x14ac:dyDescent="0.3">
      <c r="A464" t="s">
        <v>513</v>
      </c>
      <c r="B464">
        <v>1</v>
      </c>
    </row>
    <row r="465" spans="1:2" x14ac:dyDescent="0.3">
      <c r="A465" t="s">
        <v>513</v>
      </c>
      <c r="B465">
        <v>1</v>
      </c>
    </row>
    <row r="466" spans="1:2" x14ac:dyDescent="0.3">
      <c r="A466" t="s">
        <v>513</v>
      </c>
      <c r="B466">
        <v>1</v>
      </c>
    </row>
    <row r="467" spans="1:2" x14ac:dyDescent="0.3">
      <c r="A467" t="s">
        <v>513</v>
      </c>
      <c r="B467">
        <v>1</v>
      </c>
    </row>
    <row r="468" spans="1:2" x14ac:dyDescent="0.3">
      <c r="A468" t="s">
        <v>511</v>
      </c>
      <c r="B468">
        <v>1</v>
      </c>
    </row>
    <row r="469" spans="1:2" x14ac:dyDescent="0.3">
      <c r="A469" t="s">
        <v>511</v>
      </c>
      <c r="B469">
        <v>1</v>
      </c>
    </row>
    <row r="470" spans="1:2" x14ac:dyDescent="0.3">
      <c r="A470" t="s">
        <v>511</v>
      </c>
      <c r="B470">
        <v>1</v>
      </c>
    </row>
    <row r="471" spans="1:2" x14ac:dyDescent="0.3">
      <c r="A471" t="s">
        <v>511</v>
      </c>
      <c r="B471">
        <v>1</v>
      </c>
    </row>
    <row r="472" spans="1:2" x14ac:dyDescent="0.3">
      <c r="A472" t="s">
        <v>511</v>
      </c>
      <c r="B472">
        <v>1</v>
      </c>
    </row>
    <row r="473" spans="1:2" x14ac:dyDescent="0.3">
      <c r="A473" t="s">
        <v>511</v>
      </c>
      <c r="B473">
        <v>1</v>
      </c>
    </row>
    <row r="474" spans="1:2" x14ac:dyDescent="0.3">
      <c r="A474" t="s">
        <v>511</v>
      </c>
      <c r="B474">
        <v>1</v>
      </c>
    </row>
    <row r="475" spans="1:2" x14ac:dyDescent="0.3">
      <c r="A475" t="s">
        <v>511</v>
      </c>
      <c r="B475">
        <v>1</v>
      </c>
    </row>
    <row r="476" spans="1:2" x14ac:dyDescent="0.3">
      <c r="A476" t="s">
        <v>514</v>
      </c>
      <c r="B476">
        <v>1</v>
      </c>
    </row>
    <row r="477" spans="1:2" x14ac:dyDescent="0.3">
      <c r="A477" t="s">
        <v>514</v>
      </c>
      <c r="B477">
        <v>1</v>
      </c>
    </row>
    <row r="478" spans="1:2" x14ac:dyDescent="0.3">
      <c r="A478" t="s">
        <v>514</v>
      </c>
      <c r="B478">
        <v>1</v>
      </c>
    </row>
    <row r="479" spans="1:2" x14ac:dyDescent="0.3">
      <c r="A479" t="s">
        <v>514</v>
      </c>
      <c r="B479">
        <v>1</v>
      </c>
    </row>
    <row r="480" spans="1:2" x14ac:dyDescent="0.3">
      <c r="A480" t="s">
        <v>514</v>
      </c>
      <c r="B480">
        <v>1</v>
      </c>
    </row>
    <row r="481" spans="1:2" x14ac:dyDescent="0.3">
      <c r="A481" t="s">
        <v>514</v>
      </c>
      <c r="B481">
        <v>1</v>
      </c>
    </row>
    <row r="482" spans="1:2" x14ac:dyDescent="0.3">
      <c r="A482" t="s">
        <v>514</v>
      </c>
      <c r="B482">
        <v>1</v>
      </c>
    </row>
    <row r="483" spans="1:2" x14ac:dyDescent="0.3">
      <c r="A483" t="s">
        <v>514</v>
      </c>
      <c r="B483">
        <v>1</v>
      </c>
    </row>
    <row r="484" spans="1:2" x14ac:dyDescent="0.3">
      <c r="A484" t="s">
        <v>515</v>
      </c>
      <c r="B484">
        <v>1</v>
      </c>
    </row>
    <row r="485" spans="1:2" x14ac:dyDescent="0.3">
      <c r="A485" t="s">
        <v>515</v>
      </c>
      <c r="B485">
        <v>1</v>
      </c>
    </row>
    <row r="486" spans="1:2" x14ac:dyDescent="0.3">
      <c r="A486" t="s">
        <v>515</v>
      </c>
      <c r="B486">
        <v>1</v>
      </c>
    </row>
    <row r="487" spans="1:2" x14ac:dyDescent="0.3">
      <c r="A487" t="s">
        <v>515</v>
      </c>
      <c r="B487">
        <v>1</v>
      </c>
    </row>
    <row r="488" spans="1:2" x14ac:dyDescent="0.3">
      <c r="A488" t="s">
        <v>515</v>
      </c>
      <c r="B488">
        <v>1</v>
      </c>
    </row>
    <row r="489" spans="1:2" x14ac:dyDescent="0.3">
      <c r="A489" t="s">
        <v>515</v>
      </c>
      <c r="B489">
        <v>1</v>
      </c>
    </row>
    <row r="490" spans="1:2" x14ac:dyDescent="0.3">
      <c r="A490" t="s">
        <v>516</v>
      </c>
      <c r="B490">
        <v>1</v>
      </c>
    </row>
    <row r="491" spans="1:2" x14ac:dyDescent="0.3">
      <c r="A491" t="s">
        <v>516</v>
      </c>
      <c r="B491">
        <v>1</v>
      </c>
    </row>
    <row r="492" spans="1:2" x14ac:dyDescent="0.3">
      <c r="A492" t="s">
        <v>516</v>
      </c>
      <c r="B492">
        <v>1</v>
      </c>
    </row>
    <row r="493" spans="1:2" x14ac:dyDescent="0.3">
      <c r="A493" t="s">
        <v>516</v>
      </c>
      <c r="B493">
        <v>1</v>
      </c>
    </row>
    <row r="494" spans="1:2" x14ac:dyDescent="0.3">
      <c r="A494" t="s">
        <v>519</v>
      </c>
      <c r="B494">
        <v>1</v>
      </c>
    </row>
    <row r="495" spans="1:2" x14ac:dyDescent="0.3">
      <c r="A495" t="s">
        <v>519</v>
      </c>
      <c r="B495">
        <v>1</v>
      </c>
    </row>
    <row r="496" spans="1:2" x14ac:dyDescent="0.3">
      <c r="A496" t="s">
        <v>519</v>
      </c>
      <c r="B496">
        <v>1</v>
      </c>
    </row>
    <row r="497" spans="1:2" x14ac:dyDescent="0.3">
      <c r="A497" t="s">
        <v>519</v>
      </c>
      <c r="B497">
        <v>1</v>
      </c>
    </row>
    <row r="498" spans="1:2" x14ac:dyDescent="0.3">
      <c r="A498" t="s">
        <v>520</v>
      </c>
      <c r="B498">
        <v>1</v>
      </c>
    </row>
    <row r="499" spans="1:2" x14ac:dyDescent="0.3">
      <c r="A499" t="s">
        <v>520</v>
      </c>
      <c r="B499">
        <v>1</v>
      </c>
    </row>
    <row r="500" spans="1:2" x14ac:dyDescent="0.3">
      <c r="A500" t="s">
        <v>520</v>
      </c>
      <c r="B500">
        <v>1</v>
      </c>
    </row>
    <row r="501" spans="1:2" x14ac:dyDescent="0.3">
      <c r="A501" t="s">
        <v>520</v>
      </c>
      <c r="B501">
        <v>1</v>
      </c>
    </row>
    <row r="502" spans="1:2" x14ac:dyDescent="0.3">
      <c r="A502" t="s">
        <v>520</v>
      </c>
      <c r="B502">
        <v>1</v>
      </c>
    </row>
    <row r="503" spans="1:2" x14ac:dyDescent="0.3">
      <c r="A503" t="s">
        <v>510</v>
      </c>
      <c r="B503">
        <v>1</v>
      </c>
    </row>
    <row r="504" spans="1:2" x14ac:dyDescent="0.3">
      <c r="A504" t="s">
        <v>510</v>
      </c>
      <c r="B504">
        <v>1</v>
      </c>
    </row>
    <row r="505" spans="1:2" x14ac:dyDescent="0.3">
      <c r="A505" t="s">
        <v>510</v>
      </c>
      <c r="B505">
        <v>1</v>
      </c>
    </row>
    <row r="506" spans="1:2" x14ac:dyDescent="0.3">
      <c r="A506" t="s">
        <v>510</v>
      </c>
      <c r="B506">
        <v>1</v>
      </c>
    </row>
    <row r="507" spans="1:2" x14ac:dyDescent="0.3">
      <c r="A507" t="s">
        <v>510</v>
      </c>
      <c r="B507">
        <v>1</v>
      </c>
    </row>
    <row r="508" spans="1:2" x14ac:dyDescent="0.3">
      <c r="A508" t="s">
        <v>512</v>
      </c>
      <c r="B508">
        <v>1</v>
      </c>
    </row>
    <row r="509" spans="1:2" x14ac:dyDescent="0.3">
      <c r="A509" t="s">
        <v>512</v>
      </c>
      <c r="B509">
        <v>1</v>
      </c>
    </row>
    <row r="510" spans="1:2" x14ac:dyDescent="0.3">
      <c r="A510" t="s">
        <v>512</v>
      </c>
      <c r="B510">
        <v>1</v>
      </c>
    </row>
    <row r="511" spans="1:2" x14ac:dyDescent="0.3">
      <c r="A511" t="s">
        <v>512</v>
      </c>
      <c r="B511">
        <v>1</v>
      </c>
    </row>
    <row r="512" spans="1:2" x14ac:dyDescent="0.3">
      <c r="A512" t="s">
        <v>518</v>
      </c>
      <c r="B512">
        <v>1</v>
      </c>
    </row>
    <row r="513" spans="1:2" x14ac:dyDescent="0.3">
      <c r="A513" t="s">
        <v>518</v>
      </c>
      <c r="B513">
        <v>1</v>
      </c>
    </row>
    <row r="514" spans="1:2" x14ac:dyDescent="0.3">
      <c r="A514" t="s">
        <v>518</v>
      </c>
      <c r="B514">
        <v>1</v>
      </c>
    </row>
    <row r="515" spans="1:2" x14ac:dyDescent="0.3">
      <c r="A515" t="s">
        <v>518</v>
      </c>
      <c r="B515">
        <v>1</v>
      </c>
    </row>
    <row r="516" spans="1:2" x14ac:dyDescent="0.3">
      <c r="A516" t="s">
        <v>518</v>
      </c>
      <c r="B516">
        <v>1</v>
      </c>
    </row>
    <row r="517" spans="1:2" x14ac:dyDescent="0.3">
      <c r="A517" t="s">
        <v>518</v>
      </c>
      <c r="B517">
        <v>1</v>
      </c>
    </row>
    <row r="518" spans="1:2" x14ac:dyDescent="0.3">
      <c r="A518" t="s">
        <v>518</v>
      </c>
      <c r="B518">
        <v>1</v>
      </c>
    </row>
    <row r="519" spans="1:2" x14ac:dyDescent="0.3">
      <c r="A519" t="s">
        <v>518</v>
      </c>
      <c r="B519">
        <v>1</v>
      </c>
    </row>
    <row r="520" spans="1:2" x14ac:dyDescent="0.3">
      <c r="A520" t="s">
        <v>521</v>
      </c>
      <c r="B520">
        <v>1</v>
      </c>
    </row>
    <row r="521" spans="1:2" x14ac:dyDescent="0.3">
      <c r="A521" t="s">
        <v>521</v>
      </c>
      <c r="B521">
        <v>1</v>
      </c>
    </row>
    <row r="522" spans="1:2" x14ac:dyDescent="0.3">
      <c r="A522" t="s">
        <v>521</v>
      </c>
      <c r="B522">
        <v>1</v>
      </c>
    </row>
    <row r="523" spans="1:2" x14ac:dyDescent="0.3">
      <c r="A523" t="s">
        <v>521</v>
      </c>
      <c r="B523">
        <v>1</v>
      </c>
    </row>
    <row r="524" spans="1:2" x14ac:dyDescent="0.3">
      <c r="A524" t="s">
        <v>521</v>
      </c>
      <c r="B524">
        <v>1</v>
      </c>
    </row>
    <row r="525" spans="1:2" x14ac:dyDescent="0.3">
      <c r="A525" t="s">
        <v>521</v>
      </c>
      <c r="B525">
        <v>1</v>
      </c>
    </row>
    <row r="526" spans="1:2" x14ac:dyDescent="0.3">
      <c r="A526" t="s">
        <v>521</v>
      </c>
      <c r="B526">
        <v>1</v>
      </c>
    </row>
    <row r="527" spans="1:2" x14ac:dyDescent="0.3">
      <c r="A527" t="s">
        <v>522</v>
      </c>
      <c r="B527">
        <v>1</v>
      </c>
    </row>
    <row r="528" spans="1:2" x14ac:dyDescent="0.3">
      <c r="A528" t="s">
        <v>522</v>
      </c>
      <c r="B528">
        <v>1</v>
      </c>
    </row>
    <row r="529" spans="1:2" x14ac:dyDescent="0.3">
      <c r="A529" t="s">
        <v>522</v>
      </c>
      <c r="B529">
        <v>1</v>
      </c>
    </row>
    <row r="530" spans="1:2" x14ac:dyDescent="0.3">
      <c r="A530" t="s">
        <v>522</v>
      </c>
      <c r="B530">
        <v>1</v>
      </c>
    </row>
    <row r="531" spans="1:2" x14ac:dyDescent="0.3">
      <c r="A531" t="s">
        <v>522</v>
      </c>
      <c r="B531">
        <v>1</v>
      </c>
    </row>
    <row r="532" spans="1:2" x14ac:dyDescent="0.3">
      <c r="A532" t="s">
        <v>522</v>
      </c>
      <c r="B532">
        <v>1</v>
      </c>
    </row>
    <row r="533" spans="1:2" x14ac:dyDescent="0.3">
      <c r="A533" t="s">
        <v>524</v>
      </c>
      <c r="B533">
        <v>1</v>
      </c>
    </row>
    <row r="534" spans="1:2" x14ac:dyDescent="0.3">
      <c r="A534" t="s">
        <v>524</v>
      </c>
      <c r="B534">
        <v>1</v>
      </c>
    </row>
    <row r="535" spans="1:2" x14ac:dyDescent="0.3">
      <c r="A535" t="s">
        <v>524</v>
      </c>
      <c r="B535">
        <v>1</v>
      </c>
    </row>
    <row r="536" spans="1:2" x14ac:dyDescent="0.3">
      <c r="A536" t="s">
        <v>524</v>
      </c>
      <c r="B536">
        <v>1</v>
      </c>
    </row>
    <row r="537" spans="1:2" x14ac:dyDescent="0.3">
      <c r="A537" t="s">
        <v>525</v>
      </c>
      <c r="B537">
        <v>1</v>
      </c>
    </row>
    <row r="538" spans="1:2" x14ac:dyDescent="0.3">
      <c r="A538" t="s">
        <v>525</v>
      </c>
      <c r="B538">
        <v>1</v>
      </c>
    </row>
    <row r="539" spans="1:2" x14ac:dyDescent="0.3">
      <c r="A539" t="s">
        <v>525</v>
      </c>
      <c r="B539">
        <v>1</v>
      </c>
    </row>
    <row r="540" spans="1:2" x14ac:dyDescent="0.3">
      <c r="A540" t="s">
        <v>525</v>
      </c>
      <c r="B540">
        <v>1</v>
      </c>
    </row>
    <row r="541" spans="1:2" x14ac:dyDescent="0.3">
      <c r="A541" t="s">
        <v>525</v>
      </c>
      <c r="B541">
        <v>1</v>
      </c>
    </row>
    <row r="542" spans="1:2" x14ac:dyDescent="0.3">
      <c r="A542" t="s">
        <v>525</v>
      </c>
      <c r="B542">
        <v>1</v>
      </c>
    </row>
    <row r="543" spans="1:2" x14ac:dyDescent="0.3">
      <c r="A543" t="s">
        <v>525</v>
      </c>
      <c r="B543">
        <v>1</v>
      </c>
    </row>
    <row r="544" spans="1:2" x14ac:dyDescent="0.3">
      <c r="A544" t="s">
        <v>525</v>
      </c>
      <c r="B544">
        <v>1</v>
      </c>
    </row>
    <row r="545" spans="1:2" x14ac:dyDescent="0.3">
      <c r="A545" t="s">
        <v>517</v>
      </c>
      <c r="B545">
        <v>1</v>
      </c>
    </row>
    <row r="546" spans="1:2" x14ac:dyDescent="0.3">
      <c r="A546" t="s">
        <v>517</v>
      </c>
      <c r="B546">
        <v>1</v>
      </c>
    </row>
    <row r="547" spans="1:2" x14ac:dyDescent="0.3">
      <c r="A547" t="s">
        <v>517</v>
      </c>
      <c r="B547">
        <v>1</v>
      </c>
    </row>
    <row r="548" spans="1:2" x14ac:dyDescent="0.3">
      <c r="A548" t="s">
        <v>517</v>
      </c>
      <c r="B548">
        <v>1</v>
      </c>
    </row>
    <row r="549" spans="1:2" x14ac:dyDescent="0.3">
      <c r="A549" t="s">
        <v>523</v>
      </c>
      <c r="B549">
        <v>1</v>
      </c>
    </row>
    <row r="550" spans="1:2" x14ac:dyDescent="0.3">
      <c r="A550" t="s">
        <v>523</v>
      </c>
      <c r="B550">
        <v>1</v>
      </c>
    </row>
    <row r="551" spans="1:2" x14ac:dyDescent="0.3">
      <c r="A551" t="s">
        <v>523</v>
      </c>
      <c r="B551">
        <v>1</v>
      </c>
    </row>
    <row r="552" spans="1:2" x14ac:dyDescent="0.3">
      <c r="A552" t="s">
        <v>523</v>
      </c>
      <c r="B552">
        <v>1</v>
      </c>
    </row>
    <row r="553" spans="1:2" x14ac:dyDescent="0.3">
      <c r="A553" t="s">
        <v>527</v>
      </c>
      <c r="B553">
        <v>1</v>
      </c>
    </row>
    <row r="554" spans="1:2" x14ac:dyDescent="0.3">
      <c r="A554" t="s">
        <v>527</v>
      </c>
      <c r="B554">
        <v>1</v>
      </c>
    </row>
    <row r="555" spans="1:2" x14ac:dyDescent="0.3">
      <c r="A555" t="s">
        <v>527</v>
      </c>
      <c r="B555">
        <v>1</v>
      </c>
    </row>
    <row r="556" spans="1:2" x14ac:dyDescent="0.3">
      <c r="A556" t="s">
        <v>527</v>
      </c>
      <c r="B556">
        <v>1</v>
      </c>
    </row>
    <row r="557" spans="1:2" x14ac:dyDescent="0.3">
      <c r="A557" t="s">
        <v>527</v>
      </c>
      <c r="B557">
        <v>1</v>
      </c>
    </row>
    <row r="558" spans="1:2" x14ac:dyDescent="0.3">
      <c r="A558" t="s">
        <v>527</v>
      </c>
      <c r="B558">
        <v>1</v>
      </c>
    </row>
    <row r="559" spans="1:2" x14ac:dyDescent="0.3">
      <c r="A559" t="s">
        <v>528</v>
      </c>
      <c r="B559">
        <v>1</v>
      </c>
    </row>
    <row r="560" spans="1:2" x14ac:dyDescent="0.3">
      <c r="A560" t="s">
        <v>528</v>
      </c>
      <c r="B560">
        <v>1</v>
      </c>
    </row>
    <row r="561" spans="1:2" x14ac:dyDescent="0.3">
      <c r="A561" t="s">
        <v>528</v>
      </c>
      <c r="B561">
        <v>1</v>
      </c>
    </row>
    <row r="562" spans="1:2" x14ac:dyDescent="0.3">
      <c r="A562" t="s">
        <v>528</v>
      </c>
      <c r="B562">
        <v>1</v>
      </c>
    </row>
    <row r="563" spans="1:2" x14ac:dyDescent="0.3">
      <c r="A563" t="s">
        <v>526</v>
      </c>
      <c r="B563">
        <v>1</v>
      </c>
    </row>
    <row r="564" spans="1:2" x14ac:dyDescent="0.3">
      <c r="A564" t="s">
        <v>526</v>
      </c>
      <c r="B564">
        <v>1</v>
      </c>
    </row>
    <row r="565" spans="1:2" x14ac:dyDescent="0.3">
      <c r="A565" t="s">
        <v>526</v>
      </c>
      <c r="B565">
        <v>1</v>
      </c>
    </row>
    <row r="566" spans="1:2" x14ac:dyDescent="0.3">
      <c r="A566" t="s">
        <v>526</v>
      </c>
      <c r="B566">
        <v>1</v>
      </c>
    </row>
    <row r="567" spans="1:2" x14ac:dyDescent="0.3">
      <c r="A567" t="s">
        <v>526</v>
      </c>
      <c r="B567">
        <v>1</v>
      </c>
    </row>
    <row r="568" spans="1:2" x14ac:dyDescent="0.3">
      <c r="A568" t="s">
        <v>526</v>
      </c>
      <c r="B568">
        <v>1</v>
      </c>
    </row>
    <row r="569" spans="1:2" x14ac:dyDescent="0.3">
      <c r="A569" t="s">
        <v>526</v>
      </c>
      <c r="B569">
        <v>1</v>
      </c>
    </row>
    <row r="570" spans="1:2" x14ac:dyDescent="0.3">
      <c r="A570" t="s">
        <v>526</v>
      </c>
      <c r="B570">
        <v>1</v>
      </c>
    </row>
    <row r="571" spans="1:2" x14ac:dyDescent="0.3">
      <c r="A571" t="s">
        <v>529</v>
      </c>
      <c r="B571">
        <v>1</v>
      </c>
    </row>
    <row r="572" spans="1:2" x14ac:dyDescent="0.3">
      <c r="A572" t="s">
        <v>529</v>
      </c>
      <c r="B572">
        <v>1</v>
      </c>
    </row>
    <row r="573" spans="1:2" x14ac:dyDescent="0.3">
      <c r="A573" t="s">
        <v>529</v>
      </c>
      <c r="B573">
        <v>1</v>
      </c>
    </row>
    <row r="574" spans="1:2" x14ac:dyDescent="0.3">
      <c r="A574" t="s">
        <v>529</v>
      </c>
      <c r="B574">
        <v>1</v>
      </c>
    </row>
    <row r="575" spans="1:2" x14ac:dyDescent="0.3">
      <c r="A575" t="s">
        <v>530</v>
      </c>
      <c r="B575">
        <v>1</v>
      </c>
    </row>
    <row r="576" spans="1:2" x14ac:dyDescent="0.3">
      <c r="A576" t="s">
        <v>530</v>
      </c>
      <c r="B576">
        <v>1</v>
      </c>
    </row>
    <row r="577" spans="1:2" x14ac:dyDescent="0.3">
      <c r="A577" t="s">
        <v>530</v>
      </c>
      <c r="B577">
        <v>1</v>
      </c>
    </row>
    <row r="578" spans="1:2" x14ac:dyDescent="0.3">
      <c r="A578" t="s">
        <v>530</v>
      </c>
      <c r="B578">
        <v>1</v>
      </c>
    </row>
    <row r="579" spans="1:2" x14ac:dyDescent="0.3">
      <c r="A579" t="s">
        <v>531</v>
      </c>
      <c r="B579">
        <v>1</v>
      </c>
    </row>
    <row r="580" spans="1:2" x14ac:dyDescent="0.3">
      <c r="A580" t="s">
        <v>531</v>
      </c>
      <c r="B580">
        <v>1</v>
      </c>
    </row>
    <row r="581" spans="1:2" x14ac:dyDescent="0.3">
      <c r="A581" t="s">
        <v>531</v>
      </c>
      <c r="B581">
        <v>1</v>
      </c>
    </row>
    <row r="582" spans="1:2" x14ac:dyDescent="0.3">
      <c r="A582" t="s">
        <v>531</v>
      </c>
      <c r="B582">
        <v>1</v>
      </c>
    </row>
    <row r="583" spans="1:2" x14ac:dyDescent="0.3">
      <c r="A583" t="s">
        <v>534</v>
      </c>
      <c r="B583">
        <v>1</v>
      </c>
    </row>
    <row r="584" spans="1:2" x14ac:dyDescent="0.3">
      <c r="A584" t="s">
        <v>534</v>
      </c>
      <c r="B584">
        <v>1</v>
      </c>
    </row>
    <row r="585" spans="1:2" x14ac:dyDescent="0.3">
      <c r="A585" t="s">
        <v>534</v>
      </c>
      <c r="B585">
        <v>1</v>
      </c>
    </row>
    <row r="586" spans="1:2" x14ac:dyDescent="0.3">
      <c r="A586" t="s">
        <v>534</v>
      </c>
      <c r="B586">
        <v>1</v>
      </c>
    </row>
    <row r="587" spans="1:2" x14ac:dyDescent="0.3">
      <c r="A587" t="s">
        <v>534</v>
      </c>
      <c r="B587">
        <v>1</v>
      </c>
    </row>
    <row r="588" spans="1:2" x14ac:dyDescent="0.3">
      <c r="A588" t="s">
        <v>534</v>
      </c>
      <c r="B588">
        <v>1</v>
      </c>
    </row>
    <row r="589" spans="1:2" x14ac:dyDescent="0.3">
      <c r="A589" t="s">
        <v>532</v>
      </c>
      <c r="B589">
        <v>1</v>
      </c>
    </row>
    <row r="590" spans="1:2" x14ac:dyDescent="0.3">
      <c r="A590" t="s">
        <v>532</v>
      </c>
      <c r="B590">
        <v>1</v>
      </c>
    </row>
    <row r="591" spans="1:2" x14ac:dyDescent="0.3">
      <c r="A591" t="s">
        <v>532</v>
      </c>
      <c r="B591">
        <v>1</v>
      </c>
    </row>
    <row r="592" spans="1:2" x14ac:dyDescent="0.3">
      <c r="A592" t="s">
        <v>532</v>
      </c>
      <c r="B592">
        <v>1</v>
      </c>
    </row>
    <row r="593" spans="1:2" x14ac:dyDescent="0.3">
      <c r="A593" t="s">
        <v>533</v>
      </c>
      <c r="B593">
        <v>1</v>
      </c>
    </row>
    <row r="594" spans="1:2" x14ac:dyDescent="0.3">
      <c r="A594" t="s">
        <v>533</v>
      </c>
      <c r="B594">
        <v>1</v>
      </c>
    </row>
    <row r="595" spans="1:2" x14ac:dyDescent="0.3">
      <c r="A595" t="s">
        <v>533</v>
      </c>
      <c r="B595">
        <v>1</v>
      </c>
    </row>
    <row r="596" spans="1:2" x14ac:dyDescent="0.3">
      <c r="A596" t="s">
        <v>533</v>
      </c>
      <c r="B596">
        <v>1</v>
      </c>
    </row>
    <row r="597" spans="1:2" x14ac:dyDescent="0.3">
      <c r="A597" t="s">
        <v>533</v>
      </c>
      <c r="B597">
        <v>1</v>
      </c>
    </row>
    <row r="598" spans="1:2" x14ac:dyDescent="0.3">
      <c r="A598" t="s">
        <v>535</v>
      </c>
      <c r="B598">
        <v>1</v>
      </c>
    </row>
    <row r="599" spans="1:2" x14ac:dyDescent="0.3">
      <c r="A599" t="s">
        <v>535</v>
      </c>
      <c r="B599">
        <v>1</v>
      </c>
    </row>
    <row r="600" spans="1:2" x14ac:dyDescent="0.3">
      <c r="A600" t="s">
        <v>535</v>
      </c>
      <c r="B600">
        <v>1</v>
      </c>
    </row>
    <row r="601" spans="1:2" x14ac:dyDescent="0.3">
      <c r="A601" t="s">
        <v>537</v>
      </c>
      <c r="B601">
        <v>1</v>
      </c>
    </row>
    <row r="602" spans="1:2" x14ac:dyDescent="0.3">
      <c r="A602" t="s">
        <v>537</v>
      </c>
      <c r="B602">
        <v>1</v>
      </c>
    </row>
    <row r="603" spans="1:2" x14ac:dyDescent="0.3">
      <c r="A603" t="s">
        <v>537</v>
      </c>
      <c r="B603">
        <v>1</v>
      </c>
    </row>
    <row r="604" spans="1:2" x14ac:dyDescent="0.3">
      <c r="A604" t="s">
        <v>537</v>
      </c>
      <c r="B604">
        <v>1</v>
      </c>
    </row>
    <row r="605" spans="1:2" x14ac:dyDescent="0.3">
      <c r="A605" t="s">
        <v>537</v>
      </c>
      <c r="B605">
        <v>1</v>
      </c>
    </row>
    <row r="606" spans="1:2" x14ac:dyDescent="0.3">
      <c r="A606" t="s">
        <v>537</v>
      </c>
      <c r="B606">
        <v>1</v>
      </c>
    </row>
    <row r="607" spans="1:2" x14ac:dyDescent="0.3">
      <c r="A607" t="s">
        <v>537</v>
      </c>
      <c r="B607">
        <v>1</v>
      </c>
    </row>
    <row r="608" spans="1:2" x14ac:dyDescent="0.3">
      <c r="A608" t="s">
        <v>537</v>
      </c>
      <c r="B608">
        <v>1</v>
      </c>
    </row>
    <row r="609" spans="1:2" x14ac:dyDescent="0.3">
      <c r="A609" t="s">
        <v>536</v>
      </c>
      <c r="B609">
        <v>1</v>
      </c>
    </row>
    <row r="610" spans="1:2" x14ac:dyDescent="0.3">
      <c r="A610" t="s">
        <v>536</v>
      </c>
      <c r="B610">
        <v>1</v>
      </c>
    </row>
    <row r="611" spans="1:2" x14ac:dyDescent="0.3">
      <c r="A611" t="s">
        <v>536</v>
      </c>
      <c r="B611">
        <v>1</v>
      </c>
    </row>
    <row r="612" spans="1:2" x14ac:dyDescent="0.3">
      <c r="A612" t="s">
        <v>539</v>
      </c>
      <c r="B612">
        <v>1</v>
      </c>
    </row>
    <row r="613" spans="1:2" x14ac:dyDescent="0.3">
      <c r="A613" t="s">
        <v>539</v>
      </c>
      <c r="B613">
        <v>1</v>
      </c>
    </row>
    <row r="614" spans="1:2" x14ac:dyDescent="0.3">
      <c r="A614" t="s">
        <v>539</v>
      </c>
      <c r="B614">
        <v>1</v>
      </c>
    </row>
    <row r="615" spans="1:2" x14ac:dyDescent="0.3">
      <c r="A615" t="s">
        <v>539</v>
      </c>
      <c r="B615">
        <v>1</v>
      </c>
    </row>
    <row r="616" spans="1:2" x14ac:dyDescent="0.3">
      <c r="A616" t="s">
        <v>539</v>
      </c>
      <c r="B616">
        <v>1</v>
      </c>
    </row>
    <row r="617" spans="1:2" x14ac:dyDescent="0.3">
      <c r="A617" t="s">
        <v>539</v>
      </c>
      <c r="B617">
        <v>1</v>
      </c>
    </row>
    <row r="618" spans="1:2" x14ac:dyDescent="0.3">
      <c r="A618" t="s">
        <v>540</v>
      </c>
      <c r="B618">
        <v>1</v>
      </c>
    </row>
    <row r="619" spans="1:2" x14ac:dyDescent="0.3">
      <c r="A619" t="s">
        <v>540</v>
      </c>
      <c r="B619">
        <v>1</v>
      </c>
    </row>
    <row r="620" spans="1:2" x14ac:dyDescent="0.3">
      <c r="A620" t="s">
        <v>540</v>
      </c>
      <c r="B620">
        <v>1</v>
      </c>
    </row>
    <row r="621" spans="1:2" x14ac:dyDescent="0.3">
      <c r="A621" t="s">
        <v>543</v>
      </c>
      <c r="B621">
        <v>1</v>
      </c>
    </row>
    <row r="622" spans="1:2" x14ac:dyDescent="0.3">
      <c r="A622" t="s">
        <v>543</v>
      </c>
      <c r="B622">
        <v>1</v>
      </c>
    </row>
    <row r="623" spans="1:2" x14ac:dyDescent="0.3">
      <c r="A623" t="s">
        <v>543</v>
      </c>
      <c r="B623">
        <v>1</v>
      </c>
    </row>
    <row r="624" spans="1:2" x14ac:dyDescent="0.3">
      <c r="A624" t="s">
        <v>538</v>
      </c>
      <c r="B624">
        <v>1</v>
      </c>
    </row>
    <row r="625" spans="1:2" x14ac:dyDescent="0.3">
      <c r="A625" t="s">
        <v>538</v>
      </c>
      <c r="B625">
        <v>1</v>
      </c>
    </row>
    <row r="626" spans="1:2" x14ac:dyDescent="0.3">
      <c r="A626" t="s">
        <v>538</v>
      </c>
      <c r="B626">
        <v>1</v>
      </c>
    </row>
    <row r="627" spans="1:2" x14ac:dyDescent="0.3">
      <c r="A627" t="s">
        <v>538</v>
      </c>
      <c r="B627">
        <v>1</v>
      </c>
    </row>
    <row r="628" spans="1:2" x14ac:dyDescent="0.3">
      <c r="A628" t="s">
        <v>538</v>
      </c>
      <c r="B628">
        <v>1</v>
      </c>
    </row>
    <row r="629" spans="1:2" x14ac:dyDescent="0.3">
      <c r="A629" t="s">
        <v>538</v>
      </c>
      <c r="B629">
        <v>1</v>
      </c>
    </row>
    <row r="630" spans="1:2" x14ac:dyDescent="0.3">
      <c r="A630" t="s">
        <v>541</v>
      </c>
      <c r="B630">
        <v>1</v>
      </c>
    </row>
    <row r="631" spans="1:2" x14ac:dyDescent="0.3">
      <c r="A631" t="s">
        <v>541</v>
      </c>
      <c r="B631">
        <v>1</v>
      </c>
    </row>
    <row r="632" spans="1:2" x14ac:dyDescent="0.3">
      <c r="A632" t="s">
        <v>541</v>
      </c>
      <c r="B632">
        <v>1</v>
      </c>
    </row>
    <row r="633" spans="1:2" x14ac:dyDescent="0.3">
      <c r="A633" t="s">
        <v>542</v>
      </c>
      <c r="B633">
        <v>1</v>
      </c>
    </row>
    <row r="634" spans="1:2" x14ac:dyDescent="0.3">
      <c r="A634" t="s">
        <v>542</v>
      </c>
      <c r="B634">
        <v>1</v>
      </c>
    </row>
    <row r="635" spans="1:2" x14ac:dyDescent="0.3">
      <c r="A635" t="s">
        <v>542</v>
      </c>
      <c r="B635">
        <v>1</v>
      </c>
    </row>
    <row r="636" spans="1:2" x14ac:dyDescent="0.3">
      <c r="A636" t="s">
        <v>544</v>
      </c>
      <c r="B636">
        <v>1</v>
      </c>
    </row>
    <row r="637" spans="1:2" x14ac:dyDescent="0.3">
      <c r="A637" t="s">
        <v>544</v>
      </c>
      <c r="B637">
        <v>1</v>
      </c>
    </row>
    <row r="638" spans="1:2" x14ac:dyDescent="0.3">
      <c r="A638" t="s">
        <v>544</v>
      </c>
      <c r="B638">
        <v>1</v>
      </c>
    </row>
    <row r="639" spans="1:2" x14ac:dyDescent="0.3">
      <c r="A639" t="s">
        <v>544</v>
      </c>
      <c r="B639">
        <v>1</v>
      </c>
    </row>
    <row r="640" spans="1:2" x14ac:dyDescent="0.3">
      <c r="A640" t="s">
        <v>555</v>
      </c>
      <c r="B640">
        <v>1</v>
      </c>
    </row>
    <row r="641" spans="1:2" x14ac:dyDescent="0.3">
      <c r="A641" t="s">
        <v>555</v>
      </c>
      <c r="B641">
        <v>1</v>
      </c>
    </row>
    <row r="642" spans="1:2" x14ac:dyDescent="0.3">
      <c r="A642" t="s">
        <v>555</v>
      </c>
      <c r="B642">
        <v>1</v>
      </c>
    </row>
    <row r="643" spans="1:2" x14ac:dyDescent="0.3">
      <c r="A643" t="s">
        <v>545</v>
      </c>
      <c r="B643">
        <v>1</v>
      </c>
    </row>
    <row r="644" spans="1:2" x14ac:dyDescent="0.3">
      <c r="A644" t="s">
        <v>545</v>
      </c>
      <c r="B644">
        <v>1</v>
      </c>
    </row>
    <row r="645" spans="1:2" x14ac:dyDescent="0.3">
      <c r="A645" t="s">
        <v>545</v>
      </c>
      <c r="B645">
        <v>1</v>
      </c>
    </row>
    <row r="646" spans="1:2" x14ac:dyDescent="0.3">
      <c r="A646" t="s">
        <v>545</v>
      </c>
      <c r="B646">
        <v>1</v>
      </c>
    </row>
    <row r="647" spans="1:2" x14ac:dyDescent="0.3">
      <c r="A647" t="s">
        <v>556</v>
      </c>
      <c r="B647">
        <v>1</v>
      </c>
    </row>
    <row r="648" spans="1:2" x14ac:dyDescent="0.3">
      <c r="A648" t="s">
        <v>556</v>
      </c>
      <c r="B648">
        <v>1</v>
      </c>
    </row>
    <row r="649" spans="1:2" x14ac:dyDescent="0.3">
      <c r="A649" t="s">
        <v>556</v>
      </c>
      <c r="B649">
        <v>1</v>
      </c>
    </row>
    <row r="650" spans="1:2" x14ac:dyDescent="0.3">
      <c r="A650" t="s">
        <v>556</v>
      </c>
      <c r="B650">
        <v>1</v>
      </c>
    </row>
    <row r="651" spans="1:2" x14ac:dyDescent="0.3">
      <c r="A651" t="s">
        <v>547</v>
      </c>
      <c r="B651">
        <v>1</v>
      </c>
    </row>
    <row r="652" spans="1:2" x14ac:dyDescent="0.3">
      <c r="A652" t="s">
        <v>547</v>
      </c>
      <c r="B652">
        <v>1</v>
      </c>
    </row>
    <row r="653" spans="1:2" x14ac:dyDescent="0.3">
      <c r="A653" t="s">
        <v>547</v>
      </c>
      <c r="B653">
        <v>1</v>
      </c>
    </row>
    <row r="654" spans="1:2" x14ac:dyDescent="0.3">
      <c r="A654" t="s">
        <v>547</v>
      </c>
      <c r="B654">
        <v>1</v>
      </c>
    </row>
    <row r="655" spans="1:2" x14ac:dyDescent="0.3">
      <c r="A655" t="s">
        <v>547</v>
      </c>
      <c r="B655">
        <v>1</v>
      </c>
    </row>
    <row r="656" spans="1:2" x14ac:dyDescent="0.3">
      <c r="A656" t="s">
        <v>548</v>
      </c>
      <c r="B656">
        <v>1</v>
      </c>
    </row>
    <row r="657" spans="1:2" x14ac:dyDescent="0.3">
      <c r="A657" t="s">
        <v>548</v>
      </c>
      <c r="B657">
        <v>1</v>
      </c>
    </row>
    <row r="658" spans="1:2" x14ac:dyDescent="0.3">
      <c r="A658" t="s">
        <v>548</v>
      </c>
      <c r="B658">
        <v>1</v>
      </c>
    </row>
    <row r="659" spans="1:2" x14ac:dyDescent="0.3">
      <c r="A659" t="s">
        <v>548</v>
      </c>
      <c r="B659">
        <v>1</v>
      </c>
    </row>
    <row r="660" spans="1:2" x14ac:dyDescent="0.3">
      <c r="A660" t="s">
        <v>546</v>
      </c>
      <c r="B660">
        <v>1</v>
      </c>
    </row>
    <row r="661" spans="1:2" x14ac:dyDescent="0.3">
      <c r="A661" t="s">
        <v>546</v>
      </c>
      <c r="B661">
        <v>1</v>
      </c>
    </row>
    <row r="662" spans="1:2" x14ac:dyDescent="0.3">
      <c r="A662" t="s">
        <v>546</v>
      </c>
      <c r="B662">
        <v>1</v>
      </c>
    </row>
    <row r="663" spans="1:2" x14ac:dyDescent="0.3">
      <c r="A663" t="s">
        <v>546</v>
      </c>
      <c r="B663">
        <v>1</v>
      </c>
    </row>
    <row r="664" spans="1:2" x14ac:dyDescent="0.3">
      <c r="A664" t="s">
        <v>550</v>
      </c>
      <c r="B664">
        <v>1</v>
      </c>
    </row>
    <row r="665" spans="1:2" x14ac:dyDescent="0.3">
      <c r="A665" t="s">
        <v>550</v>
      </c>
      <c r="B665">
        <v>1</v>
      </c>
    </row>
    <row r="666" spans="1:2" x14ac:dyDescent="0.3">
      <c r="A666" t="s">
        <v>550</v>
      </c>
      <c r="B666">
        <v>1</v>
      </c>
    </row>
    <row r="667" spans="1:2" x14ac:dyDescent="0.3">
      <c r="A667" t="s">
        <v>551</v>
      </c>
      <c r="B667">
        <v>1</v>
      </c>
    </row>
    <row r="668" spans="1:2" x14ac:dyDescent="0.3">
      <c r="A668" t="s">
        <v>551</v>
      </c>
      <c r="B668">
        <v>1</v>
      </c>
    </row>
    <row r="669" spans="1:2" x14ac:dyDescent="0.3">
      <c r="A669" t="s">
        <v>551</v>
      </c>
      <c r="B669">
        <v>1</v>
      </c>
    </row>
    <row r="670" spans="1:2" x14ac:dyDescent="0.3">
      <c r="A670" t="s">
        <v>551</v>
      </c>
      <c r="B670">
        <v>1</v>
      </c>
    </row>
    <row r="671" spans="1:2" x14ac:dyDescent="0.3">
      <c r="A671" t="s">
        <v>552</v>
      </c>
      <c r="B671">
        <v>1</v>
      </c>
    </row>
    <row r="672" spans="1:2" x14ac:dyDescent="0.3">
      <c r="A672" t="s">
        <v>552</v>
      </c>
      <c r="B672">
        <v>1</v>
      </c>
    </row>
    <row r="673" spans="1:2" x14ac:dyDescent="0.3">
      <c r="A673" t="s">
        <v>552</v>
      </c>
      <c r="B673">
        <v>1</v>
      </c>
    </row>
    <row r="674" spans="1:2" x14ac:dyDescent="0.3">
      <c r="A674" t="s">
        <v>552</v>
      </c>
      <c r="B674">
        <v>1</v>
      </c>
    </row>
    <row r="675" spans="1:2" x14ac:dyDescent="0.3">
      <c r="A675" t="s">
        <v>553</v>
      </c>
      <c r="B675">
        <v>1</v>
      </c>
    </row>
    <row r="676" spans="1:2" x14ac:dyDescent="0.3">
      <c r="A676" t="s">
        <v>553</v>
      </c>
      <c r="B676">
        <v>1</v>
      </c>
    </row>
    <row r="677" spans="1:2" x14ac:dyDescent="0.3">
      <c r="A677" t="s">
        <v>553</v>
      </c>
      <c r="B677">
        <v>1</v>
      </c>
    </row>
    <row r="678" spans="1:2" x14ac:dyDescent="0.3">
      <c r="A678" t="s">
        <v>549</v>
      </c>
      <c r="B678">
        <v>1</v>
      </c>
    </row>
    <row r="679" spans="1:2" x14ac:dyDescent="0.3">
      <c r="A679" t="s">
        <v>549</v>
      </c>
      <c r="B679">
        <v>1</v>
      </c>
    </row>
    <row r="680" spans="1:2" x14ac:dyDescent="0.3">
      <c r="A680" t="s">
        <v>549</v>
      </c>
      <c r="B680">
        <v>1</v>
      </c>
    </row>
    <row r="681" spans="1:2" x14ac:dyDescent="0.3">
      <c r="A681" t="s">
        <v>549</v>
      </c>
      <c r="B681">
        <v>1</v>
      </c>
    </row>
    <row r="682" spans="1:2" x14ac:dyDescent="0.3">
      <c r="A682" t="s">
        <v>549</v>
      </c>
      <c r="B682">
        <v>1</v>
      </c>
    </row>
    <row r="683" spans="1:2" x14ac:dyDescent="0.3">
      <c r="A683" t="s">
        <v>549</v>
      </c>
      <c r="B683">
        <v>1</v>
      </c>
    </row>
    <row r="684" spans="1:2" x14ac:dyDescent="0.3">
      <c r="A684" t="s">
        <v>549</v>
      </c>
      <c r="B684">
        <v>1</v>
      </c>
    </row>
    <row r="685" spans="1:2" x14ac:dyDescent="0.3">
      <c r="A685" t="s">
        <v>549</v>
      </c>
      <c r="B685">
        <v>1</v>
      </c>
    </row>
    <row r="686" spans="1:2" x14ac:dyDescent="0.3">
      <c r="A686" t="s">
        <v>496</v>
      </c>
      <c r="B686">
        <v>1</v>
      </c>
    </row>
    <row r="687" spans="1:2" x14ac:dyDescent="0.3">
      <c r="A687" t="s">
        <v>496</v>
      </c>
      <c r="B687">
        <v>1</v>
      </c>
    </row>
    <row r="688" spans="1:2" x14ac:dyDescent="0.3">
      <c r="A688" t="s">
        <v>496</v>
      </c>
      <c r="B688">
        <v>1</v>
      </c>
    </row>
    <row r="689" spans="1:2" x14ac:dyDescent="0.3">
      <c r="A689" t="s">
        <v>496</v>
      </c>
      <c r="B689">
        <v>1</v>
      </c>
    </row>
    <row r="690" spans="1:2" x14ac:dyDescent="0.3">
      <c r="A690" t="s">
        <v>496</v>
      </c>
      <c r="B690">
        <v>1</v>
      </c>
    </row>
    <row r="691" spans="1:2" x14ac:dyDescent="0.3">
      <c r="A691" t="s">
        <v>497</v>
      </c>
      <c r="B691">
        <v>1</v>
      </c>
    </row>
    <row r="692" spans="1:2" x14ac:dyDescent="0.3">
      <c r="A692" t="s">
        <v>497</v>
      </c>
      <c r="B692">
        <v>1</v>
      </c>
    </row>
    <row r="693" spans="1:2" x14ac:dyDescent="0.3">
      <c r="A693" t="s">
        <v>497</v>
      </c>
      <c r="B693">
        <v>1</v>
      </c>
    </row>
    <row r="694" spans="1:2" x14ac:dyDescent="0.3">
      <c r="A694" t="s">
        <v>498</v>
      </c>
      <c r="B694">
        <v>1</v>
      </c>
    </row>
    <row r="695" spans="1:2" x14ac:dyDescent="0.3">
      <c r="A695" t="s">
        <v>498</v>
      </c>
      <c r="B695">
        <v>1</v>
      </c>
    </row>
    <row r="696" spans="1:2" x14ac:dyDescent="0.3">
      <c r="A696" t="s">
        <v>498</v>
      </c>
      <c r="B696">
        <v>1</v>
      </c>
    </row>
    <row r="697" spans="1:2" x14ac:dyDescent="0.3">
      <c r="A697" t="s">
        <v>498</v>
      </c>
      <c r="B697">
        <v>1</v>
      </c>
    </row>
    <row r="698" spans="1:2" x14ac:dyDescent="0.3">
      <c r="A698" t="s">
        <v>499</v>
      </c>
      <c r="B698">
        <v>1</v>
      </c>
    </row>
    <row r="699" spans="1:2" x14ac:dyDescent="0.3">
      <c r="A699" t="s">
        <v>499</v>
      </c>
      <c r="B699">
        <v>1</v>
      </c>
    </row>
    <row r="700" spans="1:2" x14ac:dyDescent="0.3">
      <c r="A700" t="s">
        <v>499</v>
      </c>
      <c r="B700">
        <v>1</v>
      </c>
    </row>
    <row r="701" spans="1:2" x14ac:dyDescent="0.3">
      <c r="A701" t="s">
        <v>499</v>
      </c>
      <c r="B701">
        <v>1</v>
      </c>
    </row>
    <row r="702" spans="1:2" x14ac:dyDescent="0.3">
      <c r="A702" t="s">
        <v>500</v>
      </c>
      <c r="B702">
        <v>1</v>
      </c>
    </row>
    <row r="703" spans="1:2" x14ac:dyDescent="0.3">
      <c r="A703" t="s">
        <v>500</v>
      </c>
      <c r="B703">
        <v>1</v>
      </c>
    </row>
    <row r="704" spans="1:2" x14ac:dyDescent="0.3">
      <c r="A704" t="s">
        <v>500</v>
      </c>
      <c r="B704">
        <v>1</v>
      </c>
    </row>
    <row r="705" spans="1:2" x14ac:dyDescent="0.3">
      <c r="A705" t="s">
        <v>500</v>
      </c>
      <c r="B705">
        <v>1</v>
      </c>
    </row>
    <row r="706" spans="1:2" x14ac:dyDescent="0.3">
      <c r="A706" t="s">
        <v>502</v>
      </c>
      <c r="B706">
        <v>1</v>
      </c>
    </row>
    <row r="707" spans="1:2" x14ac:dyDescent="0.3">
      <c r="A707" t="s">
        <v>502</v>
      </c>
      <c r="B707">
        <v>1</v>
      </c>
    </row>
    <row r="708" spans="1:2" x14ac:dyDescent="0.3">
      <c r="A708" t="s">
        <v>502</v>
      </c>
      <c r="B708">
        <v>1</v>
      </c>
    </row>
    <row r="709" spans="1:2" x14ac:dyDescent="0.3">
      <c r="A709" t="s">
        <v>502</v>
      </c>
      <c r="B709">
        <v>1</v>
      </c>
    </row>
    <row r="710" spans="1:2" x14ac:dyDescent="0.3">
      <c r="A710" t="s">
        <v>504</v>
      </c>
      <c r="B710">
        <v>1</v>
      </c>
    </row>
    <row r="711" spans="1:2" x14ac:dyDescent="0.3">
      <c r="A711" t="s">
        <v>504</v>
      </c>
      <c r="B711">
        <v>1</v>
      </c>
    </row>
    <row r="712" spans="1:2" x14ac:dyDescent="0.3">
      <c r="A712" t="s">
        <v>505</v>
      </c>
      <c r="B712">
        <v>1</v>
      </c>
    </row>
    <row r="713" spans="1:2" x14ac:dyDescent="0.3">
      <c r="A713" t="s">
        <v>505</v>
      </c>
      <c r="B713">
        <v>1</v>
      </c>
    </row>
    <row r="714" spans="1:2" x14ac:dyDescent="0.3">
      <c r="A714" t="s">
        <v>505</v>
      </c>
      <c r="B714">
        <v>1</v>
      </c>
    </row>
    <row r="715" spans="1:2" x14ac:dyDescent="0.3">
      <c r="A715" t="s">
        <v>505</v>
      </c>
      <c r="B715">
        <v>1</v>
      </c>
    </row>
    <row r="716" spans="1:2" x14ac:dyDescent="0.3">
      <c r="A716" t="s">
        <v>506</v>
      </c>
      <c r="B716">
        <v>1</v>
      </c>
    </row>
    <row r="717" spans="1:2" x14ac:dyDescent="0.3">
      <c r="A717" t="s">
        <v>506</v>
      </c>
      <c r="B717">
        <v>1</v>
      </c>
    </row>
    <row r="718" spans="1:2" x14ac:dyDescent="0.3">
      <c r="A718" t="s">
        <v>507</v>
      </c>
      <c r="B718">
        <v>1</v>
      </c>
    </row>
    <row r="719" spans="1:2" x14ac:dyDescent="0.3">
      <c r="A719" t="s">
        <v>507</v>
      </c>
      <c r="B719">
        <v>1</v>
      </c>
    </row>
    <row r="720" spans="1:2" x14ac:dyDescent="0.3">
      <c r="A720" t="s">
        <v>507</v>
      </c>
      <c r="B720">
        <v>1</v>
      </c>
    </row>
    <row r="721" spans="1:2" x14ac:dyDescent="0.3">
      <c r="A721" t="s">
        <v>508</v>
      </c>
      <c r="B721">
        <v>1</v>
      </c>
    </row>
    <row r="722" spans="1:2" x14ac:dyDescent="0.3">
      <c r="A722" t="s">
        <v>508</v>
      </c>
      <c r="B722">
        <v>1</v>
      </c>
    </row>
    <row r="723" spans="1:2" x14ac:dyDescent="0.3">
      <c r="A723" t="s">
        <v>508</v>
      </c>
      <c r="B723">
        <v>1</v>
      </c>
    </row>
    <row r="724" spans="1:2" x14ac:dyDescent="0.3">
      <c r="A724" t="s">
        <v>508</v>
      </c>
      <c r="B724">
        <v>1</v>
      </c>
    </row>
    <row r="725" spans="1:2" x14ac:dyDescent="0.3">
      <c r="A725" t="s">
        <v>503</v>
      </c>
      <c r="B725">
        <v>1</v>
      </c>
    </row>
    <row r="726" spans="1:2" x14ac:dyDescent="0.3">
      <c r="A726" t="s">
        <v>503</v>
      </c>
      <c r="B726">
        <v>1</v>
      </c>
    </row>
    <row r="727" spans="1:2" x14ac:dyDescent="0.3">
      <c r="A727" t="s">
        <v>503</v>
      </c>
      <c r="B727">
        <v>1</v>
      </c>
    </row>
    <row r="728" spans="1:2" x14ac:dyDescent="0.3">
      <c r="A728" t="s">
        <v>503</v>
      </c>
      <c r="B728">
        <v>1</v>
      </c>
    </row>
    <row r="729" spans="1:2" x14ac:dyDescent="0.3">
      <c r="A729" t="s">
        <v>503</v>
      </c>
      <c r="B729">
        <v>1</v>
      </c>
    </row>
    <row r="730" spans="1:2" x14ac:dyDescent="0.3">
      <c r="A730" t="s">
        <v>503</v>
      </c>
      <c r="B730">
        <v>1</v>
      </c>
    </row>
    <row r="731" spans="1:2" x14ac:dyDescent="0.3">
      <c r="A731" t="s">
        <v>503</v>
      </c>
      <c r="B731">
        <v>1</v>
      </c>
    </row>
    <row r="732" spans="1:2" x14ac:dyDescent="0.3">
      <c r="A732" t="s">
        <v>503</v>
      </c>
      <c r="B732">
        <v>1</v>
      </c>
    </row>
    <row r="733" spans="1:2" x14ac:dyDescent="0.3">
      <c r="A733" t="s">
        <v>501</v>
      </c>
      <c r="B733">
        <v>1</v>
      </c>
    </row>
    <row r="734" spans="1:2" x14ac:dyDescent="0.3">
      <c r="A734" t="s">
        <v>501</v>
      </c>
      <c r="B734">
        <v>1</v>
      </c>
    </row>
    <row r="735" spans="1:2" x14ac:dyDescent="0.3">
      <c r="A735" t="s">
        <v>501</v>
      </c>
      <c r="B735">
        <v>1</v>
      </c>
    </row>
    <row r="736" spans="1:2" x14ac:dyDescent="0.3">
      <c r="A736" t="s">
        <v>501</v>
      </c>
      <c r="B736">
        <v>1</v>
      </c>
    </row>
  </sheetData>
  <pageMargins left="0.7" right="0.7" top="0.75" bottom="0.75" header="0.3" footer="0.3"/>
  <pageSetup paperSize="9" orientation="portrait" verticalDpi="0"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A31"/>
  <sheetViews>
    <sheetView topLeftCell="A4" workbookViewId="0">
      <selection activeCell="A23" sqref="A23"/>
    </sheetView>
  </sheetViews>
  <sheetFormatPr defaultRowHeight="14.4" x14ac:dyDescent="0.3"/>
  <cols>
    <col min="1" max="1" width="100.33203125" customWidth="1"/>
  </cols>
  <sheetData>
    <row r="1" spans="1:1" x14ac:dyDescent="0.3">
      <c r="A1" s="84" t="s">
        <v>376</v>
      </c>
    </row>
    <row r="2" spans="1:1" x14ac:dyDescent="0.3">
      <c r="A2" s="7" t="s">
        <v>377</v>
      </c>
    </row>
    <row r="3" spans="1:1" ht="14.85" x14ac:dyDescent="0.3">
      <c r="A3" s="86"/>
    </row>
    <row r="4" spans="1:1" ht="14.85" x14ac:dyDescent="0.3">
      <c r="A4" s="87" t="s">
        <v>378</v>
      </c>
    </row>
    <row r="5" spans="1:1" ht="28.8" x14ac:dyDescent="0.3">
      <c r="A5" s="129" t="s">
        <v>379</v>
      </c>
    </row>
    <row r="6" spans="1:1" x14ac:dyDescent="0.3">
      <c r="A6" s="129" t="s">
        <v>380</v>
      </c>
    </row>
    <row r="7" spans="1:1" x14ac:dyDescent="0.3">
      <c r="A7" s="129" t="s">
        <v>381</v>
      </c>
    </row>
    <row r="8" spans="1:1" ht="43.2" x14ac:dyDescent="0.3">
      <c r="A8" s="130" t="s">
        <v>382</v>
      </c>
    </row>
    <row r="9" spans="1:1" x14ac:dyDescent="0.3">
      <c r="A9" s="129" t="s">
        <v>383</v>
      </c>
    </row>
    <row r="10" spans="1:1" ht="28.8" x14ac:dyDescent="0.3">
      <c r="A10" s="129" t="s">
        <v>384</v>
      </c>
    </row>
    <row r="11" spans="1:1" x14ac:dyDescent="0.3">
      <c r="A11" s="129" t="s">
        <v>385</v>
      </c>
    </row>
    <row r="12" spans="1:1" ht="28.8" x14ac:dyDescent="0.3">
      <c r="A12" s="129" t="s">
        <v>386</v>
      </c>
    </row>
    <row r="13" spans="1:1" ht="28.8" x14ac:dyDescent="0.3">
      <c r="A13" s="129" t="s">
        <v>387</v>
      </c>
    </row>
    <row r="14" spans="1:1" ht="28.8" x14ac:dyDescent="0.3">
      <c r="A14" s="129" t="s">
        <v>388</v>
      </c>
    </row>
    <row r="15" spans="1:1" ht="28.8" x14ac:dyDescent="0.3">
      <c r="A15" s="129" t="s">
        <v>389</v>
      </c>
    </row>
    <row r="16" spans="1:1" ht="28.8" x14ac:dyDescent="0.3">
      <c r="A16" s="129" t="s">
        <v>390</v>
      </c>
    </row>
    <row r="17" spans="1:1" x14ac:dyDescent="0.3">
      <c r="A17" s="129" t="s">
        <v>391</v>
      </c>
    </row>
    <row r="18" spans="1:1" x14ac:dyDescent="0.3">
      <c r="A18" s="85" t="s">
        <v>392</v>
      </c>
    </row>
    <row r="19" spans="1:1" x14ac:dyDescent="0.3">
      <c r="A19" s="85" t="s">
        <v>393</v>
      </c>
    </row>
    <row r="20" spans="1:1" x14ac:dyDescent="0.3">
      <c r="A20" s="85" t="s">
        <v>394</v>
      </c>
    </row>
    <row r="21" spans="1:1" x14ac:dyDescent="0.3">
      <c r="A21" s="85" t="s">
        <v>395</v>
      </c>
    </row>
    <row r="22" spans="1:1" x14ac:dyDescent="0.3">
      <c r="A22" s="85" t="s">
        <v>396</v>
      </c>
    </row>
    <row r="23" spans="1:1" x14ac:dyDescent="0.3">
      <c r="A23" s="85" t="s">
        <v>397</v>
      </c>
    </row>
    <row r="24" spans="1:1" x14ac:dyDescent="0.3">
      <c r="A24" s="128" t="s">
        <v>398</v>
      </c>
    </row>
    <row r="25" spans="1:1" ht="28.8" x14ac:dyDescent="0.3">
      <c r="A25" s="129" t="s">
        <v>399</v>
      </c>
    </row>
    <row r="26" spans="1:1" ht="43.2" x14ac:dyDescent="0.3">
      <c r="A26" s="129" t="s">
        <v>400</v>
      </c>
    </row>
    <row r="27" spans="1:1" ht="43.2" x14ac:dyDescent="0.3">
      <c r="A27" s="129" t="s">
        <v>401</v>
      </c>
    </row>
    <row r="28" spans="1:1" x14ac:dyDescent="0.3">
      <c r="A28" s="130" t="s">
        <v>402</v>
      </c>
    </row>
    <row r="29" spans="1:1" x14ac:dyDescent="0.3">
      <c r="A29" s="85"/>
    </row>
    <row r="30" spans="1:1" x14ac:dyDescent="0.3">
      <c r="A30" s="85" t="s">
        <v>403</v>
      </c>
    </row>
    <row r="31" spans="1:1" x14ac:dyDescent="0.3">
      <c r="A31" s="85" t="s">
        <v>404</v>
      </c>
    </row>
  </sheetData>
  <pageMargins left="0.31496062992125984" right="0.19685039370078741" top="0.74803149606299213" bottom="0.74803149606299213" header="0.31496062992125984" footer="0.31496062992125984"/>
  <pageSetup paperSize="9" scale="97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4"/>
  <sheetViews>
    <sheetView workbookViewId="0">
      <selection activeCell="C1" sqref="C1"/>
    </sheetView>
  </sheetViews>
  <sheetFormatPr defaultRowHeight="14.4" x14ac:dyDescent="0.3"/>
  <cols>
    <col min="1" max="1" width="11.33203125" bestFit="1" customWidth="1"/>
    <col min="3" max="3" width="17.44140625" bestFit="1" customWidth="1"/>
  </cols>
  <sheetData>
    <row r="1" spans="1:10" x14ac:dyDescent="0.3">
      <c r="A1" t="s">
        <v>408</v>
      </c>
      <c r="B1" t="s">
        <v>406</v>
      </c>
      <c r="C1" t="str">
        <f>A1&amp;", "&amp;B1</f>
        <v>Mátó Katalin, Katana</v>
      </c>
    </row>
    <row r="14" spans="1:10" ht="14.85" x14ac:dyDescent="0.3">
      <c r="J14" t="s">
        <v>475</v>
      </c>
    </row>
    <row r="15" spans="1:10" ht="15.6" x14ac:dyDescent="0.3">
      <c r="J15" s="95" t="s">
        <v>465</v>
      </c>
    </row>
    <row r="16" spans="1:10" ht="15.6" x14ac:dyDescent="0.3">
      <c r="J16" s="95" t="s">
        <v>466</v>
      </c>
    </row>
    <row r="17" spans="10:10" ht="15.6" x14ac:dyDescent="0.3">
      <c r="J17" s="95" t="s">
        <v>467</v>
      </c>
    </row>
    <row r="18" spans="10:10" ht="15.6" x14ac:dyDescent="0.3">
      <c r="J18" s="95" t="s">
        <v>468</v>
      </c>
    </row>
    <row r="19" spans="10:10" ht="15.6" x14ac:dyDescent="0.3">
      <c r="J19" s="95" t="s">
        <v>469</v>
      </c>
    </row>
    <row r="20" spans="10:10" ht="15.6" x14ac:dyDescent="0.3">
      <c r="J20" s="95" t="s">
        <v>470</v>
      </c>
    </row>
    <row r="21" spans="10:10" ht="15.6" x14ac:dyDescent="0.3">
      <c r="J21" s="95" t="s">
        <v>471</v>
      </c>
    </row>
    <row r="22" spans="10:10" ht="15.6" x14ac:dyDescent="0.3">
      <c r="J22" s="95" t="s">
        <v>472</v>
      </c>
    </row>
    <row r="23" spans="10:10" ht="15.6" x14ac:dyDescent="0.3">
      <c r="J23" s="95" t="s">
        <v>473</v>
      </c>
    </row>
    <row r="24" spans="10:10" ht="15.6" x14ac:dyDescent="0.3">
      <c r="J24" s="95" t="s">
        <v>474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572"/>
  <sheetViews>
    <sheetView zoomScale="70" zoomScaleNormal="70" workbookViewId="0">
      <pane xSplit="1" ySplit="1" topLeftCell="C1245" activePane="bottomRight" state="frozen"/>
      <selection pane="topRight" activeCell="B1" sqref="B1"/>
      <selection pane="bottomLeft" activeCell="A2" sqref="A2"/>
      <selection pane="bottomRight" activeCell="C1260" sqref="C1260:C1281"/>
    </sheetView>
  </sheetViews>
  <sheetFormatPr defaultColWidth="6.5546875" defaultRowHeight="14.4" x14ac:dyDescent="0.3"/>
  <cols>
    <col min="1" max="1" width="30.109375" style="83" customWidth="1"/>
    <col min="2" max="2" width="6.5546875" style="92"/>
    <col min="3" max="3" width="6.44140625" style="83" customWidth="1"/>
    <col min="4" max="4" width="8.5546875" style="83" customWidth="1"/>
    <col min="5" max="5" width="38.44140625" style="83" customWidth="1"/>
    <col min="6" max="6" width="34.33203125" style="83" customWidth="1"/>
    <col min="7" max="7" width="8.21875" style="145" customWidth="1"/>
    <col min="8" max="8" width="27.109375" style="83" customWidth="1"/>
    <col min="9" max="9" width="11.77734375" style="92" customWidth="1"/>
    <col min="10" max="10" width="24.109375" style="83" customWidth="1"/>
    <col min="11" max="11" width="23" style="83" customWidth="1"/>
    <col min="12" max="12" width="6.5546875" style="83" customWidth="1"/>
    <col min="13" max="13" width="6.5546875" style="164" customWidth="1"/>
    <col min="14" max="14" width="33.33203125" style="99" customWidth="1"/>
    <col min="15" max="15" width="16.33203125" style="83" customWidth="1"/>
    <col min="16" max="16" width="11.77734375" style="83" customWidth="1"/>
    <col min="17" max="17" width="38.6640625" style="83" customWidth="1"/>
    <col min="18" max="18" width="17" style="83" customWidth="1"/>
    <col min="19" max="19" width="18" style="83" customWidth="1"/>
    <col min="20" max="20" width="11.77734375" style="83" customWidth="1"/>
    <col min="21" max="21" width="14.109375" style="83" customWidth="1"/>
    <col min="22" max="22" width="15.6640625" style="83" bestFit="1" customWidth="1"/>
    <col min="23" max="16384" width="6.5546875" style="83"/>
  </cols>
  <sheetData>
    <row r="1" spans="1:22" s="143" customFormat="1" ht="28.35" customHeight="1" x14ac:dyDescent="0.3">
      <c r="A1" s="143" t="s">
        <v>124</v>
      </c>
      <c r="B1" s="143" t="s">
        <v>405</v>
      </c>
      <c r="C1" s="143" t="s">
        <v>125</v>
      </c>
      <c r="D1" s="143" t="s">
        <v>0</v>
      </c>
      <c r="E1" s="143" t="s">
        <v>464</v>
      </c>
      <c r="F1" s="143" t="s">
        <v>483</v>
      </c>
      <c r="G1" s="144" t="s">
        <v>1</v>
      </c>
      <c r="H1" s="143" t="s">
        <v>2</v>
      </c>
      <c r="I1" s="144" t="s">
        <v>3</v>
      </c>
      <c r="J1" s="143" t="s">
        <v>735</v>
      </c>
      <c r="K1" s="143" t="s">
        <v>5</v>
      </c>
      <c r="L1" s="143" t="s">
        <v>6</v>
      </c>
      <c r="M1" s="162" t="s">
        <v>152</v>
      </c>
      <c r="N1" s="146" t="s">
        <v>153</v>
      </c>
      <c r="O1" s="143" t="s">
        <v>242</v>
      </c>
      <c r="P1" s="143" t="s">
        <v>241</v>
      </c>
      <c r="Q1" s="143" t="s">
        <v>407</v>
      </c>
      <c r="R1" s="143" t="s">
        <v>557</v>
      </c>
      <c r="S1" s="143" t="s">
        <v>729</v>
      </c>
      <c r="T1" s="143" t="s">
        <v>643</v>
      </c>
      <c r="U1" s="143" t="s">
        <v>699</v>
      </c>
      <c r="V1" s="143" t="s">
        <v>700</v>
      </c>
    </row>
    <row r="2" spans="1:22" s="154" customFormat="1" x14ac:dyDescent="0.3">
      <c r="A2" s="154" t="s">
        <v>741</v>
      </c>
      <c r="B2" s="155" t="s">
        <v>157</v>
      </c>
      <c r="C2" s="154">
        <v>1</v>
      </c>
      <c r="D2" s="156" t="str">
        <f t="shared" ref="D2:D30" si="0">"Kumite"</f>
        <v>Kumite</v>
      </c>
      <c r="E2" s="156" t="str">
        <f>"Kumite, Felnőtt férfi 70-79,9kg"</f>
        <v>Kumite, Felnőtt férfi 70-79,9kg</v>
      </c>
      <c r="F2" s="154" t="s">
        <v>487</v>
      </c>
      <c r="G2" s="157" t="str">
        <f>"4"</f>
        <v>4</v>
      </c>
      <c r="H2" s="156" t="str">
        <f>"4 fős körmérkőzés"</f>
        <v>4 fős körmérkőzés</v>
      </c>
      <c r="I2" s="157" t="str">
        <f>"1"</f>
        <v>1</v>
      </c>
      <c r="J2" s="156" t="str">
        <f>"Fekete Gergely"</f>
        <v>Fekete Gergely</v>
      </c>
      <c r="K2" s="156" t="str">
        <f>"Victory"</f>
        <v>Victory</v>
      </c>
      <c r="L2" s="156" t="str">
        <f t="shared" ref="L2:L72" si="1">"HUN"</f>
        <v>HUN</v>
      </c>
      <c r="M2" s="163">
        <v>12</v>
      </c>
      <c r="N2" s="158"/>
      <c r="O2" s="154" t="s">
        <v>745</v>
      </c>
      <c r="P2" s="159">
        <v>46067</v>
      </c>
      <c r="Q2" s="154" t="str">
        <f>J2&amp;" - "&amp;K2</f>
        <v>Fekete Gergely - Victory</v>
      </c>
      <c r="R2" s="154" t="s">
        <v>636</v>
      </c>
      <c r="S2" s="154" t="str">
        <f>K2</f>
        <v>Victory</v>
      </c>
      <c r="T2" s="154" t="s">
        <v>644</v>
      </c>
      <c r="U2" s="154" t="s">
        <v>644</v>
      </c>
    </row>
    <row r="3" spans="1:22" s="154" customFormat="1" x14ac:dyDescent="0.3">
      <c r="A3" s="154" t="s">
        <v>741</v>
      </c>
      <c r="B3" s="155" t="s">
        <v>157</v>
      </c>
      <c r="C3" s="154">
        <v>2</v>
      </c>
      <c r="D3" s="156" t="str">
        <f t="shared" si="0"/>
        <v>Kumite</v>
      </c>
      <c r="E3" s="156" t="str">
        <f>"Kumite, Felnőtt férfi 70-79,9kg"</f>
        <v>Kumite, Felnőtt férfi 70-79,9kg</v>
      </c>
      <c r="F3" s="154" t="s">
        <v>487</v>
      </c>
      <c r="G3" s="157" t="str">
        <f>"4"</f>
        <v>4</v>
      </c>
      <c r="H3" s="156" t="str">
        <f>"4 fős körmérkőzés"</f>
        <v>4 fős körmérkőzés</v>
      </c>
      <c r="I3" s="157" t="str">
        <f>"2"</f>
        <v>2</v>
      </c>
      <c r="J3" s="156" t="str">
        <f>"Ujvári Bálint"</f>
        <v>Ujvári Bálint</v>
      </c>
      <c r="K3" s="156" t="str">
        <f>"Ippon KKSE"</f>
        <v>Ippon KKSE</v>
      </c>
      <c r="L3" s="156" t="str">
        <f t="shared" si="1"/>
        <v>HUN</v>
      </c>
      <c r="M3" s="163">
        <v>9</v>
      </c>
      <c r="N3" s="158"/>
      <c r="O3" s="154" t="s">
        <v>745</v>
      </c>
      <c r="P3" s="159">
        <v>46067</v>
      </c>
      <c r="Q3" s="154" t="str">
        <f t="shared" ref="Q3:Q67" si="2">J3&amp;" - "&amp;K3</f>
        <v>Ujvári Bálint - Ippon KKSE</v>
      </c>
      <c r="R3" s="154" t="s">
        <v>636</v>
      </c>
      <c r="S3" s="154" t="str">
        <f t="shared" ref="S3:S25" si="3">K3</f>
        <v>Ippon KKSE</v>
      </c>
      <c r="T3" s="154" t="s">
        <v>644</v>
      </c>
      <c r="U3" s="154" t="s">
        <v>644</v>
      </c>
    </row>
    <row r="4" spans="1:22" s="154" customFormat="1" x14ac:dyDescent="0.3">
      <c r="A4" s="154" t="s">
        <v>741</v>
      </c>
      <c r="B4" s="155" t="s">
        <v>157</v>
      </c>
      <c r="C4" s="154">
        <v>3</v>
      </c>
      <c r="D4" s="156" t="str">
        <f t="shared" si="0"/>
        <v>Kumite</v>
      </c>
      <c r="E4" s="156" t="str">
        <f>"Kumite, Felnőtt férfi 70-79,9kg"</f>
        <v>Kumite, Felnőtt férfi 70-79,9kg</v>
      </c>
      <c r="F4" s="154" t="s">
        <v>487</v>
      </c>
      <c r="G4" s="157" t="str">
        <f>"4"</f>
        <v>4</v>
      </c>
      <c r="H4" s="156" t="str">
        <f>"4 fős körmérkőzés"</f>
        <v>4 fős körmérkőzés</v>
      </c>
      <c r="I4" s="157" t="str">
        <f>"3"</f>
        <v>3</v>
      </c>
      <c r="J4" s="156" t="str">
        <f>"Rétfalvi Tamás"</f>
        <v>Rétfalvi Tamás</v>
      </c>
      <c r="K4" s="156" t="str">
        <f>"Kisvárda KKDOSC"</f>
        <v>Kisvárda KKDOSC</v>
      </c>
      <c r="L4" s="156" t="str">
        <f t="shared" si="1"/>
        <v>HUN</v>
      </c>
      <c r="M4" s="163">
        <v>6</v>
      </c>
      <c r="N4" s="158"/>
      <c r="O4" s="154" t="s">
        <v>745</v>
      </c>
      <c r="P4" s="159">
        <v>46067</v>
      </c>
      <c r="Q4" s="154" t="str">
        <f t="shared" si="2"/>
        <v>Rétfalvi Tamás - Kisvárda KKDOSC</v>
      </c>
      <c r="R4" s="154" t="s">
        <v>636</v>
      </c>
      <c r="S4" s="154" t="str">
        <f t="shared" si="3"/>
        <v>Kisvárda KKDOSC</v>
      </c>
      <c r="T4" s="154" t="s">
        <v>644</v>
      </c>
      <c r="U4" s="154" t="s">
        <v>644</v>
      </c>
    </row>
    <row r="5" spans="1:22" s="154" customFormat="1" x14ac:dyDescent="0.3">
      <c r="A5" s="154" t="s">
        <v>741</v>
      </c>
      <c r="B5" s="155" t="s">
        <v>157</v>
      </c>
      <c r="C5" s="154">
        <v>4</v>
      </c>
      <c r="D5" s="156" t="str">
        <f t="shared" si="0"/>
        <v>Kumite</v>
      </c>
      <c r="E5" s="156" t="str">
        <f>"Kumite, Felnőtt férfi -59,9kg"</f>
        <v>Kumite, Felnőtt férfi -59,9kg</v>
      </c>
      <c r="F5" s="154" t="s">
        <v>485</v>
      </c>
      <c r="G5" s="157" t="str">
        <f t="shared" ref="G5:G10" si="4">"3"</f>
        <v>3</v>
      </c>
      <c r="H5" s="156" t="str">
        <f t="shared" ref="H5:H10" si="5">"3 fős körmérkőzés"</f>
        <v>3 fős körmérkőzés</v>
      </c>
      <c r="I5" s="157" t="str">
        <f>"1"</f>
        <v>1</v>
      </c>
      <c r="J5" s="156" t="str">
        <f>"Soltész Szabolcs"</f>
        <v>Soltész Szabolcs</v>
      </c>
      <c r="K5" s="156" t="str">
        <f>"Kisvárda KKDOSC"</f>
        <v>Kisvárda KKDOSC</v>
      </c>
      <c r="L5" s="156" t="str">
        <f t="shared" si="1"/>
        <v>HUN</v>
      </c>
      <c r="M5" s="163">
        <v>10</v>
      </c>
      <c r="N5" s="158"/>
      <c r="O5" s="154" t="s">
        <v>745</v>
      </c>
      <c r="P5" s="159">
        <v>46067</v>
      </c>
      <c r="Q5" s="154" t="str">
        <f t="shared" si="2"/>
        <v>Soltész Szabolcs - Kisvárda KKDOSC</v>
      </c>
      <c r="R5" s="154" t="s">
        <v>636</v>
      </c>
      <c r="S5" s="154" t="str">
        <f t="shared" si="3"/>
        <v>Kisvárda KKDOSC</v>
      </c>
      <c r="T5" s="154" t="s">
        <v>644</v>
      </c>
      <c r="U5" s="154" t="s">
        <v>644</v>
      </c>
    </row>
    <row r="6" spans="1:22" s="154" customFormat="1" x14ac:dyDescent="0.3">
      <c r="A6" s="154" t="s">
        <v>741</v>
      </c>
      <c r="B6" s="155" t="s">
        <v>157</v>
      </c>
      <c r="C6" s="154">
        <v>5</v>
      </c>
      <c r="D6" s="156" t="str">
        <f t="shared" si="0"/>
        <v>Kumite</v>
      </c>
      <c r="E6" s="156" t="str">
        <f>"Kumite, Felnőtt férfi -59,9kg"</f>
        <v>Kumite, Felnőtt férfi -59,9kg</v>
      </c>
      <c r="F6" s="154" t="s">
        <v>485</v>
      </c>
      <c r="G6" s="157" t="str">
        <f t="shared" si="4"/>
        <v>3</v>
      </c>
      <c r="H6" s="156" t="str">
        <f t="shared" si="5"/>
        <v>3 fős körmérkőzés</v>
      </c>
      <c r="I6" s="157" t="str">
        <f>"2"</f>
        <v>2</v>
      </c>
      <c r="J6" s="156" t="str">
        <f>"Feczkó Zoltán"</f>
        <v>Feczkó Zoltán</v>
      </c>
      <c r="K6" s="156" t="str">
        <f>"Shogun"</f>
        <v>Shogun</v>
      </c>
      <c r="L6" s="156" t="str">
        <f t="shared" si="1"/>
        <v>HUN</v>
      </c>
      <c r="M6" s="163">
        <v>6</v>
      </c>
      <c r="N6" s="158"/>
      <c r="O6" s="154" t="s">
        <v>745</v>
      </c>
      <c r="P6" s="159">
        <v>46067</v>
      </c>
      <c r="Q6" s="154" t="str">
        <f t="shared" si="2"/>
        <v>Feczkó Zoltán - Shogun</v>
      </c>
      <c r="R6" s="154" t="s">
        <v>636</v>
      </c>
      <c r="S6" s="154" t="str">
        <f t="shared" si="3"/>
        <v>Shogun</v>
      </c>
      <c r="T6" s="154" t="s">
        <v>644</v>
      </c>
      <c r="U6" s="154" t="s">
        <v>644</v>
      </c>
    </row>
    <row r="7" spans="1:22" s="154" customFormat="1" x14ac:dyDescent="0.3">
      <c r="A7" s="154" t="s">
        <v>741</v>
      </c>
      <c r="B7" s="155" t="s">
        <v>157</v>
      </c>
      <c r="C7" s="154">
        <v>6</v>
      </c>
      <c r="D7" s="156" t="str">
        <f t="shared" si="0"/>
        <v>Kumite</v>
      </c>
      <c r="E7" s="156" t="str">
        <f>"Kumite, Felnőtt férfi -59,9kg"</f>
        <v>Kumite, Felnőtt férfi -59,9kg</v>
      </c>
      <c r="F7" s="154" t="s">
        <v>485</v>
      </c>
      <c r="G7" s="157" t="str">
        <f t="shared" si="4"/>
        <v>3</v>
      </c>
      <c r="H7" s="156" t="str">
        <f t="shared" si="5"/>
        <v>3 fős körmérkőzés</v>
      </c>
      <c r="I7" s="157" t="str">
        <f>"3"</f>
        <v>3</v>
      </c>
      <c r="J7" s="156" t="str">
        <f>"Törő Attila"</f>
        <v>Törő Attila</v>
      </c>
      <c r="K7" s="156" t="str">
        <f>"Victory"</f>
        <v>Victory</v>
      </c>
      <c r="L7" s="156" t="str">
        <f t="shared" si="1"/>
        <v>HUN</v>
      </c>
      <c r="M7" s="163">
        <v>0</v>
      </c>
      <c r="N7" s="158" t="s">
        <v>704</v>
      </c>
      <c r="O7" s="154" t="s">
        <v>745</v>
      </c>
      <c r="P7" s="159">
        <v>46067</v>
      </c>
      <c r="Q7" s="154" t="str">
        <f t="shared" si="2"/>
        <v>Törő Attila - Victory</v>
      </c>
      <c r="R7" s="154" t="s">
        <v>636</v>
      </c>
      <c r="S7" s="154" t="str">
        <f t="shared" si="3"/>
        <v>Victory</v>
      </c>
      <c r="T7" s="154" t="s">
        <v>644</v>
      </c>
      <c r="U7" s="154" t="s">
        <v>644</v>
      </c>
    </row>
    <row r="8" spans="1:22" s="154" customFormat="1" x14ac:dyDescent="0.3">
      <c r="A8" s="154" t="s">
        <v>741</v>
      </c>
      <c r="B8" s="155" t="s">
        <v>157</v>
      </c>
      <c r="C8" s="154">
        <v>7</v>
      </c>
      <c r="D8" s="156" t="str">
        <f t="shared" si="0"/>
        <v>Kumite</v>
      </c>
      <c r="E8" s="156" t="str">
        <f>"Kumite, Felnőtt férfi 60-69,9kg"</f>
        <v>Kumite, Felnőtt férfi 60-69,9kg</v>
      </c>
      <c r="F8" s="154" t="s">
        <v>484</v>
      </c>
      <c r="G8" s="157" t="str">
        <f t="shared" si="4"/>
        <v>3</v>
      </c>
      <c r="H8" s="156" t="str">
        <f t="shared" si="5"/>
        <v>3 fős körmérkőzés</v>
      </c>
      <c r="I8" s="157" t="str">
        <f>"1"</f>
        <v>1</v>
      </c>
      <c r="J8" s="156" t="str">
        <f>"Bede Zsombor"</f>
        <v>Bede Zsombor</v>
      </c>
      <c r="K8" s="156" t="str">
        <f>"Ippon KKSE"</f>
        <v>Ippon KKSE</v>
      </c>
      <c r="L8" s="156" t="str">
        <f t="shared" si="1"/>
        <v>HUN</v>
      </c>
      <c r="M8" s="163">
        <v>10</v>
      </c>
      <c r="N8" s="158"/>
      <c r="O8" s="154" t="s">
        <v>745</v>
      </c>
      <c r="P8" s="159">
        <v>46067</v>
      </c>
      <c r="Q8" s="154" t="str">
        <f t="shared" si="2"/>
        <v>Bede Zsombor - Ippon KKSE</v>
      </c>
      <c r="R8" s="154" t="s">
        <v>636</v>
      </c>
      <c r="S8" s="154" t="str">
        <f t="shared" si="3"/>
        <v>Ippon KKSE</v>
      </c>
      <c r="T8" s="154" t="s">
        <v>644</v>
      </c>
      <c r="U8" s="154" t="s">
        <v>644</v>
      </c>
    </row>
    <row r="9" spans="1:22" s="154" customFormat="1" x14ac:dyDescent="0.3">
      <c r="A9" s="154" t="s">
        <v>741</v>
      </c>
      <c r="B9" s="155" t="s">
        <v>157</v>
      </c>
      <c r="C9" s="154">
        <v>8</v>
      </c>
      <c r="D9" s="156" t="str">
        <f t="shared" si="0"/>
        <v>Kumite</v>
      </c>
      <c r="E9" s="156" t="str">
        <f>"Kumite, Felnőtt férfi 60-69,9kg"</f>
        <v>Kumite, Felnőtt férfi 60-69,9kg</v>
      </c>
      <c r="F9" s="154" t="s">
        <v>484</v>
      </c>
      <c r="G9" s="157" t="str">
        <f t="shared" si="4"/>
        <v>3</v>
      </c>
      <c r="H9" s="156" t="str">
        <f t="shared" si="5"/>
        <v>3 fős körmérkőzés</v>
      </c>
      <c r="I9" s="157" t="str">
        <f>"2"</f>
        <v>2</v>
      </c>
      <c r="J9" s="156" t="str">
        <f>"Ludszky Tamás"</f>
        <v>Ludszky Tamás</v>
      </c>
      <c r="K9" s="156" t="str">
        <f>"Főnix Dojo"</f>
        <v>Főnix Dojo</v>
      </c>
      <c r="L9" s="156" t="str">
        <f t="shared" si="1"/>
        <v>HUN</v>
      </c>
      <c r="M9" s="163">
        <v>6</v>
      </c>
      <c r="N9" s="158"/>
      <c r="O9" s="154" t="s">
        <v>745</v>
      </c>
      <c r="P9" s="159">
        <v>46067</v>
      </c>
      <c r="Q9" s="154" t="str">
        <f t="shared" si="2"/>
        <v>Ludszky Tamás - Főnix Dojo</v>
      </c>
      <c r="R9" s="154" t="s">
        <v>636</v>
      </c>
      <c r="S9" s="154" t="str">
        <f t="shared" si="3"/>
        <v>Főnix Dojo</v>
      </c>
      <c r="T9" s="154" t="s">
        <v>644</v>
      </c>
      <c r="U9" s="154" t="s">
        <v>644</v>
      </c>
    </row>
    <row r="10" spans="1:22" s="154" customFormat="1" x14ac:dyDescent="0.3">
      <c r="A10" s="154" t="s">
        <v>741</v>
      </c>
      <c r="B10" s="155" t="s">
        <v>157</v>
      </c>
      <c r="C10" s="154">
        <v>9</v>
      </c>
      <c r="D10" s="156" t="str">
        <f t="shared" si="0"/>
        <v>Kumite</v>
      </c>
      <c r="E10" s="156" t="str">
        <f>"Kumite, Felnőtt férfi 60-69,9kg"</f>
        <v>Kumite, Felnőtt férfi 60-69,9kg</v>
      </c>
      <c r="F10" s="154" t="s">
        <v>484</v>
      </c>
      <c r="G10" s="157" t="str">
        <f t="shared" si="4"/>
        <v>3</v>
      </c>
      <c r="H10" s="156" t="str">
        <f t="shared" si="5"/>
        <v>3 fős körmérkőzés</v>
      </c>
      <c r="I10" s="157" t="str">
        <f>"3"</f>
        <v>3</v>
      </c>
      <c r="J10" s="156" t="str">
        <f>"Törő Márton"</f>
        <v>Törő Márton</v>
      </c>
      <c r="K10" s="156" t="str">
        <f>"Victory"</f>
        <v>Victory</v>
      </c>
      <c r="L10" s="156" t="str">
        <f t="shared" si="1"/>
        <v>HUN</v>
      </c>
      <c r="M10" s="163">
        <v>0</v>
      </c>
      <c r="N10" s="158" t="s">
        <v>704</v>
      </c>
      <c r="O10" s="154" t="s">
        <v>745</v>
      </c>
      <c r="P10" s="159">
        <v>46067</v>
      </c>
      <c r="Q10" s="154" t="str">
        <f t="shared" si="2"/>
        <v>Törő Márton - Victory</v>
      </c>
      <c r="R10" s="154" t="s">
        <v>636</v>
      </c>
      <c r="S10" s="154" t="str">
        <f t="shared" si="3"/>
        <v>Victory</v>
      </c>
      <c r="T10" s="154" t="s">
        <v>644</v>
      </c>
      <c r="U10" s="154" t="s">
        <v>644</v>
      </c>
    </row>
    <row r="11" spans="1:22" s="154" customFormat="1" x14ac:dyDescent="0.3">
      <c r="A11" s="154" t="s">
        <v>741</v>
      </c>
      <c r="B11" s="155" t="s">
        <v>157</v>
      </c>
      <c r="C11" s="154">
        <v>10</v>
      </c>
      <c r="D11" s="156" t="str">
        <f t="shared" si="0"/>
        <v>Kumite</v>
      </c>
      <c r="E11" s="156" t="str">
        <f>"Kumite, Felnőtt férfi 80-89,9kg"</f>
        <v>Kumite, Felnőtt férfi 80-89,9kg</v>
      </c>
      <c r="F11" s="154" t="s">
        <v>486</v>
      </c>
      <c r="G11" s="157" t="str">
        <f>"2"</f>
        <v>2</v>
      </c>
      <c r="H11" s="156" t="str">
        <f>"2 fős egyenes kiesés"</f>
        <v>2 fős egyenes kiesés</v>
      </c>
      <c r="I11" s="157" t="str">
        <f>"1"</f>
        <v>1</v>
      </c>
      <c r="J11" s="156" t="str">
        <f>"Lajtos Patrik"</f>
        <v>Lajtos Patrik</v>
      </c>
      <c r="K11" s="156" t="str">
        <f>"Victory"</f>
        <v>Victory</v>
      </c>
      <c r="L11" s="156" t="str">
        <f t="shared" si="1"/>
        <v>HUN</v>
      </c>
      <c r="M11" s="163">
        <v>6</v>
      </c>
      <c r="N11" s="158"/>
      <c r="O11" s="154" t="s">
        <v>745</v>
      </c>
      <c r="P11" s="159">
        <v>46067</v>
      </c>
      <c r="Q11" s="154" t="str">
        <f t="shared" si="2"/>
        <v>Lajtos Patrik - Victory</v>
      </c>
      <c r="R11" s="154" t="s">
        <v>636</v>
      </c>
      <c r="S11" s="154" t="str">
        <f t="shared" si="3"/>
        <v>Victory</v>
      </c>
      <c r="T11" s="154" t="s">
        <v>644</v>
      </c>
      <c r="U11" s="154" t="s">
        <v>644</v>
      </c>
    </row>
    <row r="12" spans="1:22" s="154" customFormat="1" x14ac:dyDescent="0.3">
      <c r="A12" s="154" t="s">
        <v>741</v>
      </c>
      <c r="B12" s="155" t="s">
        <v>157</v>
      </c>
      <c r="C12" s="154">
        <v>11</v>
      </c>
      <c r="D12" s="156" t="str">
        <f t="shared" si="0"/>
        <v>Kumite</v>
      </c>
      <c r="E12" s="156" t="str">
        <f>"Kumite, Felnőtt férfi 80-89,9kg"</f>
        <v>Kumite, Felnőtt férfi 80-89,9kg</v>
      </c>
      <c r="F12" s="154" t="s">
        <v>486</v>
      </c>
      <c r="G12" s="157" t="str">
        <f>"2"</f>
        <v>2</v>
      </c>
      <c r="H12" s="156" t="str">
        <f>"2 fős egyenes kiesés"</f>
        <v>2 fős egyenes kiesés</v>
      </c>
      <c r="I12" s="157" t="str">
        <f>"2"</f>
        <v>2</v>
      </c>
      <c r="J12" s="156" t="str">
        <f>"Badar Máté"</f>
        <v>Badar Máté</v>
      </c>
      <c r="K12" s="156" t="str">
        <f>"TADASHII "</f>
        <v xml:space="preserve">TADASHII </v>
      </c>
      <c r="L12" s="156" t="str">
        <f t="shared" si="1"/>
        <v>HUN</v>
      </c>
      <c r="M12" s="163">
        <v>0</v>
      </c>
      <c r="N12" s="158" t="s">
        <v>704</v>
      </c>
      <c r="O12" s="154" t="s">
        <v>745</v>
      </c>
      <c r="P12" s="159">
        <v>46067</v>
      </c>
      <c r="Q12" s="154" t="str">
        <f t="shared" si="2"/>
        <v xml:space="preserve">Badar Máté - TADASHII </v>
      </c>
      <c r="R12" s="154" t="s">
        <v>637</v>
      </c>
      <c r="S12" s="154" t="str">
        <f t="shared" si="3"/>
        <v xml:space="preserve">TADASHII </v>
      </c>
      <c r="T12" s="154" t="s">
        <v>644</v>
      </c>
      <c r="U12" s="154" t="s">
        <v>644</v>
      </c>
    </row>
    <row r="13" spans="1:22" s="154" customFormat="1" x14ac:dyDescent="0.3">
      <c r="A13" s="154" t="s">
        <v>741</v>
      </c>
      <c r="B13" s="155" t="s">
        <v>157</v>
      </c>
      <c r="C13" s="154">
        <v>12</v>
      </c>
      <c r="D13" s="156" t="str">
        <f t="shared" si="0"/>
        <v>Kumite</v>
      </c>
      <c r="E13" s="156" t="str">
        <f>"Kumite, Felnőtt férfi 90-kg"</f>
        <v>Kumite, Felnőtt férfi 90-kg</v>
      </c>
      <c r="F13" s="154" t="s">
        <v>488</v>
      </c>
      <c r="G13" s="157" t="str">
        <f>"4"</f>
        <v>4</v>
      </c>
      <c r="H13" s="156" t="str">
        <f>"4 fős körmérkőzés"</f>
        <v>4 fős körmérkőzés</v>
      </c>
      <c r="I13" s="157" t="str">
        <f>"1"</f>
        <v>1</v>
      </c>
      <c r="J13" s="156" t="str">
        <f>"Baranyai Máté"</f>
        <v>Baranyai Máté</v>
      </c>
      <c r="K13" s="156" t="str">
        <f>"Shogun"</f>
        <v>Shogun</v>
      </c>
      <c r="L13" s="156" t="str">
        <f t="shared" si="1"/>
        <v>HUN</v>
      </c>
      <c r="M13" s="163">
        <v>12</v>
      </c>
      <c r="N13" s="158"/>
      <c r="O13" s="154" t="s">
        <v>745</v>
      </c>
      <c r="P13" s="159">
        <v>46067</v>
      </c>
      <c r="Q13" s="154" t="str">
        <f t="shared" si="2"/>
        <v>Baranyai Máté - Shogun</v>
      </c>
      <c r="R13" s="154" t="s">
        <v>636</v>
      </c>
      <c r="S13" s="154" t="str">
        <f t="shared" si="3"/>
        <v>Shogun</v>
      </c>
      <c r="T13" s="154" t="s">
        <v>644</v>
      </c>
      <c r="U13" s="154" t="s">
        <v>644</v>
      </c>
    </row>
    <row r="14" spans="1:22" s="154" customFormat="1" x14ac:dyDescent="0.3">
      <c r="A14" s="154" t="s">
        <v>741</v>
      </c>
      <c r="B14" s="155" t="s">
        <v>157</v>
      </c>
      <c r="C14" s="154">
        <v>13</v>
      </c>
      <c r="D14" s="156" t="str">
        <f t="shared" si="0"/>
        <v>Kumite</v>
      </c>
      <c r="E14" s="156" t="str">
        <f>"Kumite, Felnőtt férfi 90-kg"</f>
        <v>Kumite, Felnőtt férfi 90-kg</v>
      </c>
      <c r="F14" s="154" t="s">
        <v>488</v>
      </c>
      <c r="G14" s="157" t="str">
        <f>"4"</f>
        <v>4</v>
      </c>
      <c r="H14" s="156" t="str">
        <f>"4 fős körmérkőzés"</f>
        <v>4 fős körmérkőzés</v>
      </c>
      <c r="I14" s="157" t="str">
        <f>"2"</f>
        <v>2</v>
      </c>
      <c r="J14" s="156" t="str">
        <f>"Vancsek Kristóf"</f>
        <v>Vancsek Kristóf</v>
      </c>
      <c r="K14" s="156" t="str">
        <f>"Ippon KKSE"</f>
        <v>Ippon KKSE</v>
      </c>
      <c r="L14" s="156" t="str">
        <f t="shared" si="1"/>
        <v>HUN</v>
      </c>
      <c r="M14" s="163">
        <v>9</v>
      </c>
      <c r="N14" s="158"/>
      <c r="O14" s="154" t="s">
        <v>745</v>
      </c>
      <c r="P14" s="159">
        <v>46067</v>
      </c>
      <c r="Q14" s="154" t="str">
        <f t="shared" si="2"/>
        <v>Vancsek Kristóf - Ippon KKSE</v>
      </c>
      <c r="R14" s="154" t="s">
        <v>636</v>
      </c>
      <c r="S14" s="154" t="str">
        <f t="shared" si="3"/>
        <v>Ippon KKSE</v>
      </c>
      <c r="T14" s="154" t="s">
        <v>644</v>
      </c>
      <c r="U14" s="154" t="s">
        <v>644</v>
      </c>
    </row>
    <row r="15" spans="1:22" s="154" customFormat="1" x14ac:dyDescent="0.3">
      <c r="A15" s="154" t="s">
        <v>741</v>
      </c>
      <c r="B15" s="155" t="s">
        <v>157</v>
      </c>
      <c r="C15" s="154">
        <v>14</v>
      </c>
      <c r="D15" s="156" t="str">
        <f t="shared" si="0"/>
        <v>Kumite</v>
      </c>
      <c r="E15" s="156" t="str">
        <f>"Kumite, Felnőtt férfi 90-kg"</f>
        <v>Kumite, Felnőtt férfi 90-kg</v>
      </c>
      <c r="F15" s="154" t="s">
        <v>488</v>
      </c>
      <c r="G15" s="157" t="str">
        <f>"4"</f>
        <v>4</v>
      </c>
      <c r="H15" s="156" t="str">
        <f>"4 fős körmérkőzés"</f>
        <v>4 fős körmérkőzés</v>
      </c>
      <c r="I15" s="157" t="str">
        <f>"3"</f>
        <v>3</v>
      </c>
      <c r="J15" s="156" t="str">
        <f>"Hoffer András"</f>
        <v>Hoffer András</v>
      </c>
      <c r="K15" s="156" t="str">
        <f>"Castrum"</f>
        <v>Castrum</v>
      </c>
      <c r="L15" s="156" t="str">
        <f t="shared" si="1"/>
        <v>HUN</v>
      </c>
      <c r="M15" s="163">
        <v>6</v>
      </c>
      <c r="N15" s="158"/>
      <c r="O15" s="154" t="s">
        <v>745</v>
      </c>
      <c r="P15" s="159">
        <v>46067</v>
      </c>
      <c r="Q15" s="154" t="str">
        <f t="shared" si="2"/>
        <v>Hoffer András - Castrum</v>
      </c>
      <c r="R15" s="154" t="s">
        <v>636</v>
      </c>
      <c r="S15" s="154" t="str">
        <f t="shared" si="3"/>
        <v>Castrum</v>
      </c>
      <c r="T15" s="154" t="s">
        <v>644</v>
      </c>
      <c r="U15" s="154" t="s">
        <v>644</v>
      </c>
    </row>
    <row r="16" spans="1:22" s="154" customFormat="1" x14ac:dyDescent="0.3">
      <c r="A16" s="154" t="s">
        <v>741</v>
      </c>
      <c r="B16" s="155">
        <v>2</v>
      </c>
      <c r="C16" s="154">
        <v>15</v>
      </c>
      <c r="D16" s="156" t="str">
        <f t="shared" si="0"/>
        <v>Kumite</v>
      </c>
      <c r="E16" s="156" t="str">
        <f>"Kumite, Masters férfi 80-89,9kg"</f>
        <v>Kumite, Masters férfi 80-89,9kg</v>
      </c>
      <c r="F16" s="154" t="s">
        <v>99</v>
      </c>
      <c r="G16" s="157" t="str">
        <f>"6"</f>
        <v>6</v>
      </c>
      <c r="H16" s="156" t="str">
        <f>"6 fős vegyes"</f>
        <v>6 fős vegyes</v>
      </c>
      <c r="I16" s="157" t="str">
        <f>"1"</f>
        <v>1</v>
      </c>
      <c r="J16" s="156" t="str">
        <f>"Béres Sándor"</f>
        <v>Béres Sándor</v>
      </c>
      <c r="K16" s="156" t="str">
        <f>"KHSE"</f>
        <v>KHSE</v>
      </c>
      <c r="L16" s="156" t="str">
        <f t="shared" si="1"/>
        <v>HUN</v>
      </c>
      <c r="M16" s="163">
        <v>6</v>
      </c>
      <c r="N16" s="158"/>
      <c r="O16" s="154" t="s">
        <v>745</v>
      </c>
      <c r="P16" s="159">
        <v>46067</v>
      </c>
      <c r="Q16" s="154" t="str">
        <f t="shared" si="2"/>
        <v>Béres Sándor - KHSE</v>
      </c>
      <c r="R16" s="154" t="s">
        <v>636</v>
      </c>
      <c r="S16" s="154" t="str">
        <f t="shared" si="3"/>
        <v>KHSE</v>
      </c>
      <c r="T16" s="154" t="s">
        <v>644</v>
      </c>
      <c r="U16" s="154" t="s">
        <v>746</v>
      </c>
    </row>
    <row r="17" spans="1:21" s="154" customFormat="1" x14ac:dyDescent="0.3">
      <c r="A17" s="154" t="s">
        <v>741</v>
      </c>
      <c r="B17" s="155">
        <v>2</v>
      </c>
      <c r="C17" s="154">
        <v>16</v>
      </c>
      <c r="D17" s="156" t="str">
        <f t="shared" si="0"/>
        <v>Kumite</v>
      </c>
      <c r="E17" s="156" t="str">
        <f>"Kumite, Masters férfi 80-89,9kg"</f>
        <v>Kumite, Masters férfi 80-89,9kg</v>
      </c>
      <c r="F17" s="154" t="s">
        <v>99</v>
      </c>
      <c r="G17" s="157" t="str">
        <f>"6"</f>
        <v>6</v>
      </c>
      <c r="H17" s="156" t="str">
        <f>"6 fős vegyes"</f>
        <v>6 fős vegyes</v>
      </c>
      <c r="I17" s="157" t="str">
        <f>"2"</f>
        <v>2</v>
      </c>
      <c r="J17" s="156" t="str">
        <f>"Hamar Levente"</f>
        <v>Hamar Levente</v>
      </c>
      <c r="K17" s="156" t="str">
        <f>"KHSE"</f>
        <v>KHSE</v>
      </c>
      <c r="L17" s="156" t="str">
        <f t="shared" si="1"/>
        <v>HUN</v>
      </c>
      <c r="M17" s="163">
        <v>5</v>
      </c>
      <c r="N17" s="158"/>
      <c r="O17" s="154" t="s">
        <v>745</v>
      </c>
      <c r="P17" s="159">
        <v>46067</v>
      </c>
      <c r="Q17" s="154" t="str">
        <f t="shared" si="2"/>
        <v>Hamar Levente - KHSE</v>
      </c>
      <c r="R17" s="154" t="s">
        <v>636</v>
      </c>
      <c r="S17" s="154" t="str">
        <f t="shared" si="3"/>
        <v>KHSE</v>
      </c>
      <c r="T17" s="154" t="s">
        <v>644</v>
      </c>
      <c r="U17" s="154" t="s">
        <v>746</v>
      </c>
    </row>
    <row r="18" spans="1:21" s="154" customFormat="1" x14ac:dyDescent="0.3">
      <c r="A18" s="154" t="s">
        <v>741</v>
      </c>
      <c r="B18" s="155">
        <v>2</v>
      </c>
      <c r="C18" s="154">
        <v>17</v>
      </c>
      <c r="D18" s="156" t="str">
        <f t="shared" si="0"/>
        <v>Kumite</v>
      </c>
      <c r="E18" s="156" t="str">
        <f>"Kumite, Masters férfi 80-89,9kg"</f>
        <v>Kumite, Masters férfi 80-89,9kg</v>
      </c>
      <c r="F18" s="154" t="s">
        <v>99</v>
      </c>
      <c r="G18" s="157" t="str">
        <f>"6"</f>
        <v>6</v>
      </c>
      <c r="H18" s="156" t="str">
        <f>"6 fős vegyes"</f>
        <v>6 fős vegyes</v>
      </c>
      <c r="I18" s="157" t="str">
        <f>"3"</f>
        <v>3</v>
      </c>
      <c r="J18" s="156" t="str">
        <f>"Kollányi Miklós"</f>
        <v>Kollányi Miklós</v>
      </c>
      <c r="K18" s="156" t="str">
        <f>"Shogun"</f>
        <v>Shogun</v>
      </c>
      <c r="L18" s="156" t="str">
        <f t="shared" si="1"/>
        <v>HUN</v>
      </c>
      <c r="M18" s="163">
        <v>3</v>
      </c>
      <c r="N18" s="158"/>
      <c r="O18" s="154" t="s">
        <v>745</v>
      </c>
      <c r="P18" s="159">
        <v>46067</v>
      </c>
      <c r="Q18" s="154" t="str">
        <f t="shared" si="2"/>
        <v>Kollányi Miklós - Shogun</v>
      </c>
      <c r="R18" s="154" t="s">
        <v>636</v>
      </c>
      <c r="S18" s="154" t="str">
        <f t="shared" si="3"/>
        <v>Shogun</v>
      </c>
      <c r="T18" s="154" t="s">
        <v>644</v>
      </c>
      <c r="U18" s="154" t="s">
        <v>746</v>
      </c>
    </row>
    <row r="19" spans="1:21" s="154" customFormat="1" x14ac:dyDescent="0.3">
      <c r="A19" s="154" t="s">
        <v>741</v>
      </c>
      <c r="B19" s="155">
        <v>2</v>
      </c>
      <c r="C19" s="154">
        <v>18</v>
      </c>
      <c r="D19" s="156" t="str">
        <f t="shared" si="0"/>
        <v>Kumite</v>
      </c>
      <c r="E19" s="156" t="str">
        <f>"Kumite, Masters férfi 90-kg"</f>
        <v>Kumite, Masters férfi 90-kg</v>
      </c>
      <c r="F19" s="154" t="s">
        <v>99</v>
      </c>
      <c r="G19" s="157" t="str">
        <f>"4"</f>
        <v>4</v>
      </c>
      <c r="H19" s="156" t="str">
        <f>"4 fős egyenes kiesés + 3. hely"</f>
        <v>4 fős egyenes kiesés + 3. hely</v>
      </c>
      <c r="I19" s="157" t="str">
        <f>"1"</f>
        <v>1</v>
      </c>
      <c r="J19" s="156" t="str">
        <f>"Tóth Attila"</f>
        <v>Tóth Attila</v>
      </c>
      <c r="K19" s="156" t="str">
        <f>"Seiken STKE"</f>
        <v>Seiken STKE</v>
      </c>
      <c r="L19" s="156" t="str">
        <f t="shared" si="1"/>
        <v>HUN</v>
      </c>
      <c r="M19" s="163">
        <v>6</v>
      </c>
      <c r="N19" s="158"/>
      <c r="O19" s="154" t="s">
        <v>745</v>
      </c>
      <c r="P19" s="159">
        <v>46067</v>
      </c>
      <c r="Q19" s="154" t="str">
        <f t="shared" si="2"/>
        <v>Tóth Attila - Seiken STKE</v>
      </c>
      <c r="R19" s="154" t="s">
        <v>637</v>
      </c>
      <c r="S19" s="154" t="str">
        <f t="shared" si="3"/>
        <v>Seiken STKE</v>
      </c>
      <c r="T19" s="154" t="s">
        <v>644</v>
      </c>
      <c r="U19" s="154" t="s">
        <v>746</v>
      </c>
    </row>
    <row r="20" spans="1:21" s="154" customFormat="1" x14ac:dyDescent="0.3">
      <c r="A20" s="154" t="s">
        <v>741</v>
      </c>
      <c r="B20" s="155">
        <v>2</v>
      </c>
      <c r="C20" s="154">
        <v>19</v>
      </c>
      <c r="D20" s="156" t="str">
        <f t="shared" si="0"/>
        <v>Kumite</v>
      </c>
      <c r="E20" s="156" t="str">
        <f>"Kumite, Masters férfi 90-kg"</f>
        <v>Kumite, Masters férfi 90-kg</v>
      </c>
      <c r="F20" s="154" t="s">
        <v>99</v>
      </c>
      <c r="G20" s="157" t="str">
        <f>"4"</f>
        <v>4</v>
      </c>
      <c r="H20" s="156" t="str">
        <f>"4 fős egyenes kiesés + 3. hely"</f>
        <v>4 fős egyenes kiesés + 3. hely</v>
      </c>
      <c r="I20" s="157" t="str">
        <f>"2"</f>
        <v>2</v>
      </c>
      <c r="J20" s="156" t="str">
        <f>"Lengyel László"</f>
        <v>Lengyel László</v>
      </c>
      <c r="K20" s="156" t="str">
        <f>"Beledi KÉSZ SE"</f>
        <v>Beledi KÉSZ SE</v>
      </c>
      <c r="L20" s="156" t="str">
        <f t="shared" si="1"/>
        <v>HUN</v>
      </c>
      <c r="M20" s="163">
        <v>5</v>
      </c>
      <c r="N20" s="158"/>
      <c r="O20" s="154" t="s">
        <v>745</v>
      </c>
      <c r="P20" s="159">
        <v>46067</v>
      </c>
      <c r="Q20" s="154" t="str">
        <f t="shared" si="2"/>
        <v>Lengyel László - Beledi KÉSZ SE</v>
      </c>
      <c r="R20" s="154" t="s">
        <v>637</v>
      </c>
      <c r="S20" s="154" t="str">
        <f t="shared" si="3"/>
        <v>Beledi KÉSZ SE</v>
      </c>
      <c r="T20" s="154" t="s">
        <v>644</v>
      </c>
      <c r="U20" s="154" t="s">
        <v>746</v>
      </c>
    </row>
    <row r="21" spans="1:21" s="154" customFormat="1" x14ac:dyDescent="0.3">
      <c r="A21" s="154" t="s">
        <v>741</v>
      </c>
      <c r="B21" s="155">
        <v>2</v>
      </c>
      <c r="C21" s="154">
        <v>20</v>
      </c>
      <c r="D21" s="156" t="str">
        <f t="shared" si="0"/>
        <v>Kumite</v>
      </c>
      <c r="E21" s="156" t="str">
        <f>"Kumite, Masters férfi 90-kg"</f>
        <v>Kumite, Masters férfi 90-kg</v>
      </c>
      <c r="F21" s="154" t="s">
        <v>99</v>
      </c>
      <c r="G21" s="157" t="str">
        <f>"4"</f>
        <v>4</v>
      </c>
      <c r="H21" s="156" t="str">
        <f>"4 fős egyenes kiesés + 3. hely"</f>
        <v>4 fős egyenes kiesés + 3. hely</v>
      </c>
      <c r="I21" s="157" t="str">
        <f>"3"</f>
        <v>3</v>
      </c>
      <c r="J21" s="156" t="str">
        <f>"Varga Krsiztián"</f>
        <v>Varga Krsiztián</v>
      </c>
      <c r="K21" s="156" t="str">
        <f>"Beledi KÉSZ SE"</f>
        <v>Beledi KÉSZ SE</v>
      </c>
      <c r="L21" s="156" t="str">
        <f t="shared" si="1"/>
        <v>HUN</v>
      </c>
      <c r="M21" s="163">
        <v>3</v>
      </c>
      <c r="N21" s="158"/>
      <c r="O21" s="154" t="s">
        <v>745</v>
      </c>
      <c r="P21" s="159">
        <v>46067</v>
      </c>
      <c r="Q21" s="154" t="str">
        <f t="shared" si="2"/>
        <v>Varga Krsiztián - Beledi KÉSZ SE</v>
      </c>
      <c r="R21" s="154" t="s">
        <v>637</v>
      </c>
      <c r="S21" s="154" t="str">
        <f t="shared" si="3"/>
        <v>Beledi KÉSZ SE</v>
      </c>
      <c r="T21" s="154" t="s">
        <v>644</v>
      </c>
      <c r="U21" s="154" t="s">
        <v>746</v>
      </c>
    </row>
    <row r="22" spans="1:21" s="154" customFormat="1" x14ac:dyDescent="0.3">
      <c r="A22" s="154" t="s">
        <v>741</v>
      </c>
      <c r="B22" s="155">
        <v>2</v>
      </c>
      <c r="C22" s="154">
        <v>21</v>
      </c>
      <c r="D22" s="156" t="str">
        <f t="shared" si="0"/>
        <v>Kumite</v>
      </c>
      <c r="E22" s="156" t="str">
        <f>"Kumite, Masters férfi 90-kg"</f>
        <v>Kumite, Masters férfi 90-kg</v>
      </c>
      <c r="F22" s="154" t="s">
        <v>99</v>
      </c>
      <c r="G22" s="157" t="str">
        <f>"4"</f>
        <v>4</v>
      </c>
      <c r="H22" s="156" t="str">
        <f>"4 fős egyenes kiesés + 3. hely"</f>
        <v>4 fős egyenes kiesés + 3. hely</v>
      </c>
      <c r="I22" s="157" t="str">
        <f>"4"</f>
        <v>4</v>
      </c>
      <c r="J22" s="156" t="str">
        <f>"Csillag Viktor "</f>
        <v xml:space="preserve">Csillag Viktor </v>
      </c>
      <c r="K22" s="156" t="str">
        <f>"Beledi KÉSZ SE"</f>
        <v>Beledi KÉSZ SE</v>
      </c>
      <c r="L22" s="156" t="str">
        <f t="shared" si="1"/>
        <v>HUN</v>
      </c>
      <c r="M22" s="163">
        <v>0</v>
      </c>
      <c r="N22" s="158" t="s">
        <v>704</v>
      </c>
      <c r="O22" s="154" t="s">
        <v>745</v>
      </c>
      <c r="P22" s="159">
        <v>46067</v>
      </c>
      <c r="Q22" s="154" t="str">
        <f t="shared" si="2"/>
        <v>Csillag Viktor  - Beledi KÉSZ SE</v>
      </c>
      <c r="R22" s="154" t="s">
        <v>637</v>
      </c>
      <c r="S22" s="154" t="str">
        <f t="shared" si="3"/>
        <v>Beledi KÉSZ SE</v>
      </c>
      <c r="T22" s="154" t="s">
        <v>644</v>
      </c>
      <c r="U22" s="154" t="s">
        <v>746</v>
      </c>
    </row>
    <row r="23" spans="1:21" s="154" customFormat="1" x14ac:dyDescent="0.3">
      <c r="A23" s="154" t="s">
        <v>741</v>
      </c>
      <c r="B23" s="155" t="s">
        <v>154</v>
      </c>
      <c r="C23" s="154">
        <v>22</v>
      </c>
      <c r="D23" s="156" t="str">
        <f t="shared" si="0"/>
        <v>Kumite</v>
      </c>
      <c r="E23" s="156" t="str">
        <f>"Kumite, U21 férfi 75-79,9"</f>
        <v>Kumite, U21 férfi 75-79,9</v>
      </c>
      <c r="F23" s="154" t="s">
        <v>742</v>
      </c>
      <c r="G23" s="157" t="str">
        <f>"3"</f>
        <v>3</v>
      </c>
      <c r="H23" s="156" t="str">
        <f>"3 fős körmérkőzés"</f>
        <v>3 fős körmérkőzés</v>
      </c>
      <c r="I23" s="157" t="str">
        <f>"1"</f>
        <v>1</v>
      </c>
      <c r="J23" s="156" t="str">
        <f>"Szakály Dominik"</f>
        <v>Szakály Dominik</v>
      </c>
      <c r="K23" s="156" t="str">
        <f>"Shogun"</f>
        <v>Shogun</v>
      </c>
      <c r="L23" s="156" t="str">
        <f t="shared" si="1"/>
        <v>HUN</v>
      </c>
      <c r="M23" s="163">
        <v>6</v>
      </c>
      <c r="N23" s="158"/>
      <c r="O23" s="154" t="s">
        <v>745</v>
      </c>
      <c r="P23" s="159">
        <v>46067</v>
      </c>
      <c r="Q23" s="154" t="str">
        <f t="shared" si="2"/>
        <v>Szakály Dominik - Shogun</v>
      </c>
      <c r="R23" s="154" t="s">
        <v>636</v>
      </c>
      <c r="S23" s="154" t="str">
        <f t="shared" si="3"/>
        <v>Shogun</v>
      </c>
      <c r="T23" s="154" t="s">
        <v>644</v>
      </c>
      <c r="U23" s="154" t="s">
        <v>736</v>
      </c>
    </row>
    <row r="24" spans="1:21" s="154" customFormat="1" x14ac:dyDescent="0.3">
      <c r="A24" s="154" t="s">
        <v>741</v>
      </c>
      <c r="B24" s="155" t="s">
        <v>154</v>
      </c>
      <c r="C24" s="154">
        <v>23</v>
      </c>
      <c r="D24" s="156" t="str">
        <f t="shared" si="0"/>
        <v>Kumite</v>
      </c>
      <c r="E24" s="156" t="str">
        <f>"Kumite, U21 férfi 75-79,9"</f>
        <v>Kumite, U21 férfi 75-79,9</v>
      </c>
      <c r="F24" s="154" t="s">
        <v>742</v>
      </c>
      <c r="G24" s="157" t="str">
        <f>"3"</f>
        <v>3</v>
      </c>
      <c r="H24" s="156" t="str">
        <f>"3 fős körmérkőzés"</f>
        <v>3 fős körmérkőzés</v>
      </c>
      <c r="I24" s="157" t="str">
        <f>"2"</f>
        <v>2</v>
      </c>
      <c r="J24" s="156" t="str">
        <f>"Kollát Zétény"</f>
        <v>Kollát Zétény</v>
      </c>
      <c r="K24" s="156" t="str">
        <f>"Nintai KKSE"</f>
        <v>Nintai KKSE</v>
      </c>
      <c r="L24" s="156" t="str">
        <f t="shared" si="1"/>
        <v>HUN</v>
      </c>
      <c r="M24" s="163">
        <v>4</v>
      </c>
      <c r="N24" s="158"/>
      <c r="O24" s="154" t="s">
        <v>745</v>
      </c>
      <c r="P24" s="159">
        <v>46067</v>
      </c>
      <c r="Q24" s="154" t="str">
        <f t="shared" si="2"/>
        <v>Kollát Zétény - Nintai KKSE</v>
      </c>
      <c r="R24" s="154" t="s">
        <v>637</v>
      </c>
      <c r="S24" s="154" t="str">
        <f t="shared" si="3"/>
        <v>Nintai KKSE</v>
      </c>
      <c r="T24" s="154" t="s">
        <v>644</v>
      </c>
      <c r="U24" s="154" t="s">
        <v>736</v>
      </c>
    </row>
    <row r="25" spans="1:21" s="154" customFormat="1" x14ac:dyDescent="0.3">
      <c r="A25" s="154" t="s">
        <v>741</v>
      </c>
      <c r="B25" s="155" t="s">
        <v>154</v>
      </c>
      <c r="C25" s="154">
        <v>24</v>
      </c>
      <c r="D25" s="156" t="str">
        <f>"Kumite"</f>
        <v>Kumite</v>
      </c>
      <c r="E25" s="156" t="str">
        <f>"Kumite, U21 férfi 75-79,9"</f>
        <v>Kumite, U21 férfi 75-79,9</v>
      </c>
      <c r="F25" s="154" t="s">
        <v>742</v>
      </c>
      <c r="G25" s="157" t="str">
        <f>"3"</f>
        <v>3</v>
      </c>
      <c r="H25" s="156" t="str">
        <f>"3 fős körmérkőzés"</f>
        <v>3 fős körmérkőzés</v>
      </c>
      <c r="I25" s="157" t="str">
        <f>"3"</f>
        <v>3</v>
      </c>
      <c r="J25" s="156" t="str">
        <f>"Szabó István Balázs"</f>
        <v>Szabó István Balázs</v>
      </c>
      <c r="K25" s="156" t="str">
        <f>"KyoDabas SE."</f>
        <v>KyoDabas SE.</v>
      </c>
      <c r="L25" s="156" t="str">
        <f t="shared" si="1"/>
        <v>HUN</v>
      </c>
      <c r="M25" s="163">
        <v>0</v>
      </c>
      <c r="N25" s="158" t="s">
        <v>704</v>
      </c>
      <c r="O25" s="154" t="s">
        <v>745</v>
      </c>
      <c r="P25" s="159">
        <v>46067</v>
      </c>
      <c r="Q25" s="154" t="str">
        <f t="shared" si="2"/>
        <v>Szabó István Balázs - KyoDabas SE.</v>
      </c>
      <c r="R25" s="154" t="s">
        <v>637</v>
      </c>
      <c r="S25" s="154" t="str">
        <f t="shared" si="3"/>
        <v>KyoDabas SE.</v>
      </c>
      <c r="T25" s="154" t="s">
        <v>644</v>
      </c>
      <c r="U25" s="154" t="s">
        <v>736</v>
      </c>
    </row>
    <row r="26" spans="1:21" s="154" customFormat="1" x14ac:dyDescent="0.3">
      <c r="A26" s="154" t="s">
        <v>741</v>
      </c>
      <c r="B26" s="155" t="s">
        <v>154</v>
      </c>
      <c r="C26" s="154">
        <v>25</v>
      </c>
      <c r="D26" s="156" t="str">
        <f t="shared" si="0"/>
        <v>Kumite</v>
      </c>
      <c r="E26" s="156" t="str">
        <f>"Kumite, U21 férfi -64,9kg"</f>
        <v>Kumite, U21 férfi -64,9kg</v>
      </c>
      <c r="F26" s="154" t="s">
        <v>738</v>
      </c>
      <c r="G26" s="157" t="str">
        <f>"2"</f>
        <v>2</v>
      </c>
      <c r="H26" s="156" t="str">
        <f>"2 fős egyenes kiesés"</f>
        <v>2 fős egyenes kiesés</v>
      </c>
      <c r="I26" s="157" t="str">
        <f>"1"</f>
        <v>1</v>
      </c>
      <c r="J26" s="156" t="str">
        <f>"Csordás Benjamin"</f>
        <v>Csordás Benjamin</v>
      </c>
      <c r="K26" s="156" t="str">
        <f>"Seiken STKE"</f>
        <v>Seiken STKE</v>
      </c>
      <c r="L26" s="156" t="str">
        <f t="shared" si="1"/>
        <v>HUN</v>
      </c>
      <c r="M26" s="163">
        <v>4</v>
      </c>
      <c r="N26" s="158"/>
      <c r="O26" s="154" t="s">
        <v>745</v>
      </c>
      <c r="P26" s="159">
        <v>46067</v>
      </c>
      <c r="Q26" s="154" t="str">
        <f t="shared" si="2"/>
        <v>Csordás Benjamin - Seiken STKE</v>
      </c>
      <c r="R26" s="154" t="s">
        <v>637</v>
      </c>
      <c r="S26" s="154" t="str">
        <f t="shared" ref="S26:S71" si="6">K26</f>
        <v>Seiken STKE</v>
      </c>
      <c r="T26" s="154" t="s">
        <v>644</v>
      </c>
      <c r="U26" s="154" t="s">
        <v>736</v>
      </c>
    </row>
    <row r="27" spans="1:21" s="154" customFormat="1" x14ac:dyDescent="0.3">
      <c r="A27" s="154" t="s">
        <v>741</v>
      </c>
      <c r="B27" s="155" t="s">
        <v>154</v>
      </c>
      <c r="C27" s="154">
        <v>26</v>
      </c>
      <c r="D27" s="156" t="str">
        <f t="shared" si="0"/>
        <v>Kumite</v>
      </c>
      <c r="E27" s="156" t="str">
        <f>"Kumite, U21 férfi -64,9kg"</f>
        <v>Kumite, U21 férfi -64,9kg</v>
      </c>
      <c r="F27" s="154" t="s">
        <v>738</v>
      </c>
      <c r="G27" s="157" t="str">
        <f>"2"</f>
        <v>2</v>
      </c>
      <c r="H27" s="156" t="str">
        <f>"2 fős egyenes kiesés"</f>
        <v>2 fős egyenes kiesés</v>
      </c>
      <c r="I27" s="157" t="str">
        <f>"2"</f>
        <v>2</v>
      </c>
      <c r="J27" s="156" t="str">
        <f>"Szabó Imre Richárd"</f>
        <v>Szabó Imre Richárd</v>
      </c>
      <c r="K27" s="156" t="str">
        <f>"KHSE"</f>
        <v>KHSE</v>
      </c>
      <c r="L27" s="156" t="str">
        <f t="shared" si="1"/>
        <v>HUN</v>
      </c>
      <c r="M27" s="163">
        <v>0</v>
      </c>
      <c r="N27" s="158" t="s">
        <v>704</v>
      </c>
      <c r="O27" s="154" t="s">
        <v>745</v>
      </c>
      <c r="P27" s="159">
        <v>46067</v>
      </c>
      <c r="Q27" s="154" t="str">
        <f t="shared" si="2"/>
        <v>Szabó Imre Richárd - KHSE</v>
      </c>
      <c r="R27" s="154" t="s">
        <v>636</v>
      </c>
      <c r="S27" s="154" t="str">
        <f t="shared" si="6"/>
        <v>KHSE</v>
      </c>
      <c r="T27" s="154" t="s">
        <v>644</v>
      </c>
      <c r="U27" s="154" t="s">
        <v>736</v>
      </c>
    </row>
    <row r="28" spans="1:21" s="154" customFormat="1" x14ac:dyDescent="0.3">
      <c r="A28" s="154" t="s">
        <v>741</v>
      </c>
      <c r="B28" s="155" t="s">
        <v>154</v>
      </c>
      <c r="C28" s="154">
        <v>27</v>
      </c>
      <c r="D28" s="156" t="str">
        <f t="shared" si="0"/>
        <v>Kumite</v>
      </c>
      <c r="E28" s="156" t="str">
        <f>"Kumite, U21 férfi 70-74,9kg"</f>
        <v>Kumite, U21 férfi 70-74,9kg</v>
      </c>
      <c r="F28" s="154" t="s">
        <v>739</v>
      </c>
      <c r="G28" s="157" t="str">
        <f>"3"</f>
        <v>3</v>
      </c>
      <c r="H28" s="156" t="str">
        <f>"3 fős körmérkőzés"</f>
        <v>3 fős körmérkőzés</v>
      </c>
      <c r="I28" s="157" t="str">
        <f>"1"</f>
        <v>1</v>
      </c>
      <c r="J28" s="156" t="str">
        <f>"Jámbor Dániel"</f>
        <v>Jámbor Dániel</v>
      </c>
      <c r="K28" s="156" t="str">
        <f>"KHSE"</f>
        <v>KHSE</v>
      </c>
      <c r="L28" s="156" t="str">
        <f t="shared" si="1"/>
        <v>HUN</v>
      </c>
      <c r="M28" s="163">
        <v>6</v>
      </c>
      <c r="N28" s="158"/>
      <c r="O28" s="154" t="s">
        <v>745</v>
      </c>
      <c r="P28" s="159">
        <v>46067</v>
      </c>
      <c r="Q28" s="154" t="str">
        <f t="shared" si="2"/>
        <v>Jámbor Dániel - KHSE</v>
      </c>
      <c r="R28" s="154" t="s">
        <v>636</v>
      </c>
      <c r="S28" s="154" t="str">
        <f t="shared" si="6"/>
        <v>KHSE</v>
      </c>
      <c r="T28" s="154" t="s">
        <v>644</v>
      </c>
      <c r="U28" s="154" t="s">
        <v>736</v>
      </c>
    </row>
    <row r="29" spans="1:21" s="154" customFormat="1" x14ac:dyDescent="0.3">
      <c r="A29" s="154" t="s">
        <v>741</v>
      </c>
      <c r="B29" s="155" t="s">
        <v>154</v>
      </c>
      <c r="C29" s="154">
        <v>28</v>
      </c>
      <c r="D29" s="156" t="str">
        <f t="shared" si="0"/>
        <v>Kumite</v>
      </c>
      <c r="E29" s="156" t="str">
        <f>"Kumite, U21 férfi 70-74,9kg"</f>
        <v>Kumite, U21 férfi 70-74,9kg</v>
      </c>
      <c r="F29" s="154" t="s">
        <v>739</v>
      </c>
      <c r="G29" s="157" t="str">
        <f>"3"</f>
        <v>3</v>
      </c>
      <c r="H29" s="156" t="str">
        <f>"3 fős körmérkőzés"</f>
        <v>3 fős körmérkőzés</v>
      </c>
      <c r="I29" s="157" t="str">
        <f>"2"</f>
        <v>2</v>
      </c>
      <c r="J29" s="156" t="str">
        <f>"Horváth Levente András"</f>
        <v>Horváth Levente András</v>
      </c>
      <c r="K29" s="156" t="str">
        <f>"Castrum"</f>
        <v>Castrum</v>
      </c>
      <c r="L29" s="156" t="str">
        <f t="shared" si="1"/>
        <v>HUN</v>
      </c>
      <c r="M29" s="163">
        <v>4</v>
      </c>
      <c r="N29" s="158"/>
      <c r="O29" s="154" t="s">
        <v>745</v>
      </c>
      <c r="P29" s="159">
        <v>46067</v>
      </c>
      <c r="Q29" s="154" t="str">
        <f t="shared" si="2"/>
        <v>Horváth Levente András - Castrum</v>
      </c>
      <c r="R29" s="154" t="s">
        <v>636</v>
      </c>
      <c r="S29" s="154" t="str">
        <f t="shared" si="6"/>
        <v>Castrum</v>
      </c>
      <c r="T29" s="154" t="s">
        <v>644</v>
      </c>
      <c r="U29" s="154" t="s">
        <v>736</v>
      </c>
    </row>
    <row r="30" spans="1:21" s="154" customFormat="1" x14ac:dyDescent="0.3">
      <c r="A30" s="154" t="s">
        <v>741</v>
      </c>
      <c r="B30" s="155" t="s">
        <v>154</v>
      </c>
      <c r="C30" s="154">
        <v>29</v>
      </c>
      <c r="D30" s="156" t="str">
        <f t="shared" si="0"/>
        <v>Kumite</v>
      </c>
      <c r="E30" s="156" t="str">
        <f>"Kumite, U21 férfi 70-74,9kg"</f>
        <v>Kumite, U21 férfi 70-74,9kg</v>
      </c>
      <c r="F30" s="154" t="s">
        <v>739</v>
      </c>
      <c r="G30" s="157" t="str">
        <f>"3"</f>
        <v>3</v>
      </c>
      <c r="H30" s="156" t="str">
        <f>"3 fős körmérkőzés"</f>
        <v>3 fős körmérkőzés</v>
      </c>
      <c r="I30" s="157" t="str">
        <f>"3"</f>
        <v>3</v>
      </c>
      <c r="J30" s="156" t="str">
        <f>"Gáspár Botond"</f>
        <v>Gáspár Botond</v>
      </c>
      <c r="K30" s="156" t="str">
        <f>"Főnix Dojo"</f>
        <v>Főnix Dojo</v>
      </c>
      <c r="L30" s="156" t="str">
        <f t="shared" si="1"/>
        <v>HUN</v>
      </c>
      <c r="M30" s="163">
        <v>0</v>
      </c>
      <c r="N30" s="158" t="s">
        <v>704</v>
      </c>
      <c r="O30" s="154" t="s">
        <v>745</v>
      </c>
      <c r="P30" s="159">
        <v>46067</v>
      </c>
      <c r="Q30" s="154" t="str">
        <f t="shared" si="2"/>
        <v>Gáspár Botond - Főnix Dojo</v>
      </c>
      <c r="R30" s="154" t="s">
        <v>636</v>
      </c>
      <c r="S30" s="154" t="str">
        <f t="shared" si="6"/>
        <v>Főnix Dojo</v>
      </c>
      <c r="T30" s="154" t="s">
        <v>644</v>
      </c>
      <c r="U30" s="154" t="s">
        <v>736</v>
      </c>
    </row>
    <row r="31" spans="1:21" s="154" customFormat="1" x14ac:dyDescent="0.3">
      <c r="A31" s="154" t="s">
        <v>741</v>
      </c>
      <c r="B31" s="155" t="s">
        <v>157</v>
      </c>
      <c r="C31" s="154">
        <v>30</v>
      </c>
      <c r="D31" s="156" t="str">
        <f t="shared" ref="D31:D40" si="7">"Kata"</f>
        <v>Kata</v>
      </c>
      <c r="E31" s="156" t="str">
        <f t="shared" ref="E31:E40" si="8">"Kata, FELNŐTT férfi"</f>
        <v>Kata, FELNŐTT férfi</v>
      </c>
      <c r="F31" s="154" t="s">
        <v>495</v>
      </c>
      <c r="G31" s="157" t="str">
        <f t="shared" ref="G31:G40" si="9">"10"</f>
        <v>10</v>
      </c>
      <c r="H31" s="156" t="str">
        <f t="shared" ref="H31:H40" si="10">"16 fős egyenes kiesés + 3. hely"</f>
        <v>16 fős egyenes kiesés + 3. hely</v>
      </c>
      <c r="I31" s="157" t="str">
        <f>"1"</f>
        <v>1</v>
      </c>
      <c r="J31" s="156" t="str">
        <f>"Bendiák Soma"</f>
        <v>Bendiák Soma</v>
      </c>
      <c r="K31" s="156" t="str">
        <f>"Bendiák Dojo"</f>
        <v>Bendiák Dojo</v>
      </c>
      <c r="L31" s="156" t="str">
        <f t="shared" si="1"/>
        <v>HUN</v>
      </c>
      <c r="M31" s="163">
        <v>10</v>
      </c>
      <c r="N31" s="158"/>
      <c r="O31" s="154" t="s">
        <v>745</v>
      </c>
      <c r="P31" s="159">
        <v>46067</v>
      </c>
      <c r="Q31" s="154" t="str">
        <f t="shared" si="2"/>
        <v>Bendiák Soma - Bendiák Dojo</v>
      </c>
      <c r="R31" s="154" t="s">
        <v>636</v>
      </c>
      <c r="S31" s="154" t="str">
        <f t="shared" si="6"/>
        <v>Bendiák Dojo</v>
      </c>
      <c r="T31" s="154" t="s">
        <v>644</v>
      </c>
      <c r="U31" s="154" t="s">
        <v>644</v>
      </c>
    </row>
    <row r="32" spans="1:21" s="154" customFormat="1" x14ac:dyDescent="0.3">
      <c r="A32" s="154" t="s">
        <v>741</v>
      </c>
      <c r="B32" s="155" t="s">
        <v>157</v>
      </c>
      <c r="C32" s="154">
        <v>31</v>
      </c>
      <c r="D32" s="156" t="str">
        <f t="shared" si="7"/>
        <v>Kata</v>
      </c>
      <c r="E32" s="156" t="str">
        <f t="shared" si="8"/>
        <v>Kata, FELNŐTT férfi</v>
      </c>
      <c r="F32" s="154" t="s">
        <v>495</v>
      </c>
      <c r="G32" s="157" t="str">
        <f t="shared" si="9"/>
        <v>10</v>
      </c>
      <c r="H32" s="156" t="str">
        <f t="shared" si="10"/>
        <v>16 fős egyenes kiesés + 3. hely</v>
      </c>
      <c r="I32" s="157" t="str">
        <f>"2"</f>
        <v>2</v>
      </c>
      <c r="J32" s="156" t="str">
        <f>"Spéder István"</f>
        <v>Spéder István</v>
      </c>
      <c r="K32" s="156" t="str">
        <f>"Kamikaze S"</f>
        <v>Kamikaze S</v>
      </c>
      <c r="L32" s="156" t="str">
        <f t="shared" si="1"/>
        <v>HUN</v>
      </c>
      <c r="M32" s="163">
        <v>8</v>
      </c>
      <c r="N32" s="158"/>
      <c r="O32" s="154" t="s">
        <v>745</v>
      </c>
      <c r="P32" s="159">
        <v>46067</v>
      </c>
      <c r="Q32" s="154" t="str">
        <f t="shared" si="2"/>
        <v>Spéder István - Kamikaze S</v>
      </c>
      <c r="R32" s="154" t="s">
        <v>636</v>
      </c>
      <c r="S32" s="154" t="str">
        <f t="shared" si="6"/>
        <v>Kamikaze S</v>
      </c>
      <c r="T32" s="154" t="s">
        <v>644</v>
      </c>
      <c r="U32" s="154" t="s">
        <v>644</v>
      </c>
    </row>
    <row r="33" spans="1:21" s="154" customFormat="1" x14ac:dyDescent="0.3">
      <c r="A33" s="154" t="s">
        <v>741</v>
      </c>
      <c r="B33" s="155" t="s">
        <v>157</v>
      </c>
      <c r="C33" s="154">
        <v>32</v>
      </c>
      <c r="D33" s="156" t="str">
        <f t="shared" si="7"/>
        <v>Kata</v>
      </c>
      <c r="E33" s="156" t="str">
        <f t="shared" si="8"/>
        <v>Kata, FELNŐTT férfi</v>
      </c>
      <c r="F33" s="154" t="s">
        <v>495</v>
      </c>
      <c r="G33" s="157" t="str">
        <f t="shared" si="9"/>
        <v>10</v>
      </c>
      <c r="H33" s="156" t="str">
        <f t="shared" si="10"/>
        <v>16 fős egyenes kiesés + 3. hely</v>
      </c>
      <c r="I33" s="157" t="str">
        <f>"3"</f>
        <v>3</v>
      </c>
      <c r="J33" s="156" t="str">
        <f>"Pápai Balázs"</f>
        <v>Pápai Balázs</v>
      </c>
      <c r="K33" s="156" t="str">
        <f>"TADASHII "</f>
        <v xml:space="preserve">TADASHII </v>
      </c>
      <c r="L33" s="156" t="str">
        <f t="shared" si="1"/>
        <v>HUN</v>
      </c>
      <c r="M33" s="163">
        <v>6</v>
      </c>
      <c r="N33" s="158"/>
      <c r="O33" s="154" t="s">
        <v>745</v>
      </c>
      <c r="P33" s="159">
        <v>46067</v>
      </c>
      <c r="Q33" s="154" t="str">
        <f t="shared" si="2"/>
        <v xml:space="preserve">Pápai Balázs - TADASHII </v>
      </c>
      <c r="R33" s="154" t="s">
        <v>637</v>
      </c>
      <c r="S33" s="154" t="str">
        <f t="shared" si="6"/>
        <v xml:space="preserve">TADASHII </v>
      </c>
      <c r="T33" s="154" t="s">
        <v>644</v>
      </c>
      <c r="U33" s="154" t="s">
        <v>644</v>
      </c>
    </row>
    <row r="34" spans="1:21" s="154" customFormat="1" x14ac:dyDescent="0.3">
      <c r="A34" s="154" t="s">
        <v>741</v>
      </c>
      <c r="B34" s="155" t="s">
        <v>157</v>
      </c>
      <c r="C34" s="154">
        <v>33</v>
      </c>
      <c r="D34" s="156" t="str">
        <f t="shared" si="7"/>
        <v>Kata</v>
      </c>
      <c r="E34" s="156" t="str">
        <f t="shared" si="8"/>
        <v>Kata, FELNŐTT férfi</v>
      </c>
      <c r="F34" s="154" t="s">
        <v>495</v>
      </c>
      <c r="G34" s="157" t="str">
        <f t="shared" si="9"/>
        <v>10</v>
      </c>
      <c r="H34" s="156" t="str">
        <f t="shared" si="10"/>
        <v>16 fős egyenes kiesés + 3. hely</v>
      </c>
      <c r="I34" s="157" t="str">
        <f>"4"</f>
        <v>4</v>
      </c>
      <c r="J34" s="156" t="str">
        <f>"Soltész Szabolcs"</f>
        <v>Soltész Szabolcs</v>
      </c>
      <c r="K34" s="156" t="str">
        <f>"Kisvárda KKDOSC"</f>
        <v>Kisvárda KKDOSC</v>
      </c>
      <c r="L34" s="156" t="str">
        <f t="shared" si="1"/>
        <v>HUN</v>
      </c>
      <c r="M34" s="163">
        <v>4</v>
      </c>
      <c r="N34" s="158"/>
      <c r="O34" s="154" t="s">
        <v>745</v>
      </c>
      <c r="P34" s="159">
        <v>46067</v>
      </c>
      <c r="Q34" s="154" t="str">
        <f t="shared" si="2"/>
        <v>Soltész Szabolcs - Kisvárda KKDOSC</v>
      </c>
      <c r="R34" s="154" t="s">
        <v>636</v>
      </c>
      <c r="S34" s="154" t="str">
        <f t="shared" si="6"/>
        <v>Kisvárda KKDOSC</v>
      </c>
      <c r="T34" s="154" t="s">
        <v>644</v>
      </c>
      <c r="U34" s="154" t="s">
        <v>644</v>
      </c>
    </row>
    <row r="35" spans="1:21" s="154" customFormat="1" x14ac:dyDescent="0.3">
      <c r="A35" s="154" t="s">
        <v>741</v>
      </c>
      <c r="B35" s="155" t="s">
        <v>157</v>
      </c>
      <c r="C35" s="154">
        <v>37</v>
      </c>
      <c r="D35" s="156" t="str">
        <f t="shared" si="7"/>
        <v>Kata</v>
      </c>
      <c r="E35" s="156" t="str">
        <f t="shared" si="8"/>
        <v>Kata, FELNŐTT férfi</v>
      </c>
      <c r="F35" s="154" t="s">
        <v>495</v>
      </c>
      <c r="G35" s="157" t="str">
        <f t="shared" si="9"/>
        <v>10</v>
      </c>
      <c r="H35" s="156" t="str">
        <f t="shared" si="10"/>
        <v>16 fős egyenes kiesés + 3. hely</v>
      </c>
      <c r="I35" s="157">
        <v>5</v>
      </c>
      <c r="J35" s="156" t="str">
        <f>"Gagna Patrik"</f>
        <v>Gagna Patrik</v>
      </c>
      <c r="K35" s="156" t="str">
        <f>"Nozomu Dojo"</f>
        <v>Nozomu Dojo</v>
      </c>
      <c r="L35" s="156" t="str">
        <f t="shared" si="1"/>
        <v>HUN</v>
      </c>
      <c r="M35" s="163">
        <v>3</v>
      </c>
      <c r="N35" s="158"/>
      <c r="O35" s="154" t="s">
        <v>745</v>
      </c>
      <c r="P35" s="159">
        <v>46067</v>
      </c>
      <c r="Q35" s="154" t="str">
        <f>J35&amp;" - "&amp;K35</f>
        <v>Gagna Patrik - Nozomu Dojo</v>
      </c>
      <c r="R35" s="154" t="s">
        <v>636</v>
      </c>
      <c r="S35" s="154" t="str">
        <f>K35</f>
        <v>Nozomu Dojo</v>
      </c>
      <c r="T35" s="154" t="s">
        <v>644</v>
      </c>
      <c r="U35" s="154" t="s">
        <v>644</v>
      </c>
    </row>
    <row r="36" spans="1:21" s="154" customFormat="1" x14ac:dyDescent="0.3">
      <c r="A36" s="154" t="s">
        <v>741</v>
      </c>
      <c r="B36" s="155" t="s">
        <v>157</v>
      </c>
      <c r="C36" s="154">
        <v>34</v>
      </c>
      <c r="D36" s="156" t="str">
        <f t="shared" si="7"/>
        <v>Kata</v>
      </c>
      <c r="E36" s="156" t="str">
        <f t="shared" si="8"/>
        <v>Kata, FELNŐTT férfi</v>
      </c>
      <c r="F36" s="154" t="s">
        <v>495</v>
      </c>
      <c r="G36" s="157" t="str">
        <f t="shared" si="9"/>
        <v>10</v>
      </c>
      <c r="H36" s="156" t="str">
        <f t="shared" si="10"/>
        <v>16 fős egyenes kiesés + 3. hely</v>
      </c>
      <c r="I36" s="157">
        <v>6</v>
      </c>
      <c r="J36" s="156" t="str">
        <f>"Szabó Bence"</f>
        <v>Szabó Bence</v>
      </c>
      <c r="K36" s="156" t="str">
        <f>"Shogun"</f>
        <v>Shogun</v>
      </c>
      <c r="L36" s="156" t="str">
        <f t="shared" si="1"/>
        <v>HUN</v>
      </c>
      <c r="M36" s="163">
        <v>3</v>
      </c>
      <c r="N36" s="158"/>
      <c r="O36" s="154" t="s">
        <v>745</v>
      </c>
      <c r="P36" s="159">
        <v>46067</v>
      </c>
      <c r="Q36" s="154" t="str">
        <f t="shared" si="2"/>
        <v>Szabó Bence - Shogun</v>
      </c>
      <c r="R36" s="154" t="s">
        <v>636</v>
      </c>
      <c r="S36" s="154" t="str">
        <f t="shared" si="6"/>
        <v>Shogun</v>
      </c>
      <c r="T36" s="154" t="s">
        <v>644</v>
      </c>
      <c r="U36" s="154" t="s">
        <v>644</v>
      </c>
    </row>
    <row r="37" spans="1:21" s="154" customFormat="1" x14ac:dyDescent="0.3">
      <c r="A37" s="154" t="s">
        <v>741</v>
      </c>
      <c r="B37" s="155" t="s">
        <v>157</v>
      </c>
      <c r="C37" s="154">
        <v>36</v>
      </c>
      <c r="D37" s="156" t="str">
        <f t="shared" si="7"/>
        <v>Kata</v>
      </c>
      <c r="E37" s="156" t="str">
        <f t="shared" si="8"/>
        <v>Kata, FELNŐTT férfi</v>
      </c>
      <c r="F37" s="154" t="s">
        <v>495</v>
      </c>
      <c r="G37" s="157" t="str">
        <f t="shared" si="9"/>
        <v>10</v>
      </c>
      <c r="H37" s="156" t="str">
        <f t="shared" si="10"/>
        <v>16 fős egyenes kiesés + 3. hely</v>
      </c>
      <c r="I37" s="157">
        <v>7</v>
      </c>
      <c r="J37" s="156" t="str">
        <f>"Andrikó Antal"</f>
        <v>Andrikó Antal</v>
      </c>
      <c r="K37" s="156" t="str">
        <f>"KSE Tarján"</f>
        <v>KSE Tarján</v>
      </c>
      <c r="L37" s="156" t="str">
        <f t="shared" si="1"/>
        <v>HUN</v>
      </c>
      <c r="M37" s="163">
        <v>0</v>
      </c>
      <c r="N37" s="158" t="s">
        <v>747</v>
      </c>
      <c r="O37" s="154" t="s">
        <v>745</v>
      </c>
      <c r="P37" s="159">
        <v>46067</v>
      </c>
      <c r="Q37" s="154" t="str">
        <f>J37&amp;" - "&amp;K37</f>
        <v>Andrikó Antal - KSE Tarján</v>
      </c>
      <c r="R37" s="154" t="s">
        <v>636</v>
      </c>
      <c r="S37" s="154" t="str">
        <f>K37</f>
        <v>KSE Tarján</v>
      </c>
      <c r="T37" s="154" t="s">
        <v>644</v>
      </c>
      <c r="U37" s="154" t="s">
        <v>644</v>
      </c>
    </row>
    <row r="38" spans="1:21" s="154" customFormat="1" x14ac:dyDescent="0.3">
      <c r="A38" s="154" t="s">
        <v>741</v>
      </c>
      <c r="B38" s="155" t="s">
        <v>157</v>
      </c>
      <c r="C38" s="154">
        <v>35</v>
      </c>
      <c r="D38" s="156" t="str">
        <f t="shared" si="7"/>
        <v>Kata</v>
      </c>
      <c r="E38" s="156" t="str">
        <f t="shared" si="8"/>
        <v>Kata, FELNŐTT férfi</v>
      </c>
      <c r="F38" s="154" t="s">
        <v>495</v>
      </c>
      <c r="G38" s="157" t="str">
        <f t="shared" si="9"/>
        <v>10</v>
      </c>
      <c r="H38" s="156" t="str">
        <f t="shared" si="10"/>
        <v>16 fős egyenes kiesés + 3. hely</v>
      </c>
      <c r="I38" s="157">
        <v>8</v>
      </c>
      <c r="J38" s="156" t="str">
        <f>"Kurucz László Botond"</f>
        <v>Kurucz László Botond</v>
      </c>
      <c r="K38" s="156" t="str">
        <f>"Genbu dojo"</f>
        <v>Genbu dojo</v>
      </c>
      <c r="L38" s="156" t="str">
        <f t="shared" si="1"/>
        <v>HUN</v>
      </c>
      <c r="M38" s="163">
        <v>0</v>
      </c>
      <c r="N38" s="158" t="s">
        <v>747</v>
      </c>
      <c r="O38" s="154" t="s">
        <v>745</v>
      </c>
      <c r="P38" s="159">
        <v>46067</v>
      </c>
      <c r="Q38" s="154" t="str">
        <f t="shared" si="2"/>
        <v>Kurucz László Botond - Genbu dojo</v>
      </c>
      <c r="R38" s="154" t="s">
        <v>637</v>
      </c>
      <c r="S38" s="154" t="str">
        <f t="shared" si="6"/>
        <v>Genbu dojo</v>
      </c>
      <c r="T38" s="154" t="s">
        <v>644</v>
      </c>
      <c r="U38" s="154" t="s">
        <v>644</v>
      </c>
    </row>
    <row r="39" spans="1:21" s="154" customFormat="1" x14ac:dyDescent="0.3">
      <c r="A39" s="154" t="s">
        <v>741</v>
      </c>
      <c r="B39" s="155" t="s">
        <v>157</v>
      </c>
      <c r="C39" s="154">
        <v>39</v>
      </c>
      <c r="D39" s="156" t="str">
        <f t="shared" si="7"/>
        <v>Kata</v>
      </c>
      <c r="E39" s="156" t="str">
        <f t="shared" si="8"/>
        <v>Kata, FELNŐTT férfi</v>
      </c>
      <c r="F39" s="154" t="s">
        <v>495</v>
      </c>
      <c r="G39" s="157" t="str">
        <f t="shared" si="9"/>
        <v>10</v>
      </c>
      <c r="H39" s="156" t="str">
        <f t="shared" si="10"/>
        <v>16 fős egyenes kiesés + 3. hely</v>
      </c>
      <c r="I39" s="157">
        <v>9</v>
      </c>
      <c r="J39" s="156" t="str">
        <f>"Csordás Benjamin"</f>
        <v>Csordás Benjamin</v>
      </c>
      <c r="K39" s="156" t="str">
        <f>"Seiken STKE"</f>
        <v>Seiken STKE</v>
      </c>
      <c r="L39" s="156" t="str">
        <f t="shared" si="1"/>
        <v>HUN</v>
      </c>
      <c r="M39" s="163">
        <v>0</v>
      </c>
      <c r="N39" s="158" t="s">
        <v>747</v>
      </c>
      <c r="O39" s="154" t="s">
        <v>745</v>
      </c>
      <c r="P39" s="159">
        <v>46067</v>
      </c>
      <c r="Q39" s="154" t="str">
        <f t="shared" ref="Q39" si="11">J39&amp;" - "&amp;K39</f>
        <v>Csordás Benjamin - Seiken STKE</v>
      </c>
      <c r="R39" s="154" t="s">
        <v>637</v>
      </c>
      <c r="S39" s="154" t="str">
        <f t="shared" ref="S39" si="12">K39</f>
        <v>Seiken STKE</v>
      </c>
      <c r="T39" s="154" t="s">
        <v>644</v>
      </c>
      <c r="U39" s="154" t="s">
        <v>644</v>
      </c>
    </row>
    <row r="40" spans="1:21" s="154" customFormat="1" x14ac:dyDescent="0.3">
      <c r="A40" s="154" t="s">
        <v>741</v>
      </c>
      <c r="B40" s="155" t="s">
        <v>157</v>
      </c>
      <c r="C40" s="154">
        <v>38</v>
      </c>
      <c r="D40" s="156" t="str">
        <f t="shared" si="7"/>
        <v>Kata</v>
      </c>
      <c r="E40" s="156" t="str">
        <f t="shared" si="8"/>
        <v>Kata, FELNŐTT férfi</v>
      </c>
      <c r="F40" s="154" t="s">
        <v>495</v>
      </c>
      <c r="G40" s="157" t="str">
        <f t="shared" si="9"/>
        <v>10</v>
      </c>
      <c r="H40" s="156" t="str">
        <f t="shared" si="10"/>
        <v>16 fős egyenes kiesés + 3. hely</v>
      </c>
      <c r="I40" s="157">
        <v>10</v>
      </c>
      <c r="J40" s="156" t="str">
        <f>"Dávid András"</f>
        <v>Dávid András</v>
      </c>
      <c r="K40" s="156" t="str">
        <f>"BHMSE"</f>
        <v>BHMSE</v>
      </c>
      <c r="L40" s="156" t="str">
        <f t="shared" si="1"/>
        <v>HUN</v>
      </c>
      <c r="M40" s="163">
        <v>0</v>
      </c>
      <c r="N40" s="158" t="s">
        <v>747</v>
      </c>
      <c r="O40" s="154" t="s">
        <v>745</v>
      </c>
      <c r="P40" s="159">
        <v>46067</v>
      </c>
      <c r="Q40" s="154" t="str">
        <f t="shared" si="2"/>
        <v>Dávid András - BHMSE</v>
      </c>
      <c r="R40" s="154" t="s">
        <v>636</v>
      </c>
      <c r="S40" s="154" t="str">
        <f t="shared" si="6"/>
        <v>BHMSE</v>
      </c>
      <c r="T40" s="154" t="s">
        <v>644</v>
      </c>
      <c r="U40" s="154" t="s">
        <v>644</v>
      </c>
    </row>
    <row r="41" spans="1:21" s="154" customFormat="1" x14ac:dyDescent="0.3">
      <c r="A41" s="154" t="s">
        <v>741</v>
      </c>
      <c r="B41" s="155" t="s">
        <v>157</v>
      </c>
      <c r="C41" s="154">
        <v>40</v>
      </c>
      <c r="D41" s="156" t="str">
        <f t="shared" ref="D41:D57" si="13">"Kumite"</f>
        <v>Kumite</v>
      </c>
      <c r="E41" s="156" t="str">
        <f>"Kumite, Felnőtt nő -49,9kg"</f>
        <v>Kumite, Felnőtt nő -49,9kg</v>
      </c>
      <c r="F41" s="154" t="s">
        <v>489</v>
      </c>
      <c r="G41" s="157" t="str">
        <f>"2"</f>
        <v>2</v>
      </c>
      <c r="H41" s="156" t="str">
        <f>"2 fős egyenes kiesés"</f>
        <v>2 fős egyenes kiesés</v>
      </c>
      <c r="I41" s="157" t="str">
        <f>"1"</f>
        <v>1</v>
      </c>
      <c r="J41" s="156" t="str">
        <f>"Dévényi Lora"</f>
        <v>Dévényi Lora</v>
      </c>
      <c r="K41" s="156" t="str">
        <f>"Victory"</f>
        <v>Victory</v>
      </c>
      <c r="L41" s="156" t="str">
        <f t="shared" si="1"/>
        <v>HUN</v>
      </c>
      <c r="M41" s="163">
        <v>6</v>
      </c>
      <c r="N41" s="158"/>
      <c r="O41" s="154" t="s">
        <v>745</v>
      </c>
      <c r="P41" s="159">
        <v>46067</v>
      </c>
      <c r="Q41" s="154" t="str">
        <f t="shared" si="2"/>
        <v>Dévényi Lora - Victory</v>
      </c>
      <c r="R41" s="154" t="s">
        <v>636</v>
      </c>
      <c r="S41" s="154" t="str">
        <f t="shared" si="6"/>
        <v>Victory</v>
      </c>
      <c r="T41" s="154" t="s">
        <v>644</v>
      </c>
      <c r="U41" s="154" t="s">
        <v>644</v>
      </c>
    </row>
    <row r="42" spans="1:21" s="154" customFormat="1" x14ac:dyDescent="0.3">
      <c r="A42" s="154" t="s">
        <v>741</v>
      </c>
      <c r="B42" s="155" t="s">
        <v>157</v>
      </c>
      <c r="C42" s="154">
        <v>41</v>
      </c>
      <c r="D42" s="156" t="str">
        <f t="shared" si="13"/>
        <v>Kumite</v>
      </c>
      <c r="E42" s="156" t="str">
        <f>"Kumite, Felnőtt nő -49,9kg"</f>
        <v>Kumite, Felnőtt nő -49,9kg</v>
      </c>
      <c r="F42" s="154" t="s">
        <v>489</v>
      </c>
      <c r="G42" s="157" t="str">
        <f>"2"</f>
        <v>2</v>
      </c>
      <c r="H42" s="156" t="str">
        <f>"2 fős egyenes kiesés"</f>
        <v>2 fős egyenes kiesés</v>
      </c>
      <c r="I42" s="157" t="str">
        <f>"2"</f>
        <v>2</v>
      </c>
      <c r="J42" s="156" t="str">
        <f>"Bihari Lili"</f>
        <v>Bihari Lili</v>
      </c>
      <c r="K42" s="156" t="str">
        <f>"Bátor KSE"</f>
        <v>Bátor KSE</v>
      </c>
      <c r="L42" s="156" t="str">
        <f t="shared" si="1"/>
        <v>HUN</v>
      </c>
      <c r="M42" s="163">
        <v>0</v>
      </c>
      <c r="N42" s="158" t="s">
        <v>704</v>
      </c>
      <c r="O42" s="154" t="s">
        <v>745</v>
      </c>
      <c r="P42" s="159">
        <v>46067</v>
      </c>
      <c r="Q42" s="154" t="str">
        <f t="shared" si="2"/>
        <v>Bihari Lili - Bátor KSE</v>
      </c>
      <c r="R42" s="154" t="s">
        <v>636</v>
      </c>
      <c r="S42" s="154" t="str">
        <f t="shared" si="6"/>
        <v>Bátor KSE</v>
      </c>
      <c r="T42" s="154" t="s">
        <v>644</v>
      </c>
      <c r="U42" s="154" t="s">
        <v>644</v>
      </c>
    </row>
    <row r="43" spans="1:21" s="154" customFormat="1" x14ac:dyDescent="0.3">
      <c r="A43" s="154" t="s">
        <v>741</v>
      </c>
      <c r="B43" s="155" t="s">
        <v>157</v>
      </c>
      <c r="C43" s="154">
        <v>42</v>
      </c>
      <c r="D43" s="156" t="str">
        <f t="shared" si="13"/>
        <v>Kumite</v>
      </c>
      <c r="E43" s="156" t="str">
        <f>"Kumite, Felnőtt nő 50-54,9kg"</f>
        <v>Kumite, Felnőtt nő 50-54,9kg</v>
      </c>
      <c r="F43" s="154" t="s">
        <v>743</v>
      </c>
      <c r="G43" s="157" t="str">
        <f>"3"</f>
        <v>3</v>
      </c>
      <c r="H43" s="156" t="str">
        <f>"3 fős körmérkőzés"</f>
        <v>3 fős körmérkőzés</v>
      </c>
      <c r="I43" s="157" t="str">
        <f>"1"</f>
        <v>1</v>
      </c>
      <c r="J43" s="156" t="str">
        <f>"Litvák Lili"</f>
        <v>Litvák Lili</v>
      </c>
      <c r="K43" s="156" t="str">
        <f>"KHSE"</f>
        <v>KHSE</v>
      </c>
      <c r="L43" s="156" t="str">
        <f t="shared" si="1"/>
        <v>HUN</v>
      </c>
      <c r="M43" s="163">
        <v>10</v>
      </c>
      <c r="N43" s="158"/>
      <c r="O43" s="154" t="s">
        <v>745</v>
      </c>
      <c r="P43" s="159">
        <v>46067</v>
      </c>
      <c r="Q43" s="154" t="str">
        <f t="shared" si="2"/>
        <v>Litvák Lili - KHSE</v>
      </c>
      <c r="R43" s="154" t="s">
        <v>636</v>
      </c>
      <c r="S43" s="154" t="str">
        <f t="shared" si="6"/>
        <v>KHSE</v>
      </c>
      <c r="T43" s="154" t="s">
        <v>644</v>
      </c>
      <c r="U43" s="154" t="s">
        <v>644</v>
      </c>
    </row>
    <row r="44" spans="1:21" s="154" customFormat="1" x14ac:dyDescent="0.3">
      <c r="A44" s="154" t="s">
        <v>741</v>
      </c>
      <c r="B44" s="155" t="s">
        <v>157</v>
      </c>
      <c r="C44" s="154">
        <v>43</v>
      </c>
      <c r="D44" s="156" t="str">
        <f t="shared" si="13"/>
        <v>Kumite</v>
      </c>
      <c r="E44" s="156" t="str">
        <f>"Kumite, Felnőtt nő 50-54,9kg"</f>
        <v>Kumite, Felnőtt nő 50-54,9kg</v>
      </c>
      <c r="F44" s="154" t="s">
        <v>743</v>
      </c>
      <c r="G44" s="157" t="str">
        <f>"3"</f>
        <v>3</v>
      </c>
      <c r="H44" s="156" t="str">
        <f>"3 fős körmérkőzés"</f>
        <v>3 fős körmérkőzés</v>
      </c>
      <c r="I44" s="157" t="str">
        <f>"2"</f>
        <v>2</v>
      </c>
      <c r="J44" s="156" t="str">
        <f>"Polák Leila"</f>
        <v>Polák Leila</v>
      </c>
      <c r="K44" s="156" t="str">
        <f>"TADASHII "</f>
        <v xml:space="preserve">TADASHII </v>
      </c>
      <c r="L44" s="156" t="str">
        <f t="shared" si="1"/>
        <v>HUN</v>
      </c>
      <c r="M44" s="163">
        <v>6</v>
      </c>
      <c r="N44" s="158"/>
      <c r="O44" s="154" t="s">
        <v>745</v>
      </c>
      <c r="P44" s="159">
        <v>46067</v>
      </c>
      <c r="Q44" s="154" t="str">
        <f t="shared" si="2"/>
        <v xml:space="preserve">Polák Leila - TADASHII </v>
      </c>
      <c r="R44" s="154" t="s">
        <v>637</v>
      </c>
      <c r="S44" s="154" t="str">
        <f t="shared" si="6"/>
        <v xml:space="preserve">TADASHII </v>
      </c>
      <c r="T44" s="154" t="s">
        <v>644</v>
      </c>
      <c r="U44" s="154" t="s">
        <v>644</v>
      </c>
    </row>
    <row r="45" spans="1:21" s="154" customFormat="1" x14ac:dyDescent="0.3">
      <c r="A45" s="154" t="s">
        <v>741</v>
      </c>
      <c r="B45" s="155" t="s">
        <v>157</v>
      </c>
      <c r="C45" s="154">
        <v>44</v>
      </c>
      <c r="D45" s="156" t="str">
        <f t="shared" si="13"/>
        <v>Kumite</v>
      </c>
      <c r="E45" s="156" t="str">
        <f>"Kumite, Felnőtt nő 50-54,9kg"</f>
        <v>Kumite, Felnőtt nő 50-54,9kg</v>
      </c>
      <c r="F45" s="154" t="s">
        <v>743</v>
      </c>
      <c r="G45" s="157" t="str">
        <f>"3"</f>
        <v>3</v>
      </c>
      <c r="H45" s="156" t="str">
        <f>"3 fős körmérkőzés"</f>
        <v>3 fős körmérkőzés</v>
      </c>
      <c r="I45" s="157" t="str">
        <f>"3"</f>
        <v>3</v>
      </c>
      <c r="J45" s="156" t="str">
        <f>"Gyenge Judit"</f>
        <v>Gyenge Judit</v>
      </c>
      <c r="K45" s="156" t="str">
        <f>"KHSE"</f>
        <v>KHSE</v>
      </c>
      <c r="L45" s="156" t="str">
        <f t="shared" si="1"/>
        <v>HUN</v>
      </c>
      <c r="M45" s="163">
        <v>0</v>
      </c>
      <c r="N45" s="158" t="s">
        <v>704</v>
      </c>
      <c r="O45" s="154" t="s">
        <v>745</v>
      </c>
      <c r="P45" s="159">
        <v>46067</v>
      </c>
      <c r="Q45" s="154" t="str">
        <f t="shared" si="2"/>
        <v>Gyenge Judit - KHSE</v>
      </c>
      <c r="R45" s="154" t="s">
        <v>636</v>
      </c>
      <c r="S45" s="154" t="str">
        <f t="shared" si="6"/>
        <v>KHSE</v>
      </c>
      <c r="T45" s="154" t="s">
        <v>644</v>
      </c>
      <c r="U45" s="154" t="s">
        <v>644</v>
      </c>
    </row>
    <row r="46" spans="1:21" s="154" customFormat="1" x14ac:dyDescent="0.3">
      <c r="A46" s="154" t="s">
        <v>741</v>
      </c>
      <c r="B46" s="155" t="s">
        <v>157</v>
      </c>
      <c r="C46" s="154">
        <v>45</v>
      </c>
      <c r="D46" s="156" t="str">
        <f t="shared" si="13"/>
        <v>Kumite</v>
      </c>
      <c r="E46" s="156" t="str">
        <f>"Kumite, Felnőtt nő 55-59,9kg"</f>
        <v>Kumite, Felnőtt nő 55-59,9kg</v>
      </c>
      <c r="F46" s="154" t="s">
        <v>744</v>
      </c>
      <c r="G46" s="157" t="str">
        <f>"4"</f>
        <v>4</v>
      </c>
      <c r="H46" s="156" t="str">
        <f>"4 fős körmérkőzés"</f>
        <v>4 fős körmérkőzés</v>
      </c>
      <c r="I46" s="157" t="str">
        <f>"1"</f>
        <v>1</v>
      </c>
      <c r="J46" s="156" t="str">
        <f>"Csordás Norina"</f>
        <v>Csordás Norina</v>
      </c>
      <c r="K46" s="156" t="str">
        <f>"Seiken STKE"</f>
        <v>Seiken STKE</v>
      </c>
      <c r="L46" s="156" t="str">
        <f t="shared" si="1"/>
        <v>HUN</v>
      </c>
      <c r="M46" s="163">
        <v>12</v>
      </c>
      <c r="N46" s="158"/>
      <c r="O46" s="154" t="s">
        <v>745</v>
      </c>
      <c r="P46" s="159">
        <v>46067</v>
      </c>
      <c r="Q46" s="154" t="str">
        <f t="shared" si="2"/>
        <v>Csordás Norina - Seiken STKE</v>
      </c>
      <c r="R46" s="154" t="s">
        <v>637</v>
      </c>
      <c r="S46" s="154" t="str">
        <f t="shared" si="6"/>
        <v>Seiken STKE</v>
      </c>
      <c r="T46" s="154" t="s">
        <v>644</v>
      </c>
      <c r="U46" s="154" t="s">
        <v>644</v>
      </c>
    </row>
    <row r="47" spans="1:21" s="154" customFormat="1" x14ac:dyDescent="0.3">
      <c r="A47" s="154" t="s">
        <v>741</v>
      </c>
      <c r="B47" s="155" t="s">
        <v>157</v>
      </c>
      <c r="C47" s="154">
        <v>46</v>
      </c>
      <c r="D47" s="156" t="str">
        <f t="shared" si="13"/>
        <v>Kumite</v>
      </c>
      <c r="E47" s="156" t="str">
        <f>"Kumite, Felnőtt nő 55-59,9kg"</f>
        <v>Kumite, Felnőtt nő 55-59,9kg</v>
      </c>
      <c r="F47" s="154" t="s">
        <v>744</v>
      </c>
      <c r="G47" s="157" t="str">
        <f>"4"</f>
        <v>4</v>
      </c>
      <c r="H47" s="156" t="str">
        <f>"4 fős körmérkőzés"</f>
        <v>4 fős körmérkőzés</v>
      </c>
      <c r="I47" s="157" t="str">
        <f>"2"</f>
        <v>2</v>
      </c>
      <c r="J47" s="156" t="str">
        <f>"Kántor Viktória"</f>
        <v>Kántor Viktória</v>
      </c>
      <c r="K47" s="156" t="str">
        <f>"VTSE"</f>
        <v>VTSE</v>
      </c>
      <c r="L47" s="156" t="str">
        <f t="shared" si="1"/>
        <v>HUN</v>
      </c>
      <c r="M47" s="163">
        <v>9</v>
      </c>
      <c r="N47" s="158"/>
      <c r="O47" s="154" t="s">
        <v>745</v>
      </c>
      <c r="P47" s="159">
        <v>46067</v>
      </c>
      <c r="Q47" s="154" t="str">
        <f t="shared" si="2"/>
        <v>Kántor Viktória - VTSE</v>
      </c>
      <c r="R47" s="154" t="s">
        <v>637</v>
      </c>
      <c r="S47" s="154" t="str">
        <f t="shared" si="6"/>
        <v>VTSE</v>
      </c>
      <c r="T47" s="154" t="s">
        <v>644</v>
      </c>
      <c r="U47" s="154" t="s">
        <v>644</v>
      </c>
    </row>
    <row r="48" spans="1:21" s="154" customFormat="1" x14ac:dyDescent="0.3">
      <c r="A48" s="154" t="s">
        <v>741</v>
      </c>
      <c r="B48" s="155" t="s">
        <v>157</v>
      </c>
      <c r="C48" s="154">
        <v>47</v>
      </c>
      <c r="D48" s="156" t="str">
        <f t="shared" si="13"/>
        <v>Kumite</v>
      </c>
      <c r="E48" s="156" t="str">
        <f>"Kumite, Felnőtt nő 55-59,9kg"</f>
        <v>Kumite, Felnőtt nő 55-59,9kg</v>
      </c>
      <c r="F48" s="154" t="s">
        <v>744</v>
      </c>
      <c r="G48" s="157" t="str">
        <f>"4"</f>
        <v>4</v>
      </c>
      <c r="H48" s="156" t="str">
        <f>"4 fős körmérkőzés"</f>
        <v>4 fős körmérkőzés</v>
      </c>
      <c r="I48" s="157" t="str">
        <f>"3"</f>
        <v>3</v>
      </c>
      <c r="J48" s="156" t="str">
        <f>"Sharabi Maya"</f>
        <v>Sharabi Maya</v>
      </c>
      <c r="K48" s="156" t="str">
        <f>"BHMSE"</f>
        <v>BHMSE</v>
      </c>
      <c r="L48" s="156" t="str">
        <f t="shared" si="1"/>
        <v>HUN</v>
      </c>
      <c r="M48" s="163">
        <v>6</v>
      </c>
      <c r="N48" s="158"/>
      <c r="O48" s="154" t="s">
        <v>745</v>
      </c>
      <c r="P48" s="159">
        <v>46067</v>
      </c>
      <c r="Q48" s="154" t="str">
        <f t="shared" si="2"/>
        <v>Sharabi Maya - BHMSE</v>
      </c>
      <c r="R48" s="154" t="s">
        <v>636</v>
      </c>
      <c r="S48" s="154" t="str">
        <f t="shared" si="6"/>
        <v>BHMSE</v>
      </c>
      <c r="T48" s="154" t="s">
        <v>644</v>
      </c>
      <c r="U48" s="154" t="s">
        <v>644</v>
      </c>
    </row>
    <row r="49" spans="1:21" s="154" customFormat="1" x14ac:dyDescent="0.3">
      <c r="A49" s="154" t="s">
        <v>741</v>
      </c>
      <c r="B49" s="155" t="s">
        <v>157</v>
      </c>
      <c r="C49" s="154">
        <v>48</v>
      </c>
      <c r="D49" s="156" t="str">
        <f t="shared" si="13"/>
        <v>Kumite</v>
      </c>
      <c r="E49" s="156" t="str">
        <f>"Kumite, Felnőtt nő 60-64,9kg"</f>
        <v>Kumite, Felnőtt nő 60-64,9kg</v>
      </c>
      <c r="F49" s="154" t="s">
        <v>492</v>
      </c>
      <c r="G49" s="157" t="str">
        <f>"6"</f>
        <v>6</v>
      </c>
      <c r="H49" s="156" t="str">
        <f>"6 fős vegyes"</f>
        <v>6 fős vegyes</v>
      </c>
      <c r="I49" s="157" t="str">
        <f>"1"</f>
        <v>1</v>
      </c>
      <c r="J49" s="156" t="str">
        <f>"Mező Lili"</f>
        <v>Mező Lili</v>
      </c>
      <c r="K49" s="156" t="str">
        <f>"Victory"</f>
        <v>Victory</v>
      </c>
      <c r="L49" s="156" t="str">
        <f t="shared" si="1"/>
        <v>HUN</v>
      </c>
      <c r="M49" s="163">
        <v>12</v>
      </c>
      <c r="N49" s="158"/>
      <c r="O49" s="154" t="s">
        <v>745</v>
      </c>
      <c r="P49" s="159">
        <v>46067</v>
      </c>
      <c r="Q49" s="154" t="str">
        <f t="shared" si="2"/>
        <v>Mező Lili - Victory</v>
      </c>
      <c r="R49" s="154" t="s">
        <v>636</v>
      </c>
      <c r="S49" s="154" t="str">
        <f t="shared" si="6"/>
        <v>Victory</v>
      </c>
      <c r="T49" s="154" t="s">
        <v>644</v>
      </c>
      <c r="U49" s="154" t="s">
        <v>644</v>
      </c>
    </row>
    <row r="50" spans="1:21" s="154" customFormat="1" x14ac:dyDescent="0.3">
      <c r="A50" s="154" t="s">
        <v>741</v>
      </c>
      <c r="B50" s="155" t="s">
        <v>157</v>
      </c>
      <c r="C50" s="154">
        <v>49</v>
      </c>
      <c r="D50" s="156" t="str">
        <f t="shared" si="13"/>
        <v>Kumite</v>
      </c>
      <c r="E50" s="156" t="str">
        <f>"Kumite, Felnőtt nő 60-64,9kg"</f>
        <v>Kumite, Felnőtt nő 60-64,9kg</v>
      </c>
      <c r="F50" s="154" t="s">
        <v>492</v>
      </c>
      <c r="G50" s="157" t="str">
        <f>"6"</f>
        <v>6</v>
      </c>
      <c r="H50" s="156" t="str">
        <f>"6 fős vegyes"</f>
        <v>6 fős vegyes</v>
      </c>
      <c r="I50" s="157" t="str">
        <f>"2"</f>
        <v>2</v>
      </c>
      <c r="J50" s="156" t="str">
        <f>"Szalay Berta"</f>
        <v>Szalay Berta</v>
      </c>
      <c r="K50" s="156" t="str">
        <f>"Castrum"</f>
        <v>Castrum</v>
      </c>
      <c r="L50" s="156" t="str">
        <f t="shared" si="1"/>
        <v>HUN</v>
      </c>
      <c r="M50" s="163">
        <v>9</v>
      </c>
      <c r="N50" s="158"/>
      <c r="O50" s="154" t="s">
        <v>745</v>
      </c>
      <c r="P50" s="159">
        <v>46067</v>
      </c>
      <c r="Q50" s="154" t="str">
        <f t="shared" si="2"/>
        <v>Szalay Berta - Castrum</v>
      </c>
      <c r="R50" s="154" t="s">
        <v>636</v>
      </c>
      <c r="S50" s="154" t="str">
        <f t="shared" si="6"/>
        <v>Castrum</v>
      </c>
      <c r="T50" s="154" t="s">
        <v>644</v>
      </c>
      <c r="U50" s="154" t="s">
        <v>644</v>
      </c>
    </row>
    <row r="51" spans="1:21" s="154" customFormat="1" x14ac:dyDescent="0.3">
      <c r="A51" s="154" t="s">
        <v>741</v>
      </c>
      <c r="B51" s="155" t="s">
        <v>157</v>
      </c>
      <c r="C51" s="154">
        <v>50</v>
      </c>
      <c r="D51" s="156" t="str">
        <f t="shared" si="13"/>
        <v>Kumite</v>
      </c>
      <c r="E51" s="156" t="str">
        <f>"Kumite, Felnőtt nő 60-64,9kg"</f>
        <v>Kumite, Felnőtt nő 60-64,9kg</v>
      </c>
      <c r="F51" s="154" t="s">
        <v>492</v>
      </c>
      <c r="G51" s="157" t="str">
        <f>"6"</f>
        <v>6</v>
      </c>
      <c r="H51" s="156" t="str">
        <f>"6 fős vegyes"</f>
        <v>6 fős vegyes</v>
      </c>
      <c r="I51" s="157" t="str">
        <f>"3"</f>
        <v>3</v>
      </c>
      <c r="J51" s="156" t="str">
        <f>"Bóka Viktória"</f>
        <v>Bóka Viktória</v>
      </c>
      <c r="K51" s="156" t="str">
        <f>"Griff SE"</f>
        <v>Griff SE</v>
      </c>
      <c r="L51" s="156" t="str">
        <f t="shared" si="1"/>
        <v>HUN</v>
      </c>
      <c r="M51" s="163">
        <v>6</v>
      </c>
      <c r="N51" s="158"/>
      <c r="O51" s="154" t="s">
        <v>745</v>
      </c>
      <c r="P51" s="159">
        <v>46067</v>
      </c>
      <c r="Q51" s="154" t="str">
        <f t="shared" si="2"/>
        <v>Bóka Viktória - Griff SE</v>
      </c>
      <c r="R51" s="154" t="s">
        <v>636</v>
      </c>
      <c r="S51" s="154" t="str">
        <f t="shared" si="6"/>
        <v>Griff SE</v>
      </c>
      <c r="T51" s="154" t="s">
        <v>644</v>
      </c>
      <c r="U51" s="154" t="s">
        <v>644</v>
      </c>
    </row>
    <row r="52" spans="1:21" s="154" customFormat="1" x14ac:dyDescent="0.3">
      <c r="A52" s="154" t="s">
        <v>741</v>
      </c>
      <c r="B52" s="155" t="s">
        <v>157</v>
      </c>
      <c r="C52" s="154">
        <v>51</v>
      </c>
      <c r="D52" s="156" t="str">
        <f t="shared" si="13"/>
        <v>Kumite</v>
      </c>
      <c r="E52" s="156" t="str">
        <f>"Kumite, Felnőtt nő 65-kg"</f>
        <v>Kumite, Felnőtt nő 65-kg</v>
      </c>
      <c r="F52" s="154" t="s">
        <v>493</v>
      </c>
      <c r="G52" s="157" t="str">
        <f>"4"</f>
        <v>4</v>
      </c>
      <c r="H52" s="156" t="str">
        <f>"4 fős körmérkőzés"</f>
        <v>4 fős körmérkőzés</v>
      </c>
      <c r="I52" s="157" t="str">
        <f>"1"</f>
        <v>1</v>
      </c>
      <c r="J52" s="156" t="str">
        <f>"Tóth Csenge"</f>
        <v>Tóth Csenge</v>
      </c>
      <c r="K52" s="156" t="str">
        <f>"Victory"</f>
        <v>Victory</v>
      </c>
      <c r="L52" s="156" t="str">
        <f t="shared" si="1"/>
        <v>HUN</v>
      </c>
      <c r="M52" s="163">
        <v>12</v>
      </c>
      <c r="N52" s="158"/>
      <c r="O52" s="154" t="s">
        <v>745</v>
      </c>
      <c r="P52" s="159">
        <v>46067</v>
      </c>
      <c r="Q52" s="154" t="str">
        <f t="shared" si="2"/>
        <v>Tóth Csenge - Victory</v>
      </c>
      <c r="R52" s="154" t="s">
        <v>636</v>
      </c>
      <c r="S52" s="154" t="str">
        <f t="shared" si="6"/>
        <v>Victory</v>
      </c>
      <c r="T52" s="154" t="s">
        <v>644</v>
      </c>
      <c r="U52" s="154" t="s">
        <v>644</v>
      </c>
    </row>
    <row r="53" spans="1:21" s="154" customFormat="1" x14ac:dyDescent="0.3">
      <c r="A53" s="154" t="s">
        <v>741</v>
      </c>
      <c r="B53" s="155" t="s">
        <v>157</v>
      </c>
      <c r="C53" s="154">
        <v>52</v>
      </c>
      <c r="D53" s="156" t="str">
        <f t="shared" si="13"/>
        <v>Kumite</v>
      </c>
      <c r="E53" s="156" t="str">
        <f>"Kumite, Felnőtt nő 65-kg"</f>
        <v>Kumite, Felnőtt nő 65-kg</v>
      </c>
      <c r="F53" s="154" t="s">
        <v>493</v>
      </c>
      <c r="G53" s="157" t="str">
        <f>"4"</f>
        <v>4</v>
      </c>
      <c r="H53" s="156" t="str">
        <f>"4 fős körmérkőzés"</f>
        <v>4 fős körmérkőzés</v>
      </c>
      <c r="I53" s="157" t="str">
        <f>"2"</f>
        <v>2</v>
      </c>
      <c r="J53" s="156" t="str">
        <f>"Gergely Henrietta"</f>
        <v>Gergely Henrietta</v>
      </c>
      <c r="K53" s="156" t="str">
        <f>"BHMSE"</f>
        <v>BHMSE</v>
      </c>
      <c r="L53" s="156" t="str">
        <f t="shared" si="1"/>
        <v>HUN</v>
      </c>
      <c r="M53" s="163">
        <v>9</v>
      </c>
      <c r="N53" s="158"/>
      <c r="O53" s="154" t="s">
        <v>745</v>
      </c>
      <c r="P53" s="159">
        <v>46067</v>
      </c>
      <c r="Q53" s="154" t="str">
        <f t="shared" si="2"/>
        <v>Gergely Henrietta - BHMSE</v>
      </c>
      <c r="R53" s="154" t="s">
        <v>636</v>
      </c>
      <c r="S53" s="154" t="str">
        <f t="shared" si="6"/>
        <v>BHMSE</v>
      </c>
      <c r="T53" s="154" t="s">
        <v>644</v>
      </c>
      <c r="U53" s="154" t="s">
        <v>644</v>
      </c>
    </row>
    <row r="54" spans="1:21" s="154" customFormat="1" x14ac:dyDescent="0.3">
      <c r="A54" s="154" t="s">
        <v>741</v>
      </c>
      <c r="B54" s="155" t="s">
        <v>157</v>
      </c>
      <c r="C54" s="154">
        <v>53</v>
      </c>
      <c r="D54" s="156" t="str">
        <f t="shared" si="13"/>
        <v>Kumite</v>
      </c>
      <c r="E54" s="156" t="str">
        <f>"Kumite, Felnőtt nő 65-kg"</f>
        <v>Kumite, Felnőtt nő 65-kg</v>
      </c>
      <c r="F54" s="154" t="s">
        <v>493</v>
      </c>
      <c r="G54" s="157" t="str">
        <f>"4"</f>
        <v>4</v>
      </c>
      <c r="H54" s="156" t="str">
        <f>"4 fős körmérkőzés"</f>
        <v>4 fős körmérkőzés</v>
      </c>
      <c r="I54" s="157" t="str">
        <f>"3"</f>
        <v>3</v>
      </c>
      <c r="J54" s="156" t="str">
        <f>"Varga Borbála"</f>
        <v>Varga Borbála</v>
      </c>
      <c r="K54" s="156" t="str">
        <f>"Kamikaze S"</f>
        <v>Kamikaze S</v>
      </c>
      <c r="L54" s="156" t="str">
        <f t="shared" si="1"/>
        <v>HUN</v>
      </c>
      <c r="M54" s="163">
        <v>6</v>
      </c>
      <c r="N54" s="158"/>
      <c r="O54" s="154" t="s">
        <v>745</v>
      </c>
      <c r="P54" s="159">
        <v>46067</v>
      </c>
      <c r="Q54" s="154" t="str">
        <f t="shared" si="2"/>
        <v>Varga Borbála - Kamikaze S</v>
      </c>
      <c r="R54" s="154" t="s">
        <v>636</v>
      </c>
      <c r="S54" s="154" t="str">
        <f t="shared" si="6"/>
        <v>Kamikaze S</v>
      </c>
      <c r="T54" s="154" t="s">
        <v>644</v>
      </c>
      <c r="U54" s="154" t="s">
        <v>644</v>
      </c>
    </row>
    <row r="55" spans="1:21" s="154" customFormat="1" x14ac:dyDescent="0.3">
      <c r="A55" s="154" t="s">
        <v>741</v>
      </c>
      <c r="B55" s="155" t="s">
        <v>154</v>
      </c>
      <c r="C55" s="154">
        <v>54</v>
      </c>
      <c r="D55" s="156" t="str">
        <f t="shared" si="13"/>
        <v>Kumite</v>
      </c>
      <c r="E55" s="156" t="str">
        <f>"Kumite, U21 nő 60-64,9kg"</f>
        <v>Kumite, U21 nő 60-64,9kg</v>
      </c>
      <c r="F55" s="154" t="s">
        <v>740</v>
      </c>
      <c r="G55" s="157" t="str">
        <f>"3"</f>
        <v>3</v>
      </c>
      <c r="H55" s="156" t="str">
        <f>"3 fős körmérkőzés"</f>
        <v>3 fős körmérkőzés</v>
      </c>
      <c r="I55" s="157" t="str">
        <f>"1"</f>
        <v>1</v>
      </c>
      <c r="J55" s="156" t="str">
        <f>"Józsa Erika Réka"</f>
        <v>Józsa Erika Réka</v>
      </c>
      <c r="K55" s="156" t="str">
        <f>"KHSE"</f>
        <v>KHSE</v>
      </c>
      <c r="L55" s="156" t="str">
        <f t="shared" si="1"/>
        <v>HUN</v>
      </c>
      <c r="M55" s="163">
        <v>6</v>
      </c>
      <c r="N55" s="158"/>
      <c r="O55" s="154" t="s">
        <v>745</v>
      </c>
      <c r="P55" s="159">
        <v>46067</v>
      </c>
      <c r="Q55" s="154" t="str">
        <f t="shared" si="2"/>
        <v>Józsa Erika Réka - KHSE</v>
      </c>
      <c r="R55" s="154" t="s">
        <v>636</v>
      </c>
      <c r="S55" s="154" t="str">
        <f t="shared" si="6"/>
        <v>KHSE</v>
      </c>
      <c r="T55" s="154" t="s">
        <v>644</v>
      </c>
      <c r="U55" s="154" t="s">
        <v>736</v>
      </c>
    </row>
    <row r="56" spans="1:21" s="154" customFormat="1" x14ac:dyDescent="0.3">
      <c r="A56" s="154" t="s">
        <v>741</v>
      </c>
      <c r="B56" s="155" t="s">
        <v>154</v>
      </c>
      <c r="C56" s="154">
        <v>55</v>
      </c>
      <c r="D56" s="156" t="str">
        <f t="shared" si="13"/>
        <v>Kumite</v>
      </c>
      <c r="E56" s="156" t="str">
        <f>"Kumite, U21 nő 60-64,9kg"</f>
        <v>Kumite, U21 nő 60-64,9kg</v>
      </c>
      <c r="F56" s="154" t="s">
        <v>740</v>
      </c>
      <c r="G56" s="157" t="str">
        <f>"3"</f>
        <v>3</v>
      </c>
      <c r="H56" s="156" t="str">
        <f>"3 fős körmérkőzés"</f>
        <v>3 fős körmérkőzés</v>
      </c>
      <c r="I56" s="157" t="str">
        <f>"2"</f>
        <v>2</v>
      </c>
      <c r="J56" s="156" t="str">
        <f>"Kis Mónika"</f>
        <v>Kis Mónika</v>
      </c>
      <c r="K56" s="156" t="str">
        <f>"Főnix Dojo"</f>
        <v>Főnix Dojo</v>
      </c>
      <c r="L56" s="156" t="str">
        <f t="shared" si="1"/>
        <v>HUN</v>
      </c>
      <c r="M56" s="163">
        <v>4</v>
      </c>
      <c r="N56" s="158"/>
      <c r="O56" s="154" t="s">
        <v>745</v>
      </c>
      <c r="P56" s="159">
        <v>46067</v>
      </c>
      <c r="Q56" s="154" t="str">
        <f t="shared" si="2"/>
        <v>Kis Mónika - Főnix Dojo</v>
      </c>
      <c r="R56" s="154" t="s">
        <v>636</v>
      </c>
      <c r="S56" s="154" t="str">
        <f t="shared" si="6"/>
        <v>Főnix Dojo</v>
      </c>
      <c r="T56" s="154" t="s">
        <v>644</v>
      </c>
      <c r="U56" s="154" t="s">
        <v>736</v>
      </c>
    </row>
    <row r="57" spans="1:21" s="154" customFormat="1" x14ac:dyDescent="0.3">
      <c r="A57" s="154" t="s">
        <v>741</v>
      </c>
      <c r="B57" s="155" t="s">
        <v>154</v>
      </c>
      <c r="C57" s="154">
        <v>56</v>
      </c>
      <c r="D57" s="156" t="str">
        <f t="shared" si="13"/>
        <v>Kumite</v>
      </c>
      <c r="E57" s="156" t="str">
        <f>"Kumite, U21 nő 60-64,9kg"</f>
        <v>Kumite, U21 nő 60-64,9kg</v>
      </c>
      <c r="F57" s="154" t="s">
        <v>740</v>
      </c>
      <c r="G57" s="157" t="str">
        <f>"3"</f>
        <v>3</v>
      </c>
      <c r="H57" s="156" t="str">
        <f>"3 fős körmérkőzés"</f>
        <v>3 fős körmérkőzés</v>
      </c>
      <c r="I57" s="157" t="str">
        <f>"3"</f>
        <v>3</v>
      </c>
      <c r="J57" s="156" t="str">
        <f>"Rácz Dorottya"</f>
        <v>Rácz Dorottya</v>
      </c>
      <c r="K57" s="156" t="str">
        <f>"KHSE"</f>
        <v>KHSE</v>
      </c>
      <c r="L57" s="156" t="str">
        <f t="shared" si="1"/>
        <v>HUN</v>
      </c>
      <c r="M57" s="163">
        <v>0</v>
      </c>
      <c r="N57" s="158" t="s">
        <v>704</v>
      </c>
      <c r="O57" s="154" t="s">
        <v>745</v>
      </c>
      <c r="P57" s="159">
        <v>46067</v>
      </c>
      <c r="Q57" s="154" t="str">
        <f t="shared" si="2"/>
        <v>Rácz Dorottya - KHSE</v>
      </c>
      <c r="R57" s="154" t="s">
        <v>636</v>
      </c>
      <c r="S57" s="154" t="str">
        <f t="shared" si="6"/>
        <v>KHSE</v>
      </c>
      <c r="T57" s="154" t="s">
        <v>644</v>
      </c>
      <c r="U57" s="154" t="s">
        <v>736</v>
      </c>
    </row>
    <row r="58" spans="1:21" s="154" customFormat="1" x14ac:dyDescent="0.3">
      <c r="A58" s="154" t="s">
        <v>741</v>
      </c>
      <c r="B58" s="155" t="s">
        <v>157</v>
      </c>
      <c r="C58" s="154">
        <v>57</v>
      </c>
      <c r="D58" s="156" t="str">
        <f t="shared" ref="D58:D73" si="14">"Kata"</f>
        <v>Kata</v>
      </c>
      <c r="E58" s="156" t="str">
        <f t="shared" ref="E58:E73" si="15">"Kata, FELNŐTT nő"</f>
        <v>Kata, FELNŐTT nő</v>
      </c>
      <c r="F58" s="154" t="s">
        <v>494</v>
      </c>
      <c r="G58" s="157">
        <v>14</v>
      </c>
      <c r="H58" s="156" t="str">
        <f t="shared" ref="H58:H71" si="16">"16 fős egyenes kiesés + 3. hely"</f>
        <v>16 fős egyenes kiesés + 3. hely</v>
      </c>
      <c r="I58" s="157" t="str">
        <f>"1"</f>
        <v>1</v>
      </c>
      <c r="J58" s="156" t="str">
        <f>"Polák Leila"</f>
        <v>Polák Leila</v>
      </c>
      <c r="K58" s="156" t="str">
        <f>"TADASHII "</f>
        <v xml:space="preserve">TADASHII </v>
      </c>
      <c r="L58" s="156" t="str">
        <f t="shared" si="1"/>
        <v>HUN</v>
      </c>
      <c r="M58" s="163">
        <v>10.000000010000001</v>
      </c>
      <c r="O58" s="154" t="s">
        <v>745</v>
      </c>
      <c r="P58" s="159">
        <v>46067</v>
      </c>
      <c r="Q58" s="154" t="str">
        <f t="shared" si="2"/>
        <v xml:space="preserve">Polák Leila - TADASHII </v>
      </c>
      <c r="R58" s="154" t="s">
        <v>637</v>
      </c>
      <c r="S58" s="154" t="str">
        <f t="shared" si="6"/>
        <v xml:space="preserve">TADASHII </v>
      </c>
      <c r="T58" s="154" t="s">
        <v>644</v>
      </c>
      <c r="U58" s="154" t="s">
        <v>644</v>
      </c>
    </row>
    <row r="59" spans="1:21" s="154" customFormat="1" x14ac:dyDescent="0.3">
      <c r="A59" s="154" t="s">
        <v>741</v>
      </c>
      <c r="B59" s="155" t="s">
        <v>157</v>
      </c>
      <c r="C59" s="154">
        <v>58</v>
      </c>
      <c r="D59" s="156" t="str">
        <f t="shared" si="14"/>
        <v>Kata</v>
      </c>
      <c r="E59" s="156" t="str">
        <f t="shared" si="15"/>
        <v>Kata, FELNŐTT nő</v>
      </c>
      <c r="F59" s="154" t="s">
        <v>494</v>
      </c>
      <c r="G59" s="157">
        <v>14</v>
      </c>
      <c r="H59" s="156" t="str">
        <f t="shared" si="16"/>
        <v>16 fős egyenes kiesés + 3. hely</v>
      </c>
      <c r="I59" s="157" t="str">
        <f>"2"</f>
        <v>2</v>
      </c>
      <c r="J59" s="156" t="str">
        <f>"Berényi Lujza Beatrix"</f>
        <v>Berényi Lujza Beatrix</v>
      </c>
      <c r="K59" s="156" t="str">
        <f>"Kagami"</f>
        <v>Kagami</v>
      </c>
      <c r="L59" s="156" t="str">
        <f t="shared" si="1"/>
        <v>HUN</v>
      </c>
      <c r="M59" s="163">
        <v>8.0000000100000008</v>
      </c>
      <c r="O59" s="154" t="s">
        <v>745</v>
      </c>
      <c r="P59" s="159">
        <v>46067</v>
      </c>
      <c r="Q59" s="154" t="str">
        <f t="shared" si="2"/>
        <v>Berényi Lujza Beatrix - Kagami</v>
      </c>
      <c r="R59" s="154" t="s">
        <v>636</v>
      </c>
      <c r="S59" s="154" t="str">
        <f t="shared" si="6"/>
        <v>Kagami</v>
      </c>
      <c r="T59" s="154" t="s">
        <v>644</v>
      </c>
      <c r="U59" s="154" t="s">
        <v>644</v>
      </c>
    </row>
    <row r="60" spans="1:21" s="154" customFormat="1" x14ac:dyDescent="0.3">
      <c r="A60" s="154" t="s">
        <v>741</v>
      </c>
      <c r="B60" s="155" t="s">
        <v>157</v>
      </c>
      <c r="C60" s="154">
        <v>59</v>
      </c>
      <c r="D60" s="156" t="str">
        <f t="shared" si="14"/>
        <v>Kata</v>
      </c>
      <c r="E60" s="156" t="str">
        <f t="shared" si="15"/>
        <v>Kata, FELNŐTT nő</v>
      </c>
      <c r="F60" s="154" t="s">
        <v>494</v>
      </c>
      <c r="G60" s="157">
        <v>14</v>
      </c>
      <c r="H60" s="156" t="str">
        <f t="shared" si="16"/>
        <v>16 fős egyenes kiesés + 3. hely</v>
      </c>
      <c r="I60" s="157" t="str">
        <f>"3"</f>
        <v>3</v>
      </c>
      <c r="J60" s="156" t="str">
        <f>"Csordás Norina"</f>
        <v>Csordás Norina</v>
      </c>
      <c r="K60" s="156" t="str">
        <f>"Seiken STKE"</f>
        <v>Seiken STKE</v>
      </c>
      <c r="L60" s="156" t="str">
        <f t="shared" si="1"/>
        <v>HUN</v>
      </c>
      <c r="M60" s="163">
        <v>6.0000000099999999</v>
      </c>
      <c r="O60" s="154" t="s">
        <v>745</v>
      </c>
      <c r="P60" s="159">
        <v>46067</v>
      </c>
      <c r="Q60" s="154" t="str">
        <f t="shared" si="2"/>
        <v>Csordás Norina - Seiken STKE</v>
      </c>
      <c r="R60" s="154" t="s">
        <v>637</v>
      </c>
      <c r="S60" s="154" t="str">
        <f t="shared" si="6"/>
        <v>Seiken STKE</v>
      </c>
      <c r="T60" s="154" t="s">
        <v>644</v>
      </c>
      <c r="U60" s="154" t="s">
        <v>644</v>
      </c>
    </row>
    <row r="61" spans="1:21" s="154" customFormat="1" x14ac:dyDescent="0.3">
      <c r="A61" s="154" t="s">
        <v>741</v>
      </c>
      <c r="B61" s="155" t="s">
        <v>157</v>
      </c>
      <c r="C61" s="154">
        <v>60</v>
      </c>
      <c r="D61" s="156" t="str">
        <f>"Kata"</f>
        <v>Kata</v>
      </c>
      <c r="E61" s="156" t="str">
        <f>"Kata, FELNŐTT nő"</f>
        <v>Kata, FELNŐTT nő</v>
      </c>
      <c r="F61" s="154" t="s">
        <v>494</v>
      </c>
      <c r="G61" s="157">
        <v>14</v>
      </c>
      <c r="H61" s="156" t="str">
        <f>"16 fős egyenes kiesés + 3. hely"</f>
        <v>16 fős egyenes kiesés + 3. hely</v>
      </c>
      <c r="I61" s="157" t="str">
        <f>"4"</f>
        <v>4</v>
      </c>
      <c r="J61" s="156" t="str">
        <f>"Gerő Hanna Gréta"</f>
        <v>Gerő Hanna Gréta</v>
      </c>
      <c r="K61" s="156" t="str">
        <f>"Kagami"</f>
        <v>Kagami</v>
      </c>
      <c r="L61" s="156" t="str">
        <f t="shared" si="1"/>
        <v>HUN</v>
      </c>
      <c r="M61" s="163">
        <v>4.0000000099999999</v>
      </c>
      <c r="O61" s="154" t="s">
        <v>745</v>
      </c>
      <c r="P61" s="159">
        <v>46067</v>
      </c>
      <c r="Q61" s="154" t="str">
        <f t="shared" si="2"/>
        <v>Gerő Hanna Gréta - Kagami</v>
      </c>
      <c r="R61" s="154" t="s">
        <v>636</v>
      </c>
      <c r="S61" s="154" t="str">
        <f t="shared" si="6"/>
        <v>Kagami</v>
      </c>
      <c r="T61" s="154" t="s">
        <v>644</v>
      </c>
      <c r="U61" s="154" t="s">
        <v>644</v>
      </c>
    </row>
    <row r="62" spans="1:21" s="154" customFormat="1" x14ac:dyDescent="0.3">
      <c r="A62" s="154" t="s">
        <v>741</v>
      </c>
      <c r="B62" s="155" t="s">
        <v>157</v>
      </c>
      <c r="C62" s="154">
        <v>62</v>
      </c>
      <c r="D62" s="156" t="str">
        <f t="shared" si="14"/>
        <v>Kata</v>
      </c>
      <c r="E62" s="156" t="str">
        <f t="shared" si="15"/>
        <v>Kata, FELNŐTT nő</v>
      </c>
      <c r="F62" s="154" t="s">
        <v>494</v>
      </c>
      <c r="G62" s="157">
        <v>14</v>
      </c>
      <c r="H62" s="156" t="str">
        <f t="shared" si="16"/>
        <v>16 fős egyenes kiesés + 3. hely</v>
      </c>
      <c r="I62" s="157">
        <v>5</v>
      </c>
      <c r="J62" s="156" t="str">
        <f>"Litvák Lili"</f>
        <v>Litvák Lili</v>
      </c>
      <c r="K62" s="156" t="str">
        <f>"KHSE"</f>
        <v>KHSE</v>
      </c>
      <c r="L62" s="156" t="str">
        <f t="shared" si="1"/>
        <v>HUN</v>
      </c>
      <c r="M62" s="163">
        <v>3.0000000099999999</v>
      </c>
      <c r="O62" s="154" t="s">
        <v>745</v>
      </c>
      <c r="P62" s="159">
        <v>46067</v>
      </c>
      <c r="Q62" s="154" t="str">
        <f>J62&amp;" - "&amp;K62</f>
        <v>Litvák Lili - KHSE</v>
      </c>
      <c r="R62" s="154" t="s">
        <v>636</v>
      </c>
      <c r="S62" s="154" t="str">
        <f>K62</f>
        <v>KHSE</v>
      </c>
      <c r="T62" s="154" t="s">
        <v>644</v>
      </c>
      <c r="U62" s="154" t="s">
        <v>644</v>
      </c>
    </row>
    <row r="63" spans="1:21" s="154" customFormat="1" x14ac:dyDescent="0.3">
      <c r="A63" s="154" t="s">
        <v>741</v>
      </c>
      <c r="B63" s="155" t="s">
        <v>157</v>
      </c>
      <c r="C63" s="154">
        <v>71</v>
      </c>
      <c r="D63" s="156" t="str">
        <f t="shared" si="14"/>
        <v>Kata</v>
      </c>
      <c r="E63" s="156" t="str">
        <f t="shared" si="15"/>
        <v>Kata, FELNŐTT nő</v>
      </c>
      <c r="F63" s="154" t="s">
        <v>494</v>
      </c>
      <c r="G63" s="157">
        <v>14</v>
      </c>
      <c r="H63" s="156" t="str">
        <f t="shared" si="16"/>
        <v>16 fős egyenes kiesés + 3. hely</v>
      </c>
      <c r="I63" s="157">
        <v>6</v>
      </c>
      <c r="J63" s="156" t="str">
        <f>"Rácz Viktória"</f>
        <v>Rácz Viktória</v>
      </c>
      <c r="K63" s="156" t="str">
        <f>"Shogun"</f>
        <v>Shogun</v>
      </c>
      <c r="L63" s="156" t="str">
        <f t="shared" si="1"/>
        <v>HUN</v>
      </c>
      <c r="M63" s="163">
        <v>3.0000000099999999</v>
      </c>
      <c r="O63" s="154" t="s">
        <v>745</v>
      </c>
      <c r="P63" s="159">
        <v>46067</v>
      </c>
      <c r="Q63" s="154" t="str">
        <f t="shared" ref="Q63" si="17">J63&amp;" - "&amp;K63</f>
        <v>Rácz Viktória - Shogun</v>
      </c>
      <c r="R63" s="154" t="s">
        <v>636</v>
      </c>
      <c r="S63" s="154" t="str">
        <f t="shared" ref="S63" si="18">K63</f>
        <v>Shogun</v>
      </c>
      <c r="T63" s="154" t="s">
        <v>644</v>
      </c>
      <c r="U63" s="154" t="s">
        <v>644</v>
      </c>
    </row>
    <row r="64" spans="1:21" s="154" customFormat="1" x14ac:dyDescent="0.3">
      <c r="A64" s="154" t="s">
        <v>741</v>
      </c>
      <c r="B64" s="155" t="s">
        <v>157</v>
      </c>
      <c r="C64" s="154">
        <v>69</v>
      </c>
      <c r="D64" s="156" t="str">
        <f t="shared" si="14"/>
        <v>Kata</v>
      </c>
      <c r="E64" s="156" t="str">
        <f t="shared" si="15"/>
        <v>Kata, FELNŐTT nő</v>
      </c>
      <c r="F64" s="154" t="s">
        <v>494</v>
      </c>
      <c r="G64" s="157">
        <v>14</v>
      </c>
      <c r="H64" s="156" t="str">
        <f t="shared" si="16"/>
        <v>16 fős egyenes kiesés + 3. hely</v>
      </c>
      <c r="I64" s="157">
        <v>7</v>
      </c>
      <c r="J64" s="156" t="str">
        <f>"Sólyom Anna"</f>
        <v>Sólyom Anna</v>
      </c>
      <c r="K64" s="156" t="str">
        <f>"Shogun"</f>
        <v>Shogun</v>
      </c>
      <c r="L64" s="156" t="str">
        <f t="shared" ref="L64:L127" si="19">"HUN"</f>
        <v>HUN</v>
      </c>
      <c r="M64" s="163">
        <v>3.0000000099999999</v>
      </c>
      <c r="O64" s="154" t="s">
        <v>745</v>
      </c>
      <c r="P64" s="159">
        <v>46067</v>
      </c>
      <c r="Q64" s="154" t="str">
        <f>J64&amp;" - "&amp;K64</f>
        <v>Sólyom Anna - Shogun</v>
      </c>
      <c r="R64" s="154" t="s">
        <v>636</v>
      </c>
      <c r="S64" s="154" t="str">
        <f>K64</f>
        <v>Shogun</v>
      </c>
      <c r="T64" s="154" t="s">
        <v>644</v>
      </c>
      <c r="U64" s="154" t="s">
        <v>644</v>
      </c>
    </row>
    <row r="65" spans="1:22" s="154" customFormat="1" x14ac:dyDescent="0.3">
      <c r="A65" s="154" t="s">
        <v>741</v>
      </c>
      <c r="B65" s="155" t="s">
        <v>157</v>
      </c>
      <c r="C65" s="154">
        <v>61</v>
      </c>
      <c r="D65" s="156" t="str">
        <f t="shared" si="14"/>
        <v>Kata</v>
      </c>
      <c r="E65" s="156" t="str">
        <f t="shared" si="15"/>
        <v>Kata, FELNŐTT nő</v>
      </c>
      <c r="F65" s="154" t="s">
        <v>494</v>
      </c>
      <c r="G65" s="157">
        <v>14</v>
      </c>
      <c r="H65" s="156" t="str">
        <f t="shared" si="16"/>
        <v>16 fős egyenes kiesés + 3. hely</v>
      </c>
      <c r="I65" s="157">
        <v>8</v>
      </c>
      <c r="J65" s="156" t="str">
        <f>"Arnódi Gréta Bernadette"</f>
        <v>Arnódi Gréta Bernadette</v>
      </c>
      <c r="K65" s="156" t="str">
        <f>"Kagami"</f>
        <v>Kagami</v>
      </c>
      <c r="L65" s="156" t="str">
        <f t="shared" si="1"/>
        <v>HUN</v>
      </c>
      <c r="M65" s="163">
        <v>3.0000000099999999</v>
      </c>
      <c r="O65" s="154" t="s">
        <v>745</v>
      </c>
      <c r="P65" s="159">
        <v>46067</v>
      </c>
      <c r="Q65" s="154" t="str">
        <f t="shared" si="2"/>
        <v>Arnódi Gréta Bernadette - Kagami</v>
      </c>
      <c r="R65" s="154" t="s">
        <v>636</v>
      </c>
      <c r="S65" s="154" t="str">
        <f t="shared" si="6"/>
        <v>Kagami</v>
      </c>
      <c r="T65" s="154" t="s">
        <v>644</v>
      </c>
      <c r="U65" s="154" t="s">
        <v>644</v>
      </c>
    </row>
    <row r="66" spans="1:22" s="154" customFormat="1" x14ac:dyDescent="0.3">
      <c r="A66" s="154" t="s">
        <v>741</v>
      </c>
      <c r="B66" s="155" t="s">
        <v>157</v>
      </c>
      <c r="C66" s="154">
        <v>68</v>
      </c>
      <c r="D66" s="156" t="str">
        <f t="shared" si="14"/>
        <v>Kata</v>
      </c>
      <c r="E66" s="156" t="str">
        <f t="shared" si="15"/>
        <v>Kata, FELNŐTT nő</v>
      </c>
      <c r="F66" s="154" t="s">
        <v>494</v>
      </c>
      <c r="G66" s="157">
        <v>14</v>
      </c>
      <c r="H66" s="156" t="str">
        <f t="shared" si="16"/>
        <v>16 fős egyenes kiesés + 3. hely</v>
      </c>
      <c r="I66" s="157">
        <v>9</v>
      </c>
      <c r="J66" s="156" t="str">
        <f>"Hardi Laura"</f>
        <v>Hardi Laura</v>
      </c>
      <c r="K66" s="156" t="str">
        <f>"Siófok KSE"</f>
        <v>Siófok KSE</v>
      </c>
      <c r="L66" s="156" t="str">
        <f t="shared" si="19"/>
        <v>HUN</v>
      </c>
      <c r="M66" s="163">
        <v>0</v>
      </c>
      <c r="N66" s="158" t="s">
        <v>748</v>
      </c>
      <c r="O66" s="154" t="s">
        <v>745</v>
      </c>
      <c r="P66" s="159">
        <v>46067</v>
      </c>
      <c r="Q66" s="154" t="str">
        <f>J66&amp;" - "&amp;K66</f>
        <v>Hardi Laura - Siófok KSE</v>
      </c>
      <c r="R66" s="154" t="s">
        <v>636</v>
      </c>
      <c r="S66" s="154" t="str">
        <f>K66</f>
        <v>Siófok KSE</v>
      </c>
      <c r="T66" s="154" t="s">
        <v>644</v>
      </c>
      <c r="U66" s="154" t="s">
        <v>644</v>
      </c>
    </row>
    <row r="67" spans="1:22" s="154" customFormat="1" x14ac:dyDescent="0.3">
      <c r="A67" s="154" t="s">
        <v>741</v>
      </c>
      <c r="B67" s="155" t="s">
        <v>157</v>
      </c>
      <c r="C67" s="154">
        <v>65</v>
      </c>
      <c r="D67" s="156" t="str">
        <f t="shared" si="14"/>
        <v>Kata</v>
      </c>
      <c r="E67" s="156" t="str">
        <f t="shared" si="15"/>
        <v>Kata, FELNŐTT nő</v>
      </c>
      <c r="F67" s="154" t="s">
        <v>494</v>
      </c>
      <c r="G67" s="157">
        <v>14</v>
      </c>
      <c r="H67" s="156" t="str">
        <f t="shared" si="16"/>
        <v>16 fős egyenes kiesés + 3. hely</v>
      </c>
      <c r="I67" s="157">
        <v>10</v>
      </c>
      <c r="J67" s="156" t="str">
        <f>"Sólyom Gréta"</f>
        <v>Sólyom Gréta</v>
      </c>
      <c r="K67" s="156" t="str">
        <f>"Shogun"</f>
        <v>Shogun</v>
      </c>
      <c r="L67" s="156" t="str">
        <f t="shared" si="19"/>
        <v>HUN</v>
      </c>
      <c r="M67" s="163">
        <v>0</v>
      </c>
      <c r="N67" s="158" t="s">
        <v>748</v>
      </c>
      <c r="O67" s="154" t="s">
        <v>745</v>
      </c>
      <c r="P67" s="159">
        <v>46067</v>
      </c>
      <c r="Q67" s="154" t="str">
        <f t="shared" si="2"/>
        <v>Sólyom Gréta - Shogun</v>
      </c>
      <c r="R67" s="154" t="s">
        <v>636</v>
      </c>
      <c r="S67" s="154" t="str">
        <f t="shared" si="6"/>
        <v>Shogun</v>
      </c>
      <c r="T67" s="154" t="s">
        <v>644</v>
      </c>
      <c r="U67" s="154" t="s">
        <v>644</v>
      </c>
    </row>
    <row r="68" spans="1:22" s="154" customFormat="1" x14ac:dyDescent="0.3">
      <c r="A68" s="154" t="s">
        <v>741</v>
      </c>
      <c r="B68" s="155" t="s">
        <v>157</v>
      </c>
      <c r="C68" s="154">
        <v>66</v>
      </c>
      <c r="D68" s="156" t="str">
        <f t="shared" si="14"/>
        <v>Kata</v>
      </c>
      <c r="E68" s="156" t="str">
        <f t="shared" si="15"/>
        <v>Kata, FELNŐTT nő</v>
      </c>
      <c r="F68" s="154" t="s">
        <v>494</v>
      </c>
      <c r="G68" s="157">
        <v>14</v>
      </c>
      <c r="H68" s="156" t="str">
        <f t="shared" si="16"/>
        <v>16 fős egyenes kiesés + 3. hely</v>
      </c>
      <c r="I68" s="157">
        <v>11</v>
      </c>
      <c r="J68" s="156" t="str">
        <f>"Jernyei Nikolett"</f>
        <v>Jernyei Nikolett</v>
      </c>
      <c r="K68" s="156" t="str">
        <f>"KHSE"</f>
        <v>KHSE</v>
      </c>
      <c r="L68" s="156" t="str">
        <f t="shared" si="19"/>
        <v>HUN</v>
      </c>
      <c r="M68" s="163">
        <v>0</v>
      </c>
      <c r="N68" s="158" t="s">
        <v>748</v>
      </c>
      <c r="O68" s="154" t="s">
        <v>745</v>
      </c>
      <c r="P68" s="159">
        <v>46067</v>
      </c>
      <c r="Q68" s="154" t="str">
        <f t="shared" ref="Q68:Q71" si="20">J68&amp;" - "&amp;K68</f>
        <v>Jernyei Nikolett - KHSE</v>
      </c>
      <c r="R68" s="154" t="s">
        <v>636</v>
      </c>
      <c r="S68" s="154" t="str">
        <f t="shared" si="6"/>
        <v>KHSE</v>
      </c>
      <c r="T68" s="154" t="s">
        <v>644</v>
      </c>
      <c r="U68" s="154" t="s">
        <v>644</v>
      </c>
    </row>
    <row r="69" spans="1:22" s="154" customFormat="1" x14ac:dyDescent="0.3">
      <c r="A69" s="154" t="s">
        <v>741</v>
      </c>
      <c r="B69" s="155" t="s">
        <v>157</v>
      </c>
      <c r="C69" s="154">
        <v>67</v>
      </c>
      <c r="D69" s="156" t="str">
        <f t="shared" si="14"/>
        <v>Kata</v>
      </c>
      <c r="E69" s="156" t="str">
        <f t="shared" si="15"/>
        <v>Kata, FELNŐTT nő</v>
      </c>
      <c r="F69" s="154" t="s">
        <v>494</v>
      </c>
      <c r="G69" s="157">
        <v>14</v>
      </c>
      <c r="H69" s="156" t="str">
        <f t="shared" si="16"/>
        <v>16 fős egyenes kiesés + 3. hely</v>
      </c>
      <c r="I69" s="157">
        <v>12</v>
      </c>
      <c r="J69" s="156" t="str">
        <f>"Nagy Nóra Bíborka"</f>
        <v>Nagy Nóra Bíborka</v>
      </c>
      <c r="K69" s="156" t="str">
        <f>"BHMSE"</f>
        <v>BHMSE</v>
      </c>
      <c r="L69" s="156" t="str">
        <f t="shared" si="19"/>
        <v>HUN</v>
      </c>
      <c r="M69" s="163">
        <v>0</v>
      </c>
      <c r="N69" s="158" t="s">
        <v>748</v>
      </c>
      <c r="O69" s="154" t="s">
        <v>745</v>
      </c>
      <c r="P69" s="159">
        <v>46067</v>
      </c>
      <c r="Q69" s="154" t="str">
        <f t="shared" si="20"/>
        <v>Nagy Nóra Bíborka - BHMSE</v>
      </c>
      <c r="R69" s="154" t="s">
        <v>636</v>
      </c>
      <c r="S69" s="154" t="str">
        <f t="shared" si="6"/>
        <v>BHMSE</v>
      </c>
      <c r="T69" s="154" t="s">
        <v>644</v>
      </c>
      <c r="U69" s="154" t="s">
        <v>644</v>
      </c>
    </row>
    <row r="70" spans="1:22" s="154" customFormat="1" x14ac:dyDescent="0.3">
      <c r="A70" s="154" t="s">
        <v>741</v>
      </c>
      <c r="B70" s="155" t="s">
        <v>157</v>
      </c>
      <c r="C70" s="154">
        <v>63</v>
      </c>
      <c r="D70" s="156" t="str">
        <f t="shared" si="14"/>
        <v>Kata</v>
      </c>
      <c r="E70" s="156" t="str">
        <f t="shared" si="15"/>
        <v>Kata, FELNŐTT nő</v>
      </c>
      <c r="F70" s="154" t="s">
        <v>494</v>
      </c>
      <c r="G70" s="157">
        <v>14</v>
      </c>
      <c r="H70" s="156" t="str">
        <f t="shared" si="16"/>
        <v>16 fős egyenes kiesés + 3. hely</v>
      </c>
      <c r="I70" s="157">
        <v>13</v>
      </c>
      <c r="J70" s="156" t="str">
        <f>"Horváth Nóra"</f>
        <v>Horváth Nóra</v>
      </c>
      <c r="K70" s="156" t="str">
        <f>"Beledi KÉSZ SE"</f>
        <v>Beledi KÉSZ SE</v>
      </c>
      <c r="L70" s="156" t="str">
        <f t="shared" si="1"/>
        <v>HUN</v>
      </c>
      <c r="M70" s="163">
        <v>0</v>
      </c>
      <c r="N70" s="158" t="s">
        <v>748</v>
      </c>
      <c r="O70" s="154" t="s">
        <v>745</v>
      </c>
      <c r="P70" s="159">
        <v>46067</v>
      </c>
      <c r="Q70" s="154" t="str">
        <f>J70&amp;" - "&amp;K70</f>
        <v>Horváth Nóra - Beledi KÉSZ SE</v>
      </c>
      <c r="R70" s="154" t="s">
        <v>637</v>
      </c>
      <c r="S70" s="154" t="str">
        <f>K70</f>
        <v>Beledi KÉSZ SE</v>
      </c>
      <c r="T70" s="154" t="s">
        <v>644</v>
      </c>
      <c r="U70" s="154" t="s">
        <v>644</v>
      </c>
    </row>
    <row r="71" spans="1:22" s="154" customFormat="1" x14ac:dyDescent="0.3">
      <c r="A71" s="154" t="s">
        <v>741</v>
      </c>
      <c r="B71" s="155" t="s">
        <v>157</v>
      </c>
      <c r="C71" s="154">
        <v>70</v>
      </c>
      <c r="D71" s="156" t="str">
        <f t="shared" si="14"/>
        <v>Kata</v>
      </c>
      <c r="E71" s="156" t="str">
        <f t="shared" si="15"/>
        <v>Kata, FELNŐTT nő</v>
      </c>
      <c r="F71" s="154" t="s">
        <v>494</v>
      </c>
      <c r="G71" s="157">
        <v>14</v>
      </c>
      <c r="H71" s="156" t="str">
        <f t="shared" si="16"/>
        <v>16 fős egyenes kiesés + 3. hely</v>
      </c>
      <c r="I71" s="157">
        <v>14</v>
      </c>
      <c r="J71" s="156" t="str">
        <f>"Dróth-Tóth Adrienn"</f>
        <v>Dróth-Tóth Adrienn</v>
      </c>
      <c r="K71" s="156" t="str">
        <f>"Rakurai"</f>
        <v>Rakurai</v>
      </c>
      <c r="L71" s="156" t="str">
        <f t="shared" si="19"/>
        <v>HUN</v>
      </c>
      <c r="M71" s="163">
        <v>0</v>
      </c>
      <c r="N71" s="158" t="s">
        <v>748</v>
      </c>
      <c r="O71" s="154" t="s">
        <v>745</v>
      </c>
      <c r="P71" s="159">
        <v>46067</v>
      </c>
      <c r="Q71" s="154" t="str">
        <f t="shared" si="20"/>
        <v>Dróth-Tóth Adrienn - Rakurai</v>
      </c>
      <c r="R71" s="154" t="s">
        <v>636</v>
      </c>
      <c r="S71" s="154" t="str">
        <f t="shared" si="6"/>
        <v>Rakurai</v>
      </c>
      <c r="T71" s="154" t="s">
        <v>644</v>
      </c>
      <c r="U71" s="154" t="s">
        <v>644</v>
      </c>
    </row>
    <row r="72" spans="1:22" s="154" customFormat="1" x14ac:dyDescent="0.3">
      <c r="A72" s="154" t="s">
        <v>741</v>
      </c>
      <c r="B72" s="155">
        <v>2</v>
      </c>
      <c r="C72" s="154">
        <v>72</v>
      </c>
      <c r="D72" s="156" t="str">
        <f t="shared" si="14"/>
        <v>Kata</v>
      </c>
      <c r="E72" s="156" t="str">
        <f t="shared" si="15"/>
        <v>Kata, FELNŐTT nő</v>
      </c>
      <c r="F72" s="154" t="s">
        <v>1327</v>
      </c>
      <c r="G72" s="157">
        <v>2</v>
      </c>
      <c r="H72" s="156" t="s">
        <v>769</v>
      </c>
      <c r="I72" s="157">
        <v>1</v>
      </c>
      <c r="J72" s="156" t="s">
        <v>771</v>
      </c>
      <c r="K72" s="156" t="str">
        <f>"KHSE"</f>
        <v>KHSE</v>
      </c>
      <c r="L72" s="156" t="str">
        <f t="shared" si="1"/>
        <v>HUN</v>
      </c>
      <c r="M72" s="163">
        <v>0</v>
      </c>
      <c r="N72" s="158" t="s">
        <v>772</v>
      </c>
      <c r="O72" s="154" t="s">
        <v>745</v>
      </c>
      <c r="P72" s="159">
        <v>46067</v>
      </c>
      <c r="Q72" s="154" t="str">
        <f>J72&amp;" - "&amp;K72</f>
        <v>KHSE csapat - KHSE</v>
      </c>
      <c r="R72" s="154" t="s">
        <v>636</v>
      </c>
      <c r="S72" s="154" t="str">
        <f>K72</f>
        <v>KHSE</v>
      </c>
      <c r="T72" s="154" t="s">
        <v>644</v>
      </c>
      <c r="U72" s="154" t="s">
        <v>644</v>
      </c>
    </row>
    <row r="73" spans="1:22" s="154" customFormat="1" x14ac:dyDescent="0.3">
      <c r="A73" s="154" t="s">
        <v>741</v>
      </c>
      <c r="B73" s="155">
        <v>2</v>
      </c>
      <c r="C73" s="154">
        <v>73</v>
      </c>
      <c r="D73" s="156" t="str">
        <f t="shared" si="14"/>
        <v>Kata</v>
      </c>
      <c r="E73" s="156" t="str">
        <f t="shared" si="15"/>
        <v>Kata, FELNŐTT nő</v>
      </c>
      <c r="F73" s="154" t="s">
        <v>1327</v>
      </c>
      <c r="G73" s="157">
        <v>2</v>
      </c>
      <c r="H73" s="156" t="s">
        <v>769</v>
      </c>
      <c r="I73" s="157">
        <v>2</v>
      </c>
      <c r="J73" s="156" t="s">
        <v>770</v>
      </c>
      <c r="K73" s="156" t="s">
        <v>149</v>
      </c>
      <c r="L73" s="156" t="str">
        <f t="shared" si="19"/>
        <v>HUN</v>
      </c>
      <c r="M73" s="163">
        <v>0</v>
      </c>
      <c r="N73" s="158" t="s">
        <v>772</v>
      </c>
      <c r="O73" s="154" t="s">
        <v>745</v>
      </c>
      <c r="P73" s="159">
        <v>46067</v>
      </c>
      <c r="Q73" s="154" t="str">
        <f t="shared" ref="Q73:Q74" si="21">J73&amp;" - "&amp;K73</f>
        <v>Kagami csapat - Kagami</v>
      </c>
      <c r="R73" s="154" t="s">
        <v>636</v>
      </c>
      <c r="S73" s="154" t="str">
        <f t="shared" ref="S73:S74" si="22">K73</f>
        <v>Kagami</v>
      </c>
      <c r="T73" s="154" t="s">
        <v>644</v>
      </c>
      <c r="U73" s="154" t="s">
        <v>644</v>
      </c>
    </row>
    <row r="74" spans="1:22" s="158" customFormat="1" x14ac:dyDescent="0.3">
      <c r="A74" s="154" t="s">
        <v>775</v>
      </c>
      <c r="B74" s="155">
        <v>2</v>
      </c>
      <c r="C74" s="154">
        <v>1</v>
      </c>
      <c r="D74" s="156" t="str">
        <f t="shared" ref="D74:D86" si="23">"Kumite"</f>
        <v>Kumite</v>
      </c>
      <c r="E74" s="156" t="str">
        <f>"Kumite, -, 0-30 kg, Gyerek 1. (9-10"</f>
        <v>Kumite, -, 0-30 kg, Gyerek 1. (9-10</v>
      </c>
      <c r="F74" s="156" t="s">
        <v>509</v>
      </c>
      <c r="G74" s="157" t="str">
        <f t="shared" ref="G74:G79" si="24">"6"</f>
        <v>6</v>
      </c>
      <c r="H74" s="156" t="str">
        <f t="shared" ref="H74:H79" si="25">"6 fős vegyes"</f>
        <v>6 fős vegyes</v>
      </c>
      <c r="I74" s="157" t="str">
        <f>"1"</f>
        <v>1</v>
      </c>
      <c r="J74" s="156" t="str">
        <f>"Vámosi Juhász Ádám"</f>
        <v>Vámosi Juhász Ádám</v>
      </c>
      <c r="K74" s="156" t="str">
        <f>"Nagykátai Bushido SE"</f>
        <v>Nagykátai Bushido SE</v>
      </c>
      <c r="L74" s="156" t="str">
        <f t="shared" si="19"/>
        <v>HUN</v>
      </c>
      <c r="M74" s="163">
        <v>6</v>
      </c>
      <c r="O74" s="154" t="s">
        <v>246</v>
      </c>
      <c r="P74" s="159">
        <v>46081</v>
      </c>
      <c r="Q74" s="154" t="str">
        <f t="shared" si="21"/>
        <v>Vámosi Juhász Ádám - Nagykátai Bushido SE</v>
      </c>
      <c r="R74" s="154" t="s">
        <v>636</v>
      </c>
      <c r="S74" s="154" t="str">
        <f t="shared" si="22"/>
        <v>Nagykátai Bushido SE</v>
      </c>
      <c r="T74" s="154" t="s">
        <v>645</v>
      </c>
      <c r="U74" s="154" t="s">
        <v>796</v>
      </c>
      <c r="V74" s="154"/>
    </row>
    <row r="75" spans="1:22" s="158" customFormat="1" x14ac:dyDescent="0.3">
      <c r="A75" s="154" t="s">
        <v>775</v>
      </c>
      <c r="B75" s="155">
        <v>2</v>
      </c>
      <c r="C75" s="154">
        <v>2</v>
      </c>
      <c r="D75" s="156" t="str">
        <f t="shared" si="23"/>
        <v>Kumite</v>
      </c>
      <c r="E75" s="156" t="str">
        <f>"Kumite, -, 0-30 kg, Gyerek 1. (9-10"</f>
        <v>Kumite, -, 0-30 kg, Gyerek 1. (9-10</v>
      </c>
      <c r="F75" s="156" t="s">
        <v>509</v>
      </c>
      <c r="G75" s="157" t="str">
        <f t="shared" si="24"/>
        <v>6</v>
      </c>
      <c r="H75" s="156" t="str">
        <f t="shared" si="25"/>
        <v>6 fős vegyes</v>
      </c>
      <c r="I75" s="157" t="str">
        <f>"2"</f>
        <v>2</v>
      </c>
      <c r="J75" s="156" t="str">
        <f>"Zajácz Imre"</f>
        <v>Zajácz Imre</v>
      </c>
      <c r="K75" s="156" t="str">
        <f>"Kamikaze S"</f>
        <v>Kamikaze S</v>
      </c>
      <c r="L75" s="156" t="str">
        <f t="shared" si="19"/>
        <v>HUN</v>
      </c>
      <c r="M75" s="163">
        <v>5</v>
      </c>
      <c r="O75" s="154" t="s">
        <v>246</v>
      </c>
      <c r="P75" s="159">
        <v>46081</v>
      </c>
      <c r="Q75" s="154" t="str">
        <f t="shared" ref="Q75:Q138" si="26">J75&amp;" - "&amp;K75</f>
        <v>Zajácz Imre - Kamikaze S</v>
      </c>
      <c r="R75" s="154" t="s">
        <v>636</v>
      </c>
      <c r="S75" s="154" t="str">
        <f t="shared" ref="S75:S138" si="27">K75</f>
        <v>Kamikaze S</v>
      </c>
      <c r="T75" s="154" t="s">
        <v>645</v>
      </c>
      <c r="U75" s="154" t="s">
        <v>796</v>
      </c>
      <c r="V75" s="154"/>
    </row>
    <row r="76" spans="1:22" s="158" customFormat="1" x14ac:dyDescent="0.3">
      <c r="A76" s="154" t="s">
        <v>775</v>
      </c>
      <c r="B76" s="155">
        <v>2</v>
      </c>
      <c r="C76" s="154">
        <v>3</v>
      </c>
      <c r="D76" s="156" t="str">
        <f t="shared" si="23"/>
        <v>Kumite</v>
      </c>
      <c r="E76" s="156" t="str">
        <f>"Kumite, -, 0-30 kg, Gyerek 1. (9-10"</f>
        <v>Kumite, -, 0-30 kg, Gyerek 1. (9-10</v>
      </c>
      <c r="F76" s="156" t="s">
        <v>509</v>
      </c>
      <c r="G76" s="157" t="str">
        <f t="shared" si="24"/>
        <v>6</v>
      </c>
      <c r="H76" s="156" t="str">
        <f t="shared" si="25"/>
        <v>6 fős vegyes</v>
      </c>
      <c r="I76" s="157" t="str">
        <f>"3"</f>
        <v>3</v>
      </c>
      <c r="J76" s="156" t="str">
        <f>"Aupek Márk"</f>
        <v>Aupek Márk</v>
      </c>
      <c r="K76" s="156" t="str">
        <f>"VTSE"</f>
        <v>VTSE</v>
      </c>
      <c r="L76" s="156" t="str">
        <f t="shared" si="19"/>
        <v>HUN</v>
      </c>
      <c r="M76" s="163">
        <v>3</v>
      </c>
      <c r="O76" s="154" t="s">
        <v>246</v>
      </c>
      <c r="P76" s="159">
        <v>46081</v>
      </c>
      <c r="Q76" s="154" t="str">
        <f t="shared" si="26"/>
        <v>Aupek Márk - VTSE</v>
      </c>
      <c r="R76" s="154" t="s">
        <v>637</v>
      </c>
      <c r="S76" s="154" t="str">
        <f t="shared" si="27"/>
        <v>VTSE</v>
      </c>
      <c r="T76" s="154" t="s">
        <v>645</v>
      </c>
      <c r="U76" s="154" t="s">
        <v>796</v>
      </c>
      <c r="V76" s="154"/>
    </row>
    <row r="77" spans="1:22" s="158" customFormat="1" x14ac:dyDescent="0.3">
      <c r="A77" s="154" t="s">
        <v>775</v>
      </c>
      <c r="B77" s="155">
        <v>2</v>
      </c>
      <c r="C77" s="154">
        <v>4</v>
      </c>
      <c r="D77" s="156" t="str">
        <f t="shared" si="23"/>
        <v>Kumite</v>
      </c>
      <c r="E77" s="156" t="str">
        <f>"Kumite, -, 30-35 kg, Gyerek 1. (9-10"</f>
        <v>Kumite, -, 30-35 kg, Gyerek 1. (9-10</v>
      </c>
      <c r="F77" s="156" t="s">
        <v>511</v>
      </c>
      <c r="G77" s="157" t="str">
        <f t="shared" si="24"/>
        <v>6</v>
      </c>
      <c r="H77" s="156" t="str">
        <f t="shared" si="25"/>
        <v>6 fős vegyes</v>
      </c>
      <c r="I77" s="157" t="str">
        <f>"1"</f>
        <v>1</v>
      </c>
      <c r="J77" s="156" t="str">
        <f>"Gombos-Weidinger Bence"</f>
        <v>Gombos-Weidinger Bence</v>
      </c>
      <c r="K77" s="156" t="str">
        <f>"BHMSE"</f>
        <v>BHMSE</v>
      </c>
      <c r="L77" s="156" t="str">
        <f t="shared" si="19"/>
        <v>HUN</v>
      </c>
      <c r="M77" s="163">
        <v>6</v>
      </c>
      <c r="O77" s="154" t="s">
        <v>246</v>
      </c>
      <c r="P77" s="159">
        <v>46081</v>
      </c>
      <c r="Q77" s="154" t="str">
        <f t="shared" si="26"/>
        <v>Gombos-Weidinger Bence - BHMSE</v>
      </c>
      <c r="R77" s="154" t="s">
        <v>636</v>
      </c>
      <c r="S77" s="154" t="str">
        <f t="shared" si="27"/>
        <v>BHMSE</v>
      </c>
      <c r="T77" s="154" t="s">
        <v>645</v>
      </c>
      <c r="U77" s="154" t="s">
        <v>796</v>
      </c>
      <c r="V77" s="154"/>
    </row>
    <row r="78" spans="1:22" s="158" customFormat="1" x14ac:dyDescent="0.3">
      <c r="A78" s="154" t="s">
        <v>775</v>
      </c>
      <c r="B78" s="155">
        <v>2</v>
      </c>
      <c r="C78" s="154">
        <v>5</v>
      </c>
      <c r="D78" s="156" t="str">
        <f t="shared" si="23"/>
        <v>Kumite</v>
      </c>
      <c r="E78" s="156" t="str">
        <f>"Kumite, -, 30-35 kg, Gyerek 1. (9-10"</f>
        <v>Kumite, -, 30-35 kg, Gyerek 1. (9-10</v>
      </c>
      <c r="F78" s="156" t="s">
        <v>511</v>
      </c>
      <c r="G78" s="157" t="str">
        <f t="shared" si="24"/>
        <v>6</v>
      </c>
      <c r="H78" s="156" t="str">
        <f t="shared" si="25"/>
        <v>6 fős vegyes</v>
      </c>
      <c r="I78" s="157" t="str">
        <f>"2"</f>
        <v>2</v>
      </c>
      <c r="J78" s="156" t="str">
        <f>"Seres Zoltán"</f>
        <v>Seres Zoltán</v>
      </c>
      <c r="K78" s="156" t="str">
        <f>"Ippon KKSE"</f>
        <v>Ippon KKSE</v>
      </c>
      <c r="L78" s="156" t="str">
        <f t="shared" si="19"/>
        <v>HUN</v>
      </c>
      <c r="M78" s="163">
        <v>5</v>
      </c>
      <c r="O78" s="154" t="s">
        <v>246</v>
      </c>
      <c r="P78" s="159">
        <v>46081</v>
      </c>
      <c r="Q78" s="154" t="str">
        <f t="shared" si="26"/>
        <v>Seres Zoltán - Ippon KKSE</v>
      </c>
      <c r="R78" s="154" t="s">
        <v>636</v>
      </c>
      <c r="S78" s="154" t="str">
        <f t="shared" si="27"/>
        <v>Ippon KKSE</v>
      </c>
      <c r="T78" s="154" t="s">
        <v>645</v>
      </c>
      <c r="U78" s="154" t="s">
        <v>796</v>
      </c>
      <c r="V78" s="154"/>
    </row>
    <row r="79" spans="1:22" s="158" customFormat="1" x14ac:dyDescent="0.3">
      <c r="A79" s="154" t="s">
        <v>775</v>
      </c>
      <c r="B79" s="155">
        <v>2</v>
      </c>
      <c r="C79" s="154">
        <v>6</v>
      </c>
      <c r="D79" s="156" t="str">
        <f t="shared" si="23"/>
        <v>Kumite</v>
      </c>
      <c r="E79" s="156" t="str">
        <f>"Kumite, -, 30-35 kg, Gyerek 1. (9-10"</f>
        <v>Kumite, -, 30-35 kg, Gyerek 1. (9-10</v>
      </c>
      <c r="F79" s="156" t="s">
        <v>511</v>
      </c>
      <c r="G79" s="157" t="str">
        <f t="shared" si="24"/>
        <v>6</v>
      </c>
      <c r="H79" s="156" t="str">
        <f t="shared" si="25"/>
        <v>6 fős vegyes</v>
      </c>
      <c r="I79" s="157" t="str">
        <f>"3"</f>
        <v>3</v>
      </c>
      <c r="J79" s="156" t="str">
        <f>"Menyhárt Levente "</f>
        <v xml:space="preserve">Menyhárt Levente </v>
      </c>
      <c r="K79" s="156" t="str">
        <f>"Beledi KÉSZ SE"</f>
        <v>Beledi KÉSZ SE</v>
      </c>
      <c r="L79" s="156" t="str">
        <f t="shared" si="19"/>
        <v>HUN</v>
      </c>
      <c r="M79" s="163">
        <v>3</v>
      </c>
      <c r="O79" s="154" t="s">
        <v>246</v>
      </c>
      <c r="P79" s="159">
        <v>46081</v>
      </c>
      <c r="Q79" s="154" t="str">
        <f t="shared" si="26"/>
        <v>Menyhárt Levente  - Beledi KÉSZ SE</v>
      </c>
      <c r="R79" s="154" t="s">
        <v>637</v>
      </c>
      <c r="S79" s="154" t="str">
        <f t="shared" si="27"/>
        <v>Beledi KÉSZ SE</v>
      </c>
      <c r="T79" s="154" t="s">
        <v>645</v>
      </c>
      <c r="U79" s="154" t="s">
        <v>796</v>
      </c>
      <c r="V79" s="154"/>
    </row>
    <row r="80" spans="1:22" s="158" customFormat="1" x14ac:dyDescent="0.3">
      <c r="A80" s="154" t="s">
        <v>775</v>
      </c>
      <c r="B80" s="155">
        <v>2</v>
      </c>
      <c r="C80" s="154">
        <v>7</v>
      </c>
      <c r="D80" s="156" t="str">
        <f t="shared" si="23"/>
        <v>Kumite</v>
      </c>
      <c r="E80" s="156" t="str">
        <f t="shared" ref="E80:E86" si="28">"Kumite, -, 35-99 kg, Gyerek 1. (9-10"</f>
        <v>Kumite, -, 35-99 kg, Gyerek 1. (9-10</v>
      </c>
      <c r="F80" s="156" t="s">
        <v>513</v>
      </c>
      <c r="G80" s="157" t="str">
        <f t="shared" ref="G80:G86" si="29">"7"</f>
        <v>7</v>
      </c>
      <c r="H80" s="156" t="str">
        <f t="shared" ref="H80:H86" si="30">"8 fős egyenes kiesés"</f>
        <v>8 fős egyenes kiesés</v>
      </c>
      <c r="I80" s="157" t="str">
        <f>"1"</f>
        <v>1</v>
      </c>
      <c r="J80" s="156" t="str">
        <f>"Szabó Marcell Károly"</f>
        <v>Szabó Marcell Károly</v>
      </c>
      <c r="K80" s="156" t="str">
        <f>"Katana SE"</f>
        <v>Katana SE</v>
      </c>
      <c r="L80" s="156" t="str">
        <f t="shared" si="19"/>
        <v>HUN</v>
      </c>
      <c r="M80" s="163">
        <v>6</v>
      </c>
      <c r="O80" s="154" t="s">
        <v>246</v>
      </c>
      <c r="P80" s="159">
        <v>46081</v>
      </c>
      <c r="Q80" s="154" t="str">
        <f t="shared" si="26"/>
        <v>Szabó Marcell Károly - Katana SE</v>
      </c>
      <c r="R80" s="154" t="s">
        <v>636</v>
      </c>
      <c r="S80" s="154" t="str">
        <f t="shared" si="27"/>
        <v>Katana SE</v>
      </c>
      <c r="T80" s="154" t="s">
        <v>645</v>
      </c>
      <c r="U80" s="154" t="s">
        <v>796</v>
      </c>
      <c r="V80" s="154"/>
    </row>
    <row r="81" spans="1:22" s="158" customFormat="1" x14ac:dyDescent="0.3">
      <c r="A81" s="154" t="s">
        <v>775</v>
      </c>
      <c r="B81" s="155">
        <v>2</v>
      </c>
      <c r="C81" s="154">
        <v>8</v>
      </c>
      <c r="D81" s="156" t="str">
        <f t="shared" si="23"/>
        <v>Kumite</v>
      </c>
      <c r="E81" s="156" t="str">
        <f t="shared" si="28"/>
        <v>Kumite, -, 35-99 kg, Gyerek 1. (9-10</v>
      </c>
      <c r="F81" s="156" t="s">
        <v>513</v>
      </c>
      <c r="G81" s="157" t="str">
        <f t="shared" si="29"/>
        <v>7</v>
      </c>
      <c r="H81" s="156" t="str">
        <f t="shared" si="30"/>
        <v>8 fős egyenes kiesés</v>
      </c>
      <c r="I81" s="157" t="str">
        <f>"2"</f>
        <v>2</v>
      </c>
      <c r="J81" s="156" t="str">
        <f>"Kasza Benett"</f>
        <v>Kasza Benett</v>
      </c>
      <c r="K81" s="156" t="str">
        <f>"Nagykátai Bushido SE"</f>
        <v>Nagykátai Bushido SE</v>
      </c>
      <c r="L81" s="156" t="str">
        <f t="shared" si="19"/>
        <v>HUN</v>
      </c>
      <c r="M81" s="163">
        <v>5</v>
      </c>
      <c r="O81" s="154" t="s">
        <v>246</v>
      </c>
      <c r="P81" s="159">
        <v>46081</v>
      </c>
      <c r="Q81" s="154" t="str">
        <f t="shared" si="26"/>
        <v>Kasza Benett - Nagykátai Bushido SE</v>
      </c>
      <c r="R81" s="154" t="s">
        <v>636</v>
      </c>
      <c r="S81" s="154" t="str">
        <f t="shared" si="27"/>
        <v>Nagykátai Bushido SE</v>
      </c>
      <c r="T81" s="154" t="s">
        <v>645</v>
      </c>
      <c r="U81" s="154" t="s">
        <v>796</v>
      </c>
      <c r="V81" s="154"/>
    </row>
    <row r="82" spans="1:22" s="158" customFormat="1" x14ac:dyDescent="0.3">
      <c r="A82" s="154" t="s">
        <v>775</v>
      </c>
      <c r="B82" s="155">
        <v>2</v>
      </c>
      <c r="C82" s="154">
        <v>9</v>
      </c>
      <c r="D82" s="156" t="str">
        <f t="shared" si="23"/>
        <v>Kumite</v>
      </c>
      <c r="E82" s="156" t="str">
        <f t="shared" si="28"/>
        <v>Kumite, -, 35-99 kg, Gyerek 1. (9-10</v>
      </c>
      <c r="F82" s="156" t="s">
        <v>513</v>
      </c>
      <c r="G82" s="157" t="str">
        <f t="shared" si="29"/>
        <v>7</v>
      </c>
      <c r="H82" s="156" t="str">
        <f t="shared" si="30"/>
        <v>8 fős egyenes kiesés</v>
      </c>
      <c r="I82" s="157" t="str">
        <f>"3"</f>
        <v>3</v>
      </c>
      <c r="J82" s="156" t="str">
        <f>"Bakonyi Erik"</f>
        <v>Bakonyi Erik</v>
      </c>
      <c r="K82" s="156" t="str">
        <f>"BHMSE"</f>
        <v>BHMSE</v>
      </c>
      <c r="L82" s="156" t="str">
        <f t="shared" si="19"/>
        <v>HUN</v>
      </c>
      <c r="M82" s="163">
        <v>0</v>
      </c>
      <c r="N82" s="158" t="s">
        <v>704</v>
      </c>
      <c r="O82" s="154" t="s">
        <v>246</v>
      </c>
      <c r="P82" s="159">
        <v>46081</v>
      </c>
      <c r="Q82" s="154" t="str">
        <f t="shared" si="26"/>
        <v>Bakonyi Erik - BHMSE</v>
      </c>
      <c r="R82" s="154" t="s">
        <v>636</v>
      </c>
      <c r="S82" s="154" t="str">
        <f t="shared" si="27"/>
        <v>BHMSE</v>
      </c>
      <c r="T82" s="154" t="s">
        <v>645</v>
      </c>
      <c r="U82" s="154" t="s">
        <v>796</v>
      </c>
      <c r="V82" s="154"/>
    </row>
    <row r="83" spans="1:22" s="158" customFormat="1" x14ac:dyDescent="0.3">
      <c r="A83" s="154" t="s">
        <v>775</v>
      </c>
      <c r="B83" s="155">
        <v>2</v>
      </c>
      <c r="C83" s="154">
        <v>10</v>
      </c>
      <c r="D83" s="156" t="str">
        <f t="shared" si="23"/>
        <v>Kumite</v>
      </c>
      <c r="E83" s="156" t="str">
        <f t="shared" si="28"/>
        <v>Kumite, -, 35-99 kg, Gyerek 1. (9-10</v>
      </c>
      <c r="F83" s="156" t="s">
        <v>513</v>
      </c>
      <c r="G83" s="157" t="str">
        <f t="shared" si="29"/>
        <v>7</v>
      </c>
      <c r="H83" s="156" t="str">
        <f t="shared" si="30"/>
        <v>8 fős egyenes kiesés</v>
      </c>
      <c r="I83" s="157" t="str">
        <f>"3"</f>
        <v>3</v>
      </c>
      <c r="J83" s="156" t="str">
        <f>"Kelemen Milán"</f>
        <v>Kelemen Milán</v>
      </c>
      <c r="K83" s="156" t="str">
        <f>"Beledi KÉSZ SE"</f>
        <v>Beledi KÉSZ SE</v>
      </c>
      <c r="L83" s="156" t="str">
        <f t="shared" si="19"/>
        <v>HUN</v>
      </c>
      <c r="M83" s="163">
        <v>3</v>
      </c>
      <c r="O83" s="154" t="s">
        <v>246</v>
      </c>
      <c r="P83" s="159">
        <v>46081</v>
      </c>
      <c r="Q83" s="154" t="str">
        <f t="shared" si="26"/>
        <v>Kelemen Milán - Beledi KÉSZ SE</v>
      </c>
      <c r="R83" s="154" t="s">
        <v>637</v>
      </c>
      <c r="S83" s="154" t="str">
        <f t="shared" si="27"/>
        <v>Beledi KÉSZ SE</v>
      </c>
      <c r="T83" s="154" t="s">
        <v>645</v>
      </c>
      <c r="U83" s="154" t="s">
        <v>796</v>
      </c>
      <c r="V83" s="154"/>
    </row>
    <row r="84" spans="1:22" s="158" customFormat="1" x14ac:dyDescent="0.3">
      <c r="A84" s="154" t="s">
        <v>775</v>
      </c>
      <c r="B84" s="155">
        <v>2</v>
      </c>
      <c r="C84" s="154">
        <v>11</v>
      </c>
      <c r="D84" s="156" t="str">
        <f t="shared" si="23"/>
        <v>Kumite</v>
      </c>
      <c r="E84" s="156" t="str">
        <f t="shared" si="28"/>
        <v>Kumite, -, 35-99 kg, Gyerek 1. (9-10</v>
      </c>
      <c r="F84" s="156" t="s">
        <v>513</v>
      </c>
      <c r="G84" s="157" t="str">
        <f t="shared" si="29"/>
        <v>7</v>
      </c>
      <c r="H84" s="156" t="str">
        <f t="shared" si="30"/>
        <v>8 fős egyenes kiesés</v>
      </c>
      <c r="I84" s="157" t="str">
        <f>"5"</f>
        <v>5</v>
      </c>
      <c r="J84" s="156" t="str">
        <f>"Vass Zalán"</f>
        <v>Vass Zalán</v>
      </c>
      <c r="K84" s="156" t="str">
        <f>"Főnix Dojo"</f>
        <v>Főnix Dojo</v>
      </c>
      <c r="L84" s="156" t="str">
        <f t="shared" si="19"/>
        <v>HUN</v>
      </c>
      <c r="M84" s="163">
        <v>0</v>
      </c>
      <c r="O84" s="154" t="s">
        <v>246</v>
      </c>
      <c r="P84" s="159">
        <v>46081</v>
      </c>
      <c r="Q84" s="154" t="str">
        <f t="shared" si="26"/>
        <v>Vass Zalán - Főnix Dojo</v>
      </c>
      <c r="R84" s="154" t="s">
        <v>636</v>
      </c>
      <c r="S84" s="154" t="str">
        <f t="shared" si="27"/>
        <v>Főnix Dojo</v>
      </c>
      <c r="T84" s="154" t="s">
        <v>645</v>
      </c>
      <c r="U84" s="154" t="s">
        <v>796</v>
      </c>
      <c r="V84" s="154"/>
    </row>
    <row r="85" spans="1:22" s="158" customFormat="1" x14ac:dyDescent="0.3">
      <c r="A85" s="154" t="s">
        <v>775</v>
      </c>
      <c r="B85" s="155">
        <v>2</v>
      </c>
      <c r="C85" s="154">
        <v>12</v>
      </c>
      <c r="D85" s="156" t="str">
        <f t="shared" si="23"/>
        <v>Kumite</v>
      </c>
      <c r="E85" s="156" t="str">
        <f t="shared" si="28"/>
        <v>Kumite, -, 35-99 kg, Gyerek 1. (9-10</v>
      </c>
      <c r="F85" s="156" t="s">
        <v>513</v>
      </c>
      <c r="G85" s="157" t="str">
        <f t="shared" si="29"/>
        <v>7</v>
      </c>
      <c r="H85" s="156" t="str">
        <f t="shared" si="30"/>
        <v>8 fős egyenes kiesés</v>
      </c>
      <c r="I85" s="157" t="str">
        <f>"6"</f>
        <v>6</v>
      </c>
      <c r="J85" s="156" t="str">
        <f>"Tamási Péter Tamás"</f>
        <v>Tamási Péter Tamás</v>
      </c>
      <c r="K85" s="156" t="str">
        <f>"Castrum"</f>
        <v>Castrum</v>
      </c>
      <c r="L85" s="156" t="str">
        <f t="shared" si="19"/>
        <v>HUN</v>
      </c>
      <c r="M85" s="163">
        <v>0</v>
      </c>
      <c r="O85" s="154" t="s">
        <v>246</v>
      </c>
      <c r="P85" s="159">
        <v>46081</v>
      </c>
      <c r="Q85" s="154" t="str">
        <f t="shared" si="26"/>
        <v>Tamási Péter Tamás - Castrum</v>
      </c>
      <c r="R85" s="154" t="s">
        <v>636</v>
      </c>
      <c r="S85" s="154" t="str">
        <f t="shared" si="27"/>
        <v>Castrum</v>
      </c>
      <c r="T85" s="154" t="s">
        <v>645</v>
      </c>
      <c r="U85" s="154" t="s">
        <v>796</v>
      </c>
      <c r="V85" s="154"/>
    </row>
    <row r="86" spans="1:22" s="158" customFormat="1" x14ac:dyDescent="0.3">
      <c r="A86" s="154" t="s">
        <v>775</v>
      </c>
      <c r="B86" s="155">
        <v>2</v>
      </c>
      <c r="C86" s="154">
        <v>13</v>
      </c>
      <c r="D86" s="156" t="str">
        <f t="shared" si="23"/>
        <v>Kumite</v>
      </c>
      <c r="E86" s="156" t="str">
        <f t="shared" si="28"/>
        <v>Kumite, -, 35-99 kg, Gyerek 1. (9-10</v>
      </c>
      <c r="F86" s="156" t="s">
        <v>513</v>
      </c>
      <c r="G86" s="157" t="str">
        <f t="shared" si="29"/>
        <v>7</v>
      </c>
      <c r="H86" s="156" t="str">
        <f t="shared" si="30"/>
        <v>8 fős egyenes kiesés</v>
      </c>
      <c r="I86" s="157" t="str">
        <f>"7-8"</f>
        <v>7-8</v>
      </c>
      <c r="J86" s="156" t="str">
        <f>"Nagy Hunor"</f>
        <v>Nagy Hunor</v>
      </c>
      <c r="K86" s="156" t="str">
        <f>"Rakurai"</f>
        <v>Rakurai</v>
      </c>
      <c r="L86" s="156" t="str">
        <f t="shared" si="19"/>
        <v>HUN</v>
      </c>
      <c r="M86" s="163">
        <v>0</v>
      </c>
      <c r="O86" s="154" t="s">
        <v>246</v>
      </c>
      <c r="P86" s="159">
        <v>46081</v>
      </c>
      <c r="Q86" s="154" t="str">
        <f t="shared" si="26"/>
        <v>Nagy Hunor - Rakurai</v>
      </c>
      <c r="R86" s="154" t="s">
        <v>636</v>
      </c>
      <c r="S86" s="154" t="str">
        <f t="shared" si="27"/>
        <v>Rakurai</v>
      </c>
      <c r="T86" s="154" t="s">
        <v>645</v>
      </c>
      <c r="U86" s="154" t="s">
        <v>796</v>
      </c>
      <c r="V86" s="154"/>
    </row>
    <row r="87" spans="1:22" s="158" customFormat="1" x14ac:dyDescent="0.3">
      <c r="A87" s="154" t="s">
        <v>775</v>
      </c>
      <c r="B87" s="155">
        <v>2</v>
      </c>
      <c r="C87" s="154">
        <v>14</v>
      </c>
      <c r="D87" s="156" t="str">
        <f t="shared" ref="D87:D98" si="31">"Kata"</f>
        <v>Kata</v>
      </c>
      <c r="E87" s="156" t="str">
        <f t="shared" ref="E87:E98" si="32">"Kata, -, 0-100 kg, Gyerek 1. (9-10"</f>
        <v>Kata, -, 0-100 kg, Gyerek 1. (9-10</v>
      </c>
      <c r="F87" s="156" t="s">
        <v>514</v>
      </c>
      <c r="G87" s="157" t="str">
        <f t="shared" ref="G87:G98" si="33">"12"</f>
        <v>12</v>
      </c>
      <c r="H87" s="156" t="str">
        <f t="shared" ref="H87:H98" si="34">"16 fős egyenes kiesés"</f>
        <v>16 fős egyenes kiesés</v>
      </c>
      <c r="I87" s="157" t="str">
        <f>"1"</f>
        <v>1</v>
      </c>
      <c r="J87" s="156" t="str">
        <f>"Kolipka Máté Gergő"</f>
        <v>Kolipka Máté Gergő</v>
      </c>
      <c r="K87" s="156" t="str">
        <f>"KSE Tarján"</f>
        <v>KSE Tarján</v>
      </c>
      <c r="L87" s="156" t="str">
        <f t="shared" si="19"/>
        <v>HUN</v>
      </c>
      <c r="M87" s="163">
        <v>6</v>
      </c>
      <c r="O87" s="154" t="s">
        <v>246</v>
      </c>
      <c r="P87" s="159">
        <v>46081</v>
      </c>
      <c r="Q87" s="154" t="str">
        <f t="shared" si="26"/>
        <v>Kolipka Máté Gergő - KSE Tarján</v>
      </c>
      <c r="R87" s="154" t="s">
        <v>636</v>
      </c>
      <c r="S87" s="154" t="str">
        <f t="shared" si="27"/>
        <v>KSE Tarján</v>
      </c>
      <c r="T87" s="154" t="s">
        <v>645</v>
      </c>
      <c r="U87" s="154" t="s">
        <v>796</v>
      </c>
      <c r="V87" s="154"/>
    </row>
    <row r="88" spans="1:22" s="158" customFormat="1" x14ac:dyDescent="0.3">
      <c r="A88" s="154" t="s">
        <v>775</v>
      </c>
      <c r="B88" s="155">
        <v>2</v>
      </c>
      <c r="C88" s="154">
        <v>15</v>
      </c>
      <c r="D88" s="156" t="str">
        <f t="shared" si="31"/>
        <v>Kata</v>
      </c>
      <c r="E88" s="156" t="str">
        <f t="shared" si="32"/>
        <v>Kata, -, 0-100 kg, Gyerek 1. (9-10</v>
      </c>
      <c r="F88" s="156" t="s">
        <v>514</v>
      </c>
      <c r="G88" s="157" t="str">
        <f t="shared" si="33"/>
        <v>12</v>
      </c>
      <c r="H88" s="156" t="str">
        <f t="shared" si="34"/>
        <v>16 fős egyenes kiesés</v>
      </c>
      <c r="I88" s="157" t="str">
        <f>"2"</f>
        <v>2</v>
      </c>
      <c r="J88" s="156" t="str">
        <f>"Aupek Márk"</f>
        <v>Aupek Márk</v>
      </c>
      <c r="K88" s="156" t="str">
        <f>"VTSE"</f>
        <v>VTSE</v>
      </c>
      <c r="L88" s="156" t="str">
        <f t="shared" si="19"/>
        <v>HUN</v>
      </c>
      <c r="M88" s="163">
        <v>5</v>
      </c>
      <c r="O88" s="154" t="s">
        <v>246</v>
      </c>
      <c r="P88" s="159">
        <v>46081</v>
      </c>
      <c r="Q88" s="154" t="str">
        <f t="shared" si="26"/>
        <v>Aupek Márk - VTSE</v>
      </c>
      <c r="R88" s="154" t="s">
        <v>637</v>
      </c>
      <c r="S88" s="154" t="str">
        <f t="shared" si="27"/>
        <v>VTSE</v>
      </c>
      <c r="T88" s="154" t="s">
        <v>645</v>
      </c>
      <c r="U88" s="154" t="s">
        <v>796</v>
      </c>
      <c r="V88" s="154"/>
    </row>
    <row r="89" spans="1:22" s="158" customFormat="1" x14ac:dyDescent="0.3">
      <c r="A89" s="154" t="s">
        <v>775</v>
      </c>
      <c r="B89" s="155">
        <v>2</v>
      </c>
      <c r="C89" s="154">
        <v>16</v>
      </c>
      <c r="D89" s="156" t="str">
        <f t="shared" si="31"/>
        <v>Kata</v>
      </c>
      <c r="E89" s="156" t="str">
        <f t="shared" si="32"/>
        <v>Kata, -, 0-100 kg, Gyerek 1. (9-10</v>
      </c>
      <c r="F89" s="156" t="s">
        <v>514</v>
      </c>
      <c r="G89" s="157" t="str">
        <f t="shared" si="33"/>
        <v>12</v>
      </c>
      <c r="H89" s="156" t="str">
        <f t="shared" si="34"/>
        <v>16 fős egyenes kiesés</v>
      </c>
      <c r="I89" s="157" t="str">
        <f>"3"</f>
        <v>3</v>
      </c>
      <c r="J89" s="156" t="str">
        <f>"Csordás Olivér"</f>
        <v>Csordás Olivér</v>
      </c>
      <c r="K89" s="156" t="str">
        <f>"KSE Tarján"</f>
        <v>KSE Tarján</v>
      </c>
      <c r="L89" s="156" t="str">
        <f t="shared" si="19"/>
        <v>HUN</v>
      </c>
      <c r="M89" s="163">
        <v>3</v>
      </c>
      <c r="O89" s="154" t="s">
        <v>246</v>
      </c>
      <c r="P89" s="159">
        <v>46081</v>
      </c>
      <c r="Q89" s="154" t="str">
        <f t="shared" si="26"/>
        <v>Csordás Olivér - KSE Tarján</v>
      </c>
      <c r="R89" s="154" t="s">
        <v>636</v>
      </c>
      <c r="S89" s="154" t="str">
        <f t="shared" si="27"/>
        <v>KSE Tarján</v>
      </c>
      <c r="T89" s="154" t="s">
        <v>645</v>
      </c>
      <c r="U89" s="154" t="s">
        <v>796</v>
      </c>
      <c r="V89" s="154"/>
    </row>
    <row r="90" spans="1:22" s="158" customFormat="1" x14ac:dyDescent="0.3">
      <c r="A90" s="154" t="s">
        <v>775</v>
      </c>
      <c r="B90" s="155">
        <v>2</v>
      </c>
      <c r="C90" s="154">
        <v>17</v>
      </c>
      <c r="D90" s="156" t="str">
        <f t="shared" si="31"/>
        <v>Kata</v>
      </c>
      <c r="E90" s="156" t="str">
        <f t="shared" si="32"/>
        <v>Kata, -, 0-100 kg, Gyerek 1. (9-10</v>
      </c>
      <c r="F90" s="156" t="s">
        <v>514</v>
      </c>
      <c r="G90" s="157" t="str">
        <f t="shared" si="33"/>
        <v>12</v>
      </c>
      <c r="H90" s="156" t="str">
        <f t="shared" si="34"/>
        <v>16 fős egyenes kiesés</v>
      </c>
      <c r="I90" s="157" t="str">
        <f>"3"</f>
        <v>3</v>
      </c>
      <c r="J90" s="156" t="str">
        <f>"Gruber Marcell"</f>
        <v>Gruber Marcell</v>
      </c>
      <c r="K90" s="156" t="str">
        <f>"Siófok KSE"</f>
        <v>Siófok KSE</v>
      </c>
      <c r="L90" s="156" t="str">
        <f t="shared" si="19"/>
        <v>HUN</v>
      </c>
      <c r="M90" s="163">
        <v>3</v>
      </c>
      <c r="O90" s="154" t="s">
        <v>246</v>
      </c>
      <c r="P90" s="159">
        <v>46081</v>
      </c>
      <c r="Q90" s="154" t="str">
        <f t="shared" si="26"/>
        <v>Gruber Marcell - Siófok KSE</v>
      </c>
      <c r="R90" s="154" t="s">
        <v>636</v>
      </c>
      <c r="S90" s="154" t="str">
        <f t="shared" si="27"/>
        <v>Siófok KSE</v>
      </c>
      <c r="T90" s="154" t="s">
        <v>645</v>
      </c>
      <c r="U90" s="154" t="s">
        <v>796</v>
      </c>
      <c r="V90" s="154"/>
    </row>
    <row r="91" spans="1:22" s="158" customFormat="1" x14ac:dyDescent="0.3">
      <c r="A91" s="154" t="s">
        <v>775</v>
      </c>
      <c r="B91" s="155">
        <v>2</v>
      </c>
      <c r="C91" s="154">
        <v>18</v>
      </c>
      <c r="D91" s="156" t="str">
        <f t="shared" si="31"/>
        <v>Kata</v>
      </c>
      <c r="E91" s="156" t="str">
        <f t="shared" si="32"/>
        <v>Kata, -, 0-100 kg, Gyerek 1. (9-10</v>
      </c>
      <c r="F91" s="156" t="s">
        <v>514</v>
      </c>
      <c r="G91" s="157" t="str">
        <f t="shared" si="33"/>
        <v>12</v>
      </c>
      <c r="H91" s="156" t="str">
        <f t="shared" si="34"/>
        <v>16 fős egyenes kiesés</v>
      </c>
      <c r="I91" s="157" t="str">
        <f>"5"</f>
        <v>5</v>
      </c>
      <c r="J91" s="156" t="str">
        <f>"Bogdán Zsombor"</f>
        <v>Bogdán Zsombor</v>
      </c>
      <c r="K91" s="156" t="str">
        <f>"Katana SE"</f>
        <v>Katana SE</v>
      </c>
      <c r="L91" s="156" t="str">
        <f t="shared" si="19"/>
        <v>HUN</v>
      </c>
      <c r="M91" s="163">
        <v>0</v>
      </c>
      <c r="N91" s="158" t="s">
        <v>704</v>
      </c>
      <c r="O91" s="154" t="s">
        <v>246</v>
      </c>
      <c r="P91" s="159">
        <v>46081</v>
      </c>
      <c r="Q91" s="154" t="str">
        <f t="shared" si="26"/>
        <v>Bogdán Zsombor - Katana SE</v>
      </c>
      <c r="R91" s="154" t="s">
        <v>636</v>
      </c>
      <c r="S91" s="154" t="str">
        <f t="shared" si="27"/>
        <v>Katana SE</v>
      </c>
      <c r="T91" s="154" t="s">
        <v>645</v>
      </c>
      <c r="U91" s="154" t="s">
        <v>796</v>
      </c>
      <c r="V91" s="154"/>
    </row>
    <row r="92" spans="1:22" s="158" customFormat="1" x14ac:dyDescent="0.3">
      <c r="A92" s="154" t="s">
        <v>775</v>
      </c>
      <c r="B92" s="155">
        <v>2</v>
      </c>
      <c r="C92" s="154">
        <v>19</v>
      </c>
      <c r="D92" s="156" t="str">
        <f t="shared" si="31"/>
        <v>Kata</v>
      </c>
      <c r="E92" s="156" t="str">
        <f t="shared" si="32"/>
        <v>Kata, -, 0-100 kg, Gyerek 1. (9-10</v>
      </c>
      <c r="F92" s="156" t="s">
        <v>514</v>
      </c>
      <c r="G92" s="157" t="str">
        <f t="shared" si="33"/>
        <v>12</v>
      </c>
      <c r="H92" s="156" t="str">
        <f t="shared" si="34"/>
        <v>16 fős egyenes kiesés</v>
      </c>
      <c r="I92" s="157" t="str">
        <f>"6"</f>
        <v>6</v>
      </c>
      <c r="J92" s="156" t="str">
        <f>"Németh Dávid"</f>
        <v>Németh Dávid</v>
      </c>
      <c r="K92" s="156" t="str">
        <f>"BHMSE"</f>
        <v>BHMSE</v>
      </c>
      <c r="L92" s="156" t="str">
        <f t="shared" si="19"/>
        <v>HUN</v>
      </c>
      <c r="M92" s="163">
        <v>0</v>
      </c>
      <c r="N92" s="158" t="s">
        <v>704</v>
      </c>
      <c r="O92" s="154" t="s">
        <v>246</v>
      </c>
      <c r="P92" s="159">
        <v>46081</v>
      </c>
      <c r="Q92" s="154" t="str">
        <f t="shared" si="26"/>
        <v>Németh Dávid - BHMSE</v>
      </c>
      <c r="R92" s="154" t="s">
        <v>636</v>
      </c>
      <c r="S92" s="154" t="str">
        <f t="shared" si="27"/>
        <v>BHMSE</v>
      </c>
      <c r="T92" s="154" t="s">
        <v>645</v>
      </c>
      <c r="U92" s="154" t="s">
        <v>796</v>
      </c>
      <c r="V92" s="154"/>
    </row>
    <row r="93" spans="1:22" s="158" customFormat="1" x14ac:dyDescent="0.3">
      <c r="A93" s="154" t="s">
        <v>775</v>
      </c>
      <c r="B93" s="155">
        <v>2</v>
      </c>
      <c r="C93" s="154">
        <v>20</v>
      </c>
      <c r="D93" s="156" t="str">
        <f t="shared" si="31"/>
        <v>Kata</v>
      </c>
      <c r="E93" s="156" t="str">
        <f t="shared" si="32"/>
        <v>Kata, -, 0-100 kg, Gyerek 1. (9-10</v>
      </c>
      <c r="F93" s="156" t="s">
        <v>514</v>
      </c>
      <c r="G93" s="157" t="str">
        <f t="shared" si="33"/>
        <v>12</v>
      </c>
      <c r="H93" s="156" t="str">
        <f t="shared" si="34"/>
        <v>16 fős egyenes kiesés</v>
      </c>
      <c r="I93" s="157" t="str">
        <f>"7-8"</f>
        <v>7-8</v>
      </c>
      <c r="J93" s="156" t="str">
        <f>"Péntek András"</f>
        <v>Péntek András</v>
      </c>
      <c r="K93" s="156" t="str">
        <f>"Katana SE"</f>
        <v>Katana SE</v>
      </c>
      <c r="L93" s="156" t="str">
        <f t="shared" si="19"/>
        <v>HUN</v>
      </c>
      <c r="M93" s="163">
        <v>0</v>
      </c>
      <c r="N93" s="158" t="s">
        <v>704</v>
      </c>
      <c r="O93" s="154" t="s">
        <v>246</v>
      </c>
      <c r="P93" s="159">
        <v>46081</v>
      </c>
      <c r="Q93" s="154" t="str">
        <f t="shared" si="26"/>
        <v>Péntek András - Katana SE</v>
      </c>
      <c r="R93" s="154" t="s">
        <v>636</v>
      </c>
      <c r="S93" s="154" t="str">
        <f t="shared" si="27"/>
        <v>Katana SE</v>
      </c>
      <c r="T93" s="154" t="s">
        <v>645</v>
      </c>
      <c r="U93" s="154" t="s">
        <v>796</v>
      </c>
      <c r="V93" s="154"/>
    </row>
    <row r="94" spans="1:22" s="158" customFormat="1" x14ac:dyDescent="0.3">
      <c r="A94" s="154" t="s">
        <v>775</v>
      </c>
      <c r="B94" s="155">
        <v>2</v>
      </c>
      <c r="C94" s="154">
        <v>21</v>
      </c>
      <c r="D94" s="156" t="str">
        <f t="shared" si="31"/>
        <v>Kata</v>
      </c>
      <c r="E94" s="156" t="str">
        <f t="shared" si="32"/>
        <v>Kata, -, 0-100 kg, Gyerek 1. (9-10</v>
      </c>
      <c r="F94" s="156" t="s">
        <v>514</v>
      </c>
      <c r="G94" s="157" t="str">
        <f t="shared" si="33"/>
        <v>12</v>
      </c>
      <c r="H94" s="156" t="str">
        <f t="shared" si="34"/>
        <v>16 fős egyenes kiesés</v>
      </c>
      <c r="I94" s="157" t="str">
        <f>"7-8"</f>
        <v>7-8</v>
      </c>
      <c r="J94" s="156" t="str">
        <f>"Bakonyi Erik"</f>
        <v>Bakonyi Erik</v>
      </c>
      <c r="K94" s="156" t="str">
        <f t="shared" ref="K94:K99" si="35">"BHMSE"</f>
        <v>BHMSE</v>
      </c>
      <c r="L94" s="156" t="str">
        <f t="shared" si="19"/>
        <v>HUN</v>
      </c>
      <c r="M94" s="163">
        <v>0</v>
      </c>
      <c r="N94" s="158" t="s">
        <v>704</v>
      </c>
      <c r="O94" s="154" t="s">
        <v>246</v>
      </c>
      <c r="P94" s="159">
        <v>46081</v>
      </c>
      <c r="Q94" s="154" t="str">
        <f t="shared" si="26"/>
        <v>Bakonyi Erik - BHMSE</v>
      </c>
      <c r="R94" s="154" t="s">
        <v>636</v>
      </c>
      <c r="S94" s="154" t="str">
        <f t="shared" si="27"/>
        <v>BHMSE</v>
      </c>
      <c r="T94" s="154" t="s">
        <v>645</v>
      </c>
      <c r="U94" s="154" t="s">
        <v>796</v>
      </c>
      <c r="V94" s="154"/>
    </row>
    <row r="95" spans="1:22" s="158" customFormat="1" x14ac:dyDescent="0.3">
      <c r="A95" s="154" t="s">
        <v>775</v>
      </c>
      <c r="B95" s="155">
        <v>2</v>
      </c>
      <c r="C95" s="154">
        <v>22</v>
      </c>
      <c r="D95" s="156" t="str">
        <f t="shared" si="31"/>
        <v>Kata</v>
      </c>
      <c r="E95" s="156" t="str">
        <f t="shared" si="32"/>
        <v>Kata, -, 0-100 kg, Gyerek 1. (9-10</v>
      </c>
      <c r="F95" s="156" t="s">
        <v>514</v>
      </c>
      <c r="G95" s="157" t="str">
        <f t="shared" si="33"/>
        <v>12</v>
      </c>
      <c r="H95" s="156" t="str">
        <f t="shared" si="34"/>
        <v>16 fős egyenes kiesés</v>
      </c>
      <c r="I95" s="157" t="str">
        <f>"9"</f>
        <v>9</v>
      </c>
      <c r="J95" s="156" t="str">
        <f>"Gattoni Marcello"</f>
        <v>Gattoni Marcello</v>
      </c>
      <c r="K95" s="156" t="str">
        <f t="shared" si="35"/>
        <v>BHMSE</v>
      </c>
      <c r="L95" s="156" t="str">
        <f t="shared" si="19"/>
        <v>HUN</v>
      </c>
      <c r="M95" s="163">
        <v>0</v>
      </c>
      <c r="O95" s="154" t="s">
        <v>246</v>
      </c>
      <c r="P95" s="159">
        <v>46081</v>
      </c>
      <c r="Q95" s="154" t="str">
        <f t="shared" si="26"/>
        <v>Gattoni Marcello - BHMSE</v>
      </c>
      <c r="R95" s="154" t="s">
        <v>636</v>
      </c>
      <c r="S95" s="154" t="str">
        <f t="shared" si="27"/>
        <v>BHMSE</v>
      </c>
      <c r="T95" s="154" t="s">
        <v>645</v>
      </c>
      <c r="U95" s="154" t="s">
        <v>796</v>
      </c>
      <c r="V95" s="154"/>
    </row>
    <row r="96" spans="1:22" s="158" customFormat="1" x14ac:dyDescent="0.3">
      <c r="A96" s="154" t="s">
        <v>775</v>
      </c>
      <c r="B96" s="155">
        <v>2</v>
      </c>
      <c r="C96" s="154">
        <v>23</v>
      </c>
      <c r="D96" s="156" t="str">
        <f t="shared" si="31"/>
        <v>Kata</v>
      </c>
      <c r="E96" s="156" t="str">
        <f t="shared" si="32"/>
        <v>Kata, -, 0-100 kg, Gyerek 1. (9-10</v>
      </c>
      <c r="F96" s="156" t="s">
        <v>514</v>
      </c>
      <c r="G96" s="157" t="str">
        <f t="shared" si="33"/>
        <v>12</v>
      </c>
      <c r="H96" s="156" t="str">
        <f t="shared" si="34"/>
        <v>16 fős egyenes kiesés</v>
      </c>
      <c r="I96" s="157" t="str">
        <f>"10"</f>
        <v>10</v>
      </c>
      <c r="J96" s="156" t="str">
        <f>"Karácsony Vadim"</f>
        <v>Karácsony Vadim</v>
      </c>
      <c r="K96" s="156" t="str">
        <f t="shared" si="35"/>
        <v>BHMSE</v>
      </c>
      <c r="L96" s="156" t="str">
        <f t="shared" si="19"/>
        <v>HUN</v>
      </c>
      <c r="M96" s="163">
        <v>0</v>
      </c>
      <c r="O96" s="154" t="s">
        <v>246</v>
      </c>
      <c r="P96" s="159">
        <v>46081</v>
      </c>
      <c r="Q96" s="154" t="str">
        <f t="shared" si="26"/>
        <v>Karácsony Vadim - BHMSE</v>
      </c>
      <c r="R96" s="154" t="s">
        <v>636</v>
      </c>
      <c r="S96" s="154" t="str">
        <f t="shared" si="27"/>
        <v>BHMSE</v>
      </c>
      <c r="T96" s="154" t="s">
        <v>645</v>
      </c>
      <c r="U96" s="154" t="s">
        <v>796</v>
      </c>
      <c r="V96" s="154"/>
    </row>
    <row r="97" spans="1:22" s="158" customFormat="1" x14ac:dyDescent="0.3">
      <c r="A97" s="154" t="s">
        <v>775</v>
      </c>
      <c r="B97" s="155">
        <v>2</v>
      </c>
      <c r="C97" s="154">
        <v>24</v>
      </c>
      <c r="D97" s="156" t="str">
        <f t="shared" si="31"/>
        <v>Kata</v>
      </c>
      <c r="E97" s="156" t="str">
        <f t="shared" si="32"/>
        <v>Kata, -, 0-100 kg, Gyerek 1. (9-10</v>
      </c>
      <c r="F97" s="156" t="s">
        <v>514</v>
      </c>
      <c r="G97" s="157" t="str">
        <f t="shared" si="33"/>
        <v>12</v>
      </c>
      <c r="H97" s="156" t="str">
        <f t="shared" si="34"/>
        <v>16 fős egyenes kiesés</v>
      </c>
      <c r="I97" s="157" t="str">
        <f>"11-16"</f>
        <v>11-16</v>
      </c>
      <c r="J97" s="156" t="str">
        <f>"Jávor Mika"</f>
        <v>Jávor Mika</v>
      </c>
      <c r="K97" s="156" t="str">
        <f t="shared" si="35"/>
        <v>BHMSE</v>
      </c>
      <c r="L97" s="156" t="str">
        <f t="shared" si="19"/>
        <v>HUN</v>
      </c>
      <c r="M97" s="163">
        <v>0</v>
      </c>
      <c r="O97" s="154" t="s">
        <v>246</v>
      </c>
      <c r="P97" s="159">
        <v>46081</v>
      </c>
      <c r="Q97" s="154" t="str">
        <f t="shared" si="26"/>
        <v>Jávor Mika - BHMSE</v>
      </c>
      <c r="R97" s="154" t="s">
        <v>636</v>
      </c>
      <c r="S97" s="154" t="str">
        <f t="shared" si="27"/>
        <v>BHMSE</v>
      </c>
      <c r="T97" s="154" t="s">
        <v>645</v>
      </c>
      <c r="U97" s="154" t="s">
        <v>796</v>
      </c>
      <c r="V97" s="154"/>
    </row>
    <row r="98" spans="1:22" s="158" customFormat="1" x14ac:dyDescent="0.3">
      <c r="A98" s="154" t="s">
        <v>775</v>
      </c>
      <c r="B98" s="155">
        <v>2</v>
      </c>
      <c r="C98" s="154">
        <v>25</v>
      </c>
      <c r="D98" s="156" t="str">
        <f t="shared" si="31"/>
        <v>Kata</v>
      </c>
      <c r="E98" s="156" t="str">
        <f t="shared" si="32"/>
        <v>Kata, -, 0-100 kg, Gyerek 1. (9-10</v>
      </c>
      <c r="F98" s="156" t="s">
        <v>514</v>
      </c>
      <c r="G98" s="157" t="str">
        <f t="shared" si="33"/>
        <v>12</v>
      </c>
      <c r="H98" s="156" t="str">
        <f t="shared" si="34"/>
        <v>16 fős egyenes kiesés</v>
      </c>
      <c r="I98" s="157" t="str">
        <f>"11-16"</f>
        <v>11-16</v>
      </c>
      <c r="J98" s="156" t="str">
        <f>"Gombos-Weidinger Bence"</f>
        <v>Gombos-Weidinger Bence</v>
      </c>
      <c r="K98" s="156" t="str">
        <f t="shared" si="35"/>
        <v>BHMSE</v>
      </c>
      <c r="L98" s="156" t="str">
        <f t="shared" si="19"/>
        <v>HUN</v>
      </c>
      <c r="M98" s="163">
        <v>0</v>
      </c>
      <c r="O98" s="154" t="s">
        <v>246</v>
      </c>
      <c r="P98" s="159">
        <v>46081</v>
      </c>
      <c r="Q98" s="154" t="str">
        <f t="shared" si="26"/>
        <v>Gombos-Weidinger Bence - BHMSE</v>
      </c>
      <c r="R98" s="154" t="s">
        <v>636</v>
      </c>
      <c r="S98" s="154" t="str">
        <f t="shared" si="27"/>
        <v>BHMSE</v>
      </c>
      <c r="T98" s="154" t="s">
        <v>645</v>
      </c>
      <c r="U98" s="154" t="s">
        <v>796</v>
      </c>
      <c r="V98" s="154"/>
    </row>
    <row r="99" spans="1:22" s="158" customFormat="1" x14ac:dyDescent="0.3">
      <c r="A99" s="154" t="s">
        <v>775</v>
      </c>
      <c r="B99" s="155">
        <v>2</v>
      </c>
      <c r="C99" s="154">
        <v>26</v>
      </c>
      <c r="D99" s="156" t="str">
        <f t="shared" ref="D99:D105" si="36">"Kumite"</f>
        <v>Kumite</v>
      </c>
      <c r="E99" s="156" t="str">
        <f>"Kumite, -, 0-30 kg, Gyerek 1. (9-10"</f>
        <v>Kumite, -, 0-30 kg, Gyerek 1. (9-10</v>
      </c>
      <c r="F99" s="156" t="s">
        <v>515</v>
      </c>
      <c r="G99" s="157" t="str">
        <f>"2"</f>
        <v>2</v>
      </c>
      <c r="H99" s="156" t="str">
        <f>"2 fős egyenes kiesés"</f>
        <v>2 fős egyenes kiesés</v>
      </c>
      <c r="I99" s="157" t="str">
        <f>"1"</f>
        <v>1</v>
      </c>
      <c r="J99" s="156" t="str">
        <f>"Lukács Ajsa"</f>
        <v>Lukács Ajsa</v>
      </c>
      <c r="K99" s="156" t="str">
        <f t="shared" si="35"/>
        <v>BHMSE</v>
      </c>
      <c r="L99" s="156" t="str">
        <f t="shared" si="19"/>
        <v>HUN</v>
      </c>
      <c r="M99" s="163">
        <v>3</v>
      </c>
      <c r="O99" s="154" t="s">
        <v>246</v>
      </c>
      <c r="P99" s="159">
        <v>46081</v>
      </c>
      <c r="Q99" s="154" t="str">
        <f t="shared" si="26"/>
        <v>Lukács Ajsa - BHMSE</v>
      </c>
      <c r="R99" s="154" t="s">
        <v>636</v>
      </c>
      <c r="S99" s="154" t="str">
        <f t="shared" si="27"/>
        <v>BHMSE</v>
      </c>
      <c r="T99" s="154" t="s">
        <v>645</v>
      </c>
      <c r="U99" s="154" t="s">
        <v>796</v>
      </c>
      <c r="V99" s="154"/>
    </row>
    <row r="100" spans="1:22" s="158" customFormat="1" x14ac:dyDescent="0.3">
      <c r="A100" s="154" t="s">
        <v>775</v>
      </c>
      <c r="B100" s="155">
        <v>2</v>
      </c>
      <c r="C100" s="154">
        <v>27</v>
      </c>
      <c r="D100" s="156" t="str">
        <f t="shared" si="36"/>
        <v>Kumite</v>
      </c>
      <c r="E100" s="156" t="str">
        <f>"Kumite, -, 0-30 kg, Gyerek 1. (9-10"</f>
        <v>Kumite, -, 0-30 kg, Gyerek 1. (9-10</v>
      </c>
      <c r="F100" s="156" t="s">
        <v>515</v>
      </c>
      <c r="G100" s="157" t="str">
        <f>"2"</f>
        <v>2</v>
      </c>
      <c r="H100" s="156" t="str">
        <f>"2 fős egyenes kiesés"</f>
        <v>2 fős egyenes kiesés</v>
      </c>
      <c r="I100" s="157" t="str">
        <f>"2"</f>
        <v>2</v>
      </c>
      <c r="J100" s="156" t="str">
        <f>"Erdei Emília"</f>
        <v>Erdei Emília</v>
      </c>
      <c r="K100" s="156" t="str">
        <f>"Rokku KKSE"</f>
        <v>Rokku KKSE</v>
      </c>
      <c r="L100" s="156" t="str">
        <f t="shared" si="19"/>
        <v>HUN</v>
      </c>
      <c r="M100" s="163">
        <v>0</v>
      </c>
      <c r="O100" s="154" t="s">
        <v>246</v>
      </c>
      <c r="P100" s="159">
        <v>46081</v>
      </c>
      <c r="Q100" s="154" t="str">
        <f t="shared" si="26"/>
        <v>Erdei Emília - Rokku KKSE</v>
      </c>
      <c r="R100" s="154" t="s">
        <v>636</v>
      </c>
      <c r="S100" s="154" t="str">
        <f t="shared" si="27"/>
        <v>Rokku KKSE</v>
      </c>
      <c r="T100" s="154" t="s">
        <v>645</v>
      </c>
      <c r="U100" s="154" t="s">
        <v>796</v>
      </c>
      <c r="V100" s="154"/>
    </row>
    <row r="101" spans="1:22" s="158" customFormat="1" x14ac:dyDescent="0.3">
      <c r="A101" s="154" t="s">
        <v>775</v>
      </c>
      <c r="B101" s="155">
        <v>2</v>
      </c>
      <c r="C101" s="154">
        <v>28</v>
      </c>
      <c r="D101" s="156" t="str">
        <f t="shared" si="36"/>
        <v>Kumite</v>
      </c>
      <c r="E101" s="156" t="str">
        <f>"Kumite, -, 30-35 kg, Gyerek 1. (9-10"</f>
        <v>Kumite, -, 30-35 kg, Gyerek 1. (9-10</v>
      </c>
      <c r="F101" s="156" t="s">
        <v>516</v>
      </c>
      <c r="G101" s="157" t="str">
        <f>"2"</f>
        <v>2</v>
      </c>
      <c r="H101" s="156" t="str">
        <f>"2 fős egyenes kiesés"</f>
        <v>2 fős egyenes kiesés</v>
      </c>
      <c r="I101" s="157" t="str">
        <f>"1"</f>
        <v>1</v>
      </c>
      <c r="J101" s="156" t="str">
        <f>"Kámán Luca"</f>
        <v>Kámán Luca</v>
      </c>
      <c r="K101" s="156" t="str">
        <f>"Rakurai"</f>
        <v>Rakurai</v>
      </c>
      <c r="L101" s="156" t="str">
        <f t="shared" si="19"/>
        <v>HUN</v>
      </c>
      <c r="M101" s="163">
        <v>3</v>
      </c>
      <c r="O101" s="154" t="s">
        <v>246</v>
      </c>
      <c r="P101" s="159">
        <v>46081</v>
      </c>
      <c r="Q101" s="154" t="str">
        <f t="shared" si="26"/>
        <v>Kámán Luca - Rakurai</v>
      </c>
      <c r="R101" s="154" t="s">
        <v>636</v>
      </c>
      <c r="S101" s="154" t="str">
        <f t="shared" si="27"/>
        <v>Rakurai</v>
      </c>
      <c r="T101" s="154" t="s">
        <v>645</v>
      </c>
      <c r="U101" s="154" t="s">
        <v>796</v>
      </c>
      <c r="V101" s="154"/>
    </row>
    <row r="102" spans="1:22" s="158" customFormat="1" x14ac:dyDescent="0.3">
      <c r="A102" s="154" t="s">
        <v>775</v>
      </c>
      <c r="B102" s="155">
        <v>2</v>
      </c>
      <c r="C102" s="154">
        <v>29</v>
      </c>
      <c r="D102" s="156" t="str">
        <f t="shared" si="36"/>
        <v>Kumite</v>
      </c>
      <c r="E102" s="156" t="str">
        <f>"Kumite, -, 30-35 kg, Gyerek 1. (9-10"</f>
        <v>Kumite, -, 30-35 kg, Gyerek 1. (9-10</v>
      </c>
      <c r="F102" s="156" t="s">
        <v>516</v>
      </c>
      <c r="G102" s="157" t="str">
        <f>"2"</f>
        <v>2</v>
      </c>
      <c r="H102" s="156" t="str">
        <f>"2 fős egyenes kiesés"</f>
        <v>2 fős egyenes kiesés</v>
      </c>
      <c r="I102" s="157" t="str">
        <f>"2"</f>
        <v>2</v>
      </c>
      <c r="J102" s="156" t="str">
        <f>"Falus Dorottya"</f>
        <v>Falus Dorottya</v>
      </c>
      <c r="K102" s="156" t="str">
        <f>"Rokku KKSE"</f>
        <v>Rokku KKSE</v>
      </c>
      <c r="L102" s="156" t="str">
        <f t="shared" si="19"/>
        <v>HUN</v>
      </c>
      <c r="M102" s="163">
        <v>0</v>
      </c>
      <c r="O102" s="154" t="s">
        <v>246</v>
      </c>
      <c r="P102" s="159">
        <v>46081</v>
      </c>
      <c r="Q102" s="154" t="str">
        <f t="shared" si="26"/>
        <v>Falus Dorottya - Rokku KKSE</v>
      </c>
      <c r="R102" s="154" t="s">
        <v>636</v>
      </c>
      <c r="S102" s="154" t="str">
        <f t="shared" si="27"/>
        <v>Rokku KKSE</v>
      </c>
      <c r="T102" s="154" t="s">
        <v>645</v>
      </c>
      <c r="U102" s="154" t="s">
        <v>796</v>
      </c>
      <c r="V102" s="154"/>
    </row>
    <row r="103" spans="1:22" s="158" customFormat="1" x14ac:dyDescent="0.3">
      <c r="A103" s="154" t="s">
        <v>775</v>
      </c>
      <c r="B103" s="155">
        <v>2</v>
      </c>
      <c r="C103" s="154">
        <v>30</v>
      </c>
      <c r="D103" s="156" t="str">
        <f t="shared" si="36"/>
        <v>Kumite</v>
      </c>
      <c r="E103" s="156" t="str">
        <f>"Kumite, -, 35-200 kg, Gyerek 1. (9-10"</f>
        <v>Kumite, -, 35-200 kg, Gyerek 1. (9-10</v>
      </c>
      <c r="F103" s="156" t="s">
        <v>519</v>
      </c>
      <c r="G103" s="157" t="str">
        <f>"4"</f>
        <v>4</v>
      </c>
      <c r="H103" s="156" t="str">
        <f>"4 fős körmérkőzés"</f>
        <v>4 fős körmérkőzés</v>
      </c>
      <c r="I103" s="157" t="str">
        <f>"1"</f>
        <v>1</v>
      </c>
      <c r="J103" s="156" t="str">
        <f>"Németh Kitti"</f>
        <v>Németh Kitti</v>
      </c>
      <c r="K103" s="156" t="str">
        <f>"Meiyo dojo"</f>
        <v>Meiyo dojo</v>
      </c>
      <c r="L103" s="156" t="str">
        <f t="shared" si="19"/>
        <v>HUN</v>
      </c>
      <c r="M103" s="163">
        <v>6</v>
      </c>
      <c r="O103" s="154" t="s">
        <v>246</v>
      </c>
      <c r="P103" s="159">
        <v>46081</v>
      </c>
      <c r="Q103" s="154" t="str">
        <f t="shared" si="26"/>
        <v>Németh Kitti - Meiyo dojo</v>
      </c>
      <c r="R103" s="154" t="s">
        <v>636</v>
      </c>
      <c r="S103" s="154" t="str">
        <f t="shared" si="27"/>
        <v>Meiyo dojo</v>
      </c>
      <c r="T103" s="154" t="s">
        <v>645</v>
      </c>
      <c r="U103" s="154" t="s">
        <v>796</v>
      </c>
      <c r="V103" s="154"/>
    </row>
    <row r="104" spans="1:22" s="158" customFormat="1" x14ac:dyDescent="0.3">
      <c r="A104" s="154" t="s">
        <v>775</v>
      </c>
      <c r="B104" s="155">
        <v>2</v>
      </c>
      <c r="C104" s="154">
        <v>31</v>
      </c>
      <c r="D104" s="156" t="str">
        <f t="shared" si="36"/>
        <v>Kumite</v>
      </c>
      <c r="E104" s="156" t="str">
        <f>"Kumite, -, 35-200 kg, Gyerek 1. (9-10"</f>
        <v>Kumite, -, 35-200 kg, Gyerek 1. (9-10</v>
      </c>
      <c r="F104" s="156" t="s">
        <v>519</v>
      </c>
      <c r="G104" s="157" t="str">
        <f>"4"</f>
        <v>4</v>
      </c>
      <c r="H104" s="156" t="str">
        <f>"4 fős körmérkőzés"</f>
        <v>4 fős körmérkőzés</v>
      </c>
      <c r="I104" s="157" t="str">
        <f>"2"</f>
        <v>2</v>
      </c>
      <c r="J104" s="156" t="str">
        <f>"Buzás Anna"</f>
        <v>Buzás Anna</v>
      </c>
      <c r="K104" s="156" t="str">
        <f>"Meiyo dojo"</f>
        <v>Meiyo dojo</v>
      </c>
      <c r="L104" s="156" t="str">
        <f t="shared" si="19"/>
        <v>HUN</v>
      </c>
      <c r="M104" s="163">
        <v>5</v>
      </c>
      <c r="O104" s="154" t="s">
        <v>246</v>
      </c>
      <c r="P104" s="159">
        <v>46081</v>
      </c>
      <c r="Q104" s="154" t="str">
        <f t="shared" si="26"/>
        <v>Buzás Anna - Meiyo dojo</v>
      </c>
      <c r="R104" s="154" t="s">
        <v>636</v>
      </c>
      <c r="S104" s="154" t="str">
        <f t="shared" si="27"/>
        <v>Meiyo dojo</v>
      </c>
      <c r="T104" s="154" t="s">
        <v>645</v>
      </c>
      <c r="U104" s="154" t="s">
        <v>796</v>
      </c>
      <c r="V104" s="154"/>
    </row>
    <row r="105" spans="1:22" s="158" customFormat="1" x14ac:dyDescent="0.3">
      <c r="A105" s="154" t="s">
        <v>775</v>
      </c>
      <c r="B105" s="155">
        <v>2</v>
      </c>
      <c r="C105" s="154">
        <v>32</v>
      </c>
      <c r="D105" s="156" t="str">
        <f t="shared" si="36"/>
        <v>Kumite</v>
      </c>
      <c r="E105" s="156" t="str">
        <f>"Kumite, -, 35-200 kg, Gyerek 1. (9-10"</f>
        <v>Kumite, -, 35-200 kg, Gyerek 1. (9-10</v>
      </c>
      <c r="F105" s="156" t="s">
        <v>519</v>
      </c>
      <c r="G105" s="157" t="str">
        <f>"4"</f>
        <v>4</v>
      </c>
      <c r="H105" s="156" t="str">
        <f>"4 fős körmérkőzés"</f>
        <v>4 fős körmérkőzés</v>
      </c>
      <c r="I105" s="157" t="str">
        <f>"3"</f>
        <v>3</v>
      </c>
      <c r="J105" s="156" t="str">
        <f>"Balogh Zora"</f>
        <v>Balogh Zora</v>
      </c>
      <c r="K105" s="156" t="str">
        <f>"Meiyo dojo"</f>
        <v>Meiyo dojo</v>
      </c>
      <c r="L105" s="156" t="str">
        <f t="shared" si="19"/>
        <v>HUN</v>
      </c>
      <c r="M105" s="163">
        <v>3</v>
      </c>
      <c r="O105" s="154" t="s">
        <v>246</v>
      </c>
      <c r="P105" s="159">
        <v>46081</v>
      </c>
      <c r="Q105" s="154" t="str">
        <f t="shared" si="26"/>
        <v>Balogh Zora - Meiyo dojo</v>
      </c>
      <c r="R105" s="154" t="s">
        <v>636</v>
      </c>
      <c r="S105" s="154" t="str">
        <f t="shared" si="27"/>
        <v>Meiyo dojo</v>
      </c>
      <c r="T105" s="154" t="s">
        <v>645</v>
      </c>
      <c r="U105" s="154" t="s">
        <v>796</v>
      </c>
      <c r="V105" s="154"/>
    </row>
    <row r="106" spans="1:22" s="158" customFormat="1" x14ac:dyDescent="0.3">
      <c r="A106" s="154" t="s">
        <v>775</v>
      </c>
      <c r="B106" s="155">
        <v>2</v>
      </c>
      <c r="C106" s="154">
        <v>33</v>
      </c>
      <c r="D106" s="156" t="str">
        <f t="shared" ref="D106:D113" si="37">"Kata"</f>
        <v>Kata</v>
      </c>
      <c r="E106" s="156" t="str">
        <f t="shared" ref="E106:E113" si="38">"Kata, -, 0-100 kg, Gyerek 1. (9-10"</f>
        <v>Kata, -, 0-100 kg, Gyerek 1. (9-10</v>
      </c>
      <c r="F106" s="156" t="s">
        <v>520</v>
      </c>
      <c r="G106" s="157" t="str">
        <f t="shared" ref="G106:G113" si="39">"8"</f>
        <v>8</v>
      </c>
      <c r="H106" s="156" t="str">
        <f t="shared" ref="H106:H113" si="40">"8 fős egyenes kiesés"</f>
        <v>8 fős egyenes kiesés</v>
      </c>
      <c r="I106" s="157" t="str">
        <f>"1"</f>
        <v>1</v>
      </c>
      <c r="J106" s="156" t="str">
        <f>"Varga Olivia"</f>
        <v>Varga Olivia</v>
      </c>
      <c r="K106" s="156" t="str">
        <f>"KSE Tarján"</f>
        <v>KSE Tarján</v>
      </c>
      <c r="L106" s="156" t="str">
        <f t="shared" si="19"/>
        <v>HUN</v>
      </c>
      <c r="M106" s="163">
        <v>5</v>
      </c>
      <c r="O106" s="154" t="s">
        <v>246</v>
      </c>
      <c r="P106" s="159">
        <v>46081</v>
      </c>
      <c r="Q106" s="154" t="str">
        <f t="shared" si="26"/>
        <v>Varga Olivia - KSE Tarján</v>
      </c>
      <c r="R106" s="154" t="s">
        <v>636</v>
      </c>
      <c r="S106" s="154" t="str">
        <f t="shared" si="27"/>
        <v>KSE Tarján</v>
      </c>
      <c r="T106" s="154" t="s">
        <v>645</v>
      </c>
      <c r="U106" s="154" t="s">
        <v>796</v>
      </c>
      <c r="V106" s="154"/>
    </row>
    <row r="107" spans="1:22" s="158" customFormat="1" x14ac:dyDescent="0.3">
      <c r="A107" s="154" t="s">
        <v>775</v>
      </c>
      <c r="B107" s="155">
        <v>2</v>
      </c>
      <c r="C107" s="154">
        <v>34</v>
      </c>
      <c r="D107" s="156" t="str">
        <f t="shared" si="37"/>
        <v>Kata</v>
      </c>
      <c r="E107" s="156" t="str">
        <f t="shared" si="38"/>
        <v>Kata, -, 0-100 kg, Gyerek 1. (9-10</v>
      </c>
      <c r="F107" s="156" t="s">
        <v>520</v>
      </c>
      <c r="G107" s="157" t="str">
        <f t="shared" si="39"/>
        <v>8</v>
      </c>
      <c r="H107" s="156" t="str">
        <f t="shared" si="40"/>
        <v>8 fős egyenes kiesés</v>
      </c>
      <c r="I107" s="157" t="str">
        <f>"2"</f>
        <v>2</v>
      </c>
      <c r="J107" s="156" t="str">
        <f>"Tóth Csenge"</f>
        <v>Tóth Csenge</v>
      </c>
      <c r="K107" s="156" t="str">
        <f>"Nagykátai Bushido SE"</f>
        <v>Nagykátai Bushido SE</v>
      </c>
      <c r="L107" s="156" t="str">
        <f t="shared" si="19"/>
        <v>HUN</v>
      </c>
      <c r="M107" s="163">
        <v>4</v>
      </c>
      <c r="O107" s="154" t="s">
        <v>246</v>
      </c>
      <c r="P107" s="159">
        <v>46081</v>
      </c>
      <c r="Q107" s="154" t="str">
        <f t="shared" si="26"/>
        <v>Tóth Csenge - Nagykátai Bushido SE</v>
      </c>
      <c r="R107" s="154" t="s">
        <v>636</v>
      </c>
      <c r="S107" s="154" t="str">
        <f t="shared" si="27"/>
        <v>Nagykátai Bushido SE</v>
      </c>
      <c r="T107" s="154" t="s">
        <v>645</v>
      </c>
      <c r="U107" s="154" t="s">
        <v>796</v>
      </c>
      <c r="V107" s="154"/>
    </row>
    <row r="108" spans="1:22" s="158" customFormat="1" x14ac:dyDescent="0.3">
      <c r="A108" s="154" t="s">
        <v>775</v>
      </c>
      <c r="B108" s="155">
        <v>2</v>
      </c>
      <c r="C108" s="154">
        <v>35</v>
      </c>
      <c r="D108" s="156" t="str">
        <f t="shared" si="37"/>
        <v>Kata</v>
      </c>
      <c r="E108" s="156" t="str">
        <f t="shared" si="38"/>
        <v>Kata, -, 0-100 kg, Gyerek 1. (9-10</v>
      </c>
      <c r="F108" s="156" t="s">
        <v>520</v>
      </c>
      <c r="G108" s="157" t="str">
        <f t="shared" si="39"/>
        <v>8</v>
      </c>
      <c r="H108" s="156" t="str">
        <f t="shared" si="40"/>
        <v>8 fős egyenes kiesés</v>
      </c>
      <c r="I108" s="157" t="str">
        <f>"3"</f>
        <v>3</v>
      </c>
      <c r="J108" s="156" t="str">
        <f>"Falus Dorottya"</f>
        <v>Falus Dorottya</v>
      </c>
      <c r="K108" s="156" t="str">
        <f>"Rokku KKSE"</f>
        <v>Rokku KKSE</v>
      </c>
      <c r="L108" s="156" t="str">
        <f t="shared" si="19"/>
        <v>HUN</v>
      </c>
      <c r="M108" s="163">
        <v>2</v>
      </c>
      <c r="O108" s="154" t="s">
        <v>246</v>
      </c>
      <c r="P108" s="159">
        <v>46081</v>
      </c>
      <c r="Q108" s="154" t="str">
        <f t="shared" si="26"/>
        <v>Falus Dorottya - Rokku KKSE</v>
      </c>
      <c r="R108" s="154" t="s">
        <v>636</v>
      </c>
      <c r="S108" s="154" t="str">
        <f t="shared" si="27"/>
        <v>Rokku KKSE</v>
      </c>
      <c r="T108" s="154" t="s">
        <v>645</v>
      </c>
      <c r="U108" s="154" t="s">
        <v>796</v>
      </c>
      <c r="V108" s="154"/>
    </row>
    <row r="109" spans="1:22" s="158" customFormat="1" x14ac:dyDescent="0.3">
      <c r="A109" s="154" t="s">
        <v>775</v>
      </c>
      <c r="B109" s="155">
        <v>2</v>
      </c>
      <c r="C109" s="154">
        <v>36</v>
      </c>
      <c r="D109" s="156" t="str">
        <f t="shared" si="37"/>
        <v>Kata</v>
      </c>
      <c r="E109" s="156" t="str">
        <f t="shared" si="38"/>
        <v>Kata, -, 0-100 kg, Gyerek 1. (9-10</v>
      </c>
      <c r="F109" s="156" t="s">
        <v>520</v>
      </c>
      <c r="G109" s="157" t="str">
        <f t="shared" si="39"/>
        <v>8</v>
      </c>
      <c r="H109" s="156" t="str">
        <f t="shared" si="40"/>
        <v>8 fős egyenes kiesés</v>
      </c>
      <c r="I109" s="157" t="str">
        <f>"3"</f>
        <v>3</v>
      </c>
      <c r="J109" s="156" t="str">
        <f>"Németh Kitti"</f>
        <v>Németh Kitti</v>
      </c>
      <c r="K109" s="156" t="str">
        <f>"Meiyo dojo"</f>
        <v>Meiyo dojo</v>
      </c>
      <c r="L109" s="156" t="str">
        <f t="shared" si="19"/>
        <v>HUN</v>
      </c>
      <c r="M109" s="163">
        <v>2</v>
      </c>
      <c r="O109" s="154" t="s">
        <v>246</v>
      </c>
      <c r="P109" s="159">
        <v>46081</v>
      </c>
      <c r="Q109" s="154" t="str">
        <f t="shared" si="26"/>
        <v>Németh Kitti - Meiyo dojo</v>
      </c>
      <c r="R109" s="154" t="s">
        <v>636</v>
      </c>
      <c r="S109" s="154" t="str">
        <f t="shared" si="27"/>
        <v>Meiyo dojo</v>
      </c>
      <c r="T109" s="154" t="s">
        <v>645</v>
      </c>
      <c r="U109" s="154" t="s">
        <v>796</v>
      </c>
      <c r="V109" s="154"/>
    </row>
    <row r="110" spans="1:22" s="158" customFormat="1" x14ac:dyDescent="0.3">
      <c r="A110" s="154" t="s">
        <v>775</v>
      </c>
      <c r="B110" s="155">
        <v>2</v>
      </c>
      <c r="C110" s="154">
        <v>37</v>
      </c>
      <c r="D110" s="156" t="str">
        <f t="shared" si="37"/>
        <v>Kata</v>
      </c>
      <c r="E110" s="156" t="str">
        <f t="shared" si="38"/>
        <v>Kata, -, 0-100 kg, Gyerek 1. (9-10</v>
      </c>
      <c r="F110" s="156" t="s">
        <v>520</v>
      </c>
      <c r="G110" s="157" t="str">
        <f t="shared" si="39"/>
        <v>8</v>
      </c>
      <c r="H110" s="156" t="str">
        <f t="shared" si="40"/>
        <v>8 fős egyenes kiesés</v>
      </c>
      <c r="I110" s="157" t="str">
        <f>"5"</f>
        <v>5</v>
      </c>
      <c r="J110" s="156" t="str">
        <f>"Simor Szofi Anna"</f>
        <v>Simor Szofi Anna</v>
      </c>
      <c r="K110" s="156" t="str">
        <f>"BHMSE"</f>
        <v>BHMSE</v>
      </c>
      <c r="L110" s="156" t="str">
        <f t="shared" si="19"/>
        <v>HUN</v>
      </c>
      <c r="M110" s="163">
        <v>0</v>
      </c>
      <c r="O110" s="154" t="s">
        <v>246</v>
      </c>
      <c r="P110" s="159">
        <v>46081</v>
      </c>
      <c r="Q110" s="154" t="str">
        <f t="shared" si="26"/>
        <v>Simor Szofi Anna - BHMSE</v>
      </c>
      <c r="R110" s="154" t="s">
        <v>636</v>
      </c>
      <c r="S110" s="154" t="str">
        <f t="shared" si="27"/>
        <v>BHMSE</v>
      </c>
      <c r="T110" s="154" t="s">
        <v>645</v>
      </c>
      <c r="U110" s="154" t="s">
        <v>796</v>
      </c>
      <c r="V110" s="154"/>
    </row>
    <row r="111" spans="1:22" s="158" customFormat="1" x14ac:dyDescent="0.3">
      <c r="A111" s="154" t="s">
        <v>775</v>
      </c>
      <c r="B111" s="155">
        <v>2</v>
      </c>
      <c r="C111" s="154">
        <v>38</v>
      </c>
      <c r="D111" s="156" t="str">
        <f t="shared" si="37"/>
        <v>Kata</v>
      </c>
      <c r="E111" s="156" t="str">
        <f t="shared" si="38"/>
        <v>Kata, -, 0-100 kg, Gyerek 1. (9-10</v>
      </c>
      <c r="F111" s="156" t="s">
        <v>520</v>
      </c>
      <c r="G111" s="157" t="str">
        <f t="shared" si="39"/>
        <v>8</v>
      </c>
      <c r="H111" s="156" t="str">
        <f t="shared" si="40"/>
        <v>8 fős egyenes kiesés</v>
      </c>
      <c r="I111" s="157" t="str">
        <f>"6"</f>
        <v>6</v>
      </c>
      <c r="J111" s="156" t="str">
        <f>"Lukács Ajsa"</f>
        <v>Lukács Ajsa</v>
      </c>
      <c r="K111" s="156" t="str">
        <f>"BHMSE"</f>
        <v>BHMSE</v>
      </c>
      <c r="L111" s="156" t="str">
        <f t="shared" si="19"/>
        <v>HUN</v>
      </c>
      <c r="M111" s="163">
        <v>0</v>
      </c>
      <c r="O111" s="154" t="s">
        <v>246</v>
      </c>
      <c r="P111" s="159">
        <v>46081</v>
      </c>
      <c r="Q111" s="154" t="str">
        <f t="shared" si="26"/>
        <v>Lukács Ajsa - BHMSE</v>
      </c>
      <c r="R111" s="154" t="s">
        <v>636</v>
      </c>
      <c r="S111" s="154" t="str">
        <f t="shared" si="27"/>
        <v>BHMSE</v>
      </c>
      <c r="T111" s="154" t="s">
        <v>645</v>
      </c>
      <c r="U111" s="154" t="s">
        <v>796</v>
      </c>
      <c r="V111" s="154"/>
    </row>
    <row r="112" spans="1:22" s="158" customFormat="1" x14ac:dyDescent="0.3">
      <c r="A112" s="154" t="s">
        <v>775</v>
      </c>
      <c r="B112" s="155">
        <v>2</v>
      </c>
      <c r="C112" s="154">
        <v>39</v>
      </c>
      <c r="D112" s="156" t="str">
        <f t="shared" si="37"/>
        <v>Kata</v>
      </c>
      <c r="E112" s="156" t="str">
        <f t="shared" si="38"/>
        <v>Kata, -, 0-100 kg, Gyerek 1. (9-10</v>
      </c>
      <c r="F112" s="156" t="s">
        <v>520</v>
      </c>
      <c r="G112" s="157" t="str">
        <f t="shared" si="39"/>
        <v>8</v>
      </c>
      <c r="H112" s="156" t="str">
        <f t="shared" si="40"/>
        <v>8 fős egyenes kiesés</v>
      </c>
      <c r="I112" s="157" t="str">
        <f>"7-8"</f>
        <v>7-8</v>
      </c>
      <c r="J112" s="156" t="str">
        <f>"Erdei Emília"</f>
        <v>Erdei Emília</v>
      </c>
      <c r="K112" s="156" t="str">
        <f>"Rokku KKSE"</f>
        <v>Rokku KKSE</v>
      </c>
      <c r="L112" s="156" t="str">
        <f t="shared" si="19"/>
        <v>HUN</v>
      </c>
      <c r="M112" s="163">
        <v>0</v>
      </c>
      <c r="O112" s="154" t="s">
        <v>246</v>
      </c>
      <c r="P112" s="159">
        <v>46081</v>
      </c>
      <c r="Q112" s="154" t="str">
        <f t="shared" si="26"/>
        <v>Erdei Emília - Rokku KKSE</v>
      </c>
      <c r="R112" s="154" t="s">
        <v>636</v>
      </c>
      <c r="S112" s="154" t="str">
        <f t="shared" si="27"/>
        <v>Rokku KKSE</v>
      </c>
      <c r="T112" s="154" t="s">
        <v>645</v>
      </c>
      <c r="U112" s="154" t="s">
        <v>796</v>
      </c>
      <c r="V112" s="154"/>
    </row>
    <row r="113" spans="1:22" s="158" customFormat="1" x14ac:dyDescent="0.3">
      <c r="A113" s="154" t="s">
        <v>775</v>
      </c>
      <c r="B113" s="155">
        <v>2</v>
      </c>
      <c r="C113" s="154">
        <v>40</v>
      </c>
      <c r="D113" s="156" t="str">
        <f t="shared" si="37"/>
        <v>Kata</v>
      </c>
      <c r="E113" s="156" t="str">
        <f t="shared" si="38"/>
        <v>Kata, -, 0-100 kg, Gyerek 1. (9-10</v>
      </c>
      <c r="F113" s="156" t="s">
        <v>520</v>
      </c>
      <c r="G113" s="157" t="str">
        <f t="shared" si="39"/>
        <v>8</v>
      </c>
      <c r="H113" s="156" t="str">
        <f t="shared" si="40"/>
        <v>8 fős egyenes kiesés</v>
      </c>
      <c r="I113" s="157" t="str">
        <f>"7-8"</f>
        <v>7-8</v>
      </c>
      <c r="J113" s="156" t="str">
        <f>"Buzás Anna"</f>
        <v>Buzás Anna</v>
      </c>
      <c r="K113" s="156" t="str">
        <f>"Meiyo dojo"</f>
        <v>Meiyo dojo</v>
      </c>
      <c r="L113" s="156" t="str">
        <f t="shared" si="19"/>
        <v>HUN</v>
      </c>
      <c r="M113" s="163">
        <v>0</v>
      </c>
      <c r="O113" s="154" t="s">
        <v>246</v>
      </c>
      <c r="P113" s="159">
        <v>46081</v>
      </c>
      <c r="Q113" s="154" t="str">
        <f t="shared" si="26"/>
        <v>Buzás Anna - Meiyo dojo</v>
      </c>
      <c r="R113" s="154" t="s">
        <v>636</v>
      </c>
      <c r="S113" s="154" t="str">
        <f t="shared" si="27"/>
        <v>Meiyo dojo</v>
      </c>
      <c r="T113" s="154" t="s">
        <v>645</v>
      </c>
      <c r="U113" s="154" t="s">
        <v>796</v>
      </c>
      <c r="V113" s="154"/>
    </row>
    <row r="114" spans="1:22" s="158" customFormat="1" x14ac:dyDescent="0.3">
      <c r="A114" s="154" t="s">
        <v>775</v>
      </c>
      <c r="B114" s="155">
        <v>2</v>
      </c>
      <c r="C114" s="154">
        <v>41</v>
      </c>
      <c r="D114" s="156" t="str">
        <f t="shared" ref="D114:D145" si="41">"Kumite"</f>
        <v>Kumite</v>
      </c>
      <c r="E114" s="156" t="str">
        <f t="shared" ref="E114:E124" si="42">"Kumite, -, 0-35 kg, Gyerek 2. (11-12"</f>
        <v>Kumite, -, 0-35 kg, Gyerek 2. (11-12</v>
      </c>
      <c r="F114" s="156" t="s">
        <v>512</v>
      </c>
      <c r="G114" s="157" t="str">
        <f t="shared" ref="G114:G124" si="43">"11"</f>
        <v>11</v>
      </c>
      <c r="H114" s="156" t="str">
        <f t="shared" ref="H114:H124" si="44">"16 fős egyenes kiesés"</f>
        <v>16 fős egyenes kiesés</v>
      </c>
      <c r="I114" s="157" t="str">
        <f>"1"</f>
        <v>1</v>
      </c>
      <c r="J114" s="156" t="str">
        <f>"Boka Norman Eliot"</f>
        <v>Boka Norman Eliot</v>
      </c>
      <c r="K114" s="156" t="str">
        <f>"Katana SE"</f>
        <v>Katana SE</v>
      </c>
      <c r="L114" s="156" t="str">
        <f t="shared" si="19"/>
        <v>HUN</v>
      </c>
      <c r="M114" s="163">
        <v>8</v>
      </c>
      <c r="O114" s="154" t="s">
        <v>246</v>
      </c>
      <c r="P114" s="159">
        <v>46081</v>
      </c>
      <c r="Q114" s="154" t="str">
        <f t="shared" si="26"/>
        <v>Boka Norman Eliot - Katana SE</v>
      </c>
      <c r="R114" s="154" t="s">
        <v>636</v>
      </c>
      <c r="S114" s="154" t="str">
        <f t="shared" si="27"/>
        <v>Katana SE</v>
      </c>
      <c r="T114" s="154" t="s">
        <v>645</v>
      </c>
      <c r="U114" s="154" t="s">
        <v>796</v>
      </c>
      <c r="V114" s="154"/>
    </row>
    <row r="115" spans="1:22" s="158" customFormat="1" x14ac:dyDescent="0.3">
      <c r="A115" s="154" t="s">
        <v>775</v>
      </c>
      <c r="B115" s="155">
        <v>2</v>
      </c>
      <c r="C115" s="154">
        <v>42</v>
      </c>
      <c r="D115" s="156" t="str">
        <f t="shared" si="41"/>
        <v>Kumite</v>
      </c>
      <c r="E115" s="156" t="str">
        <f t="shared" si="42"/>
        <v>Kumite, -, 0-35 kg, Gyerek 2. (11-12</v>
      </c>
      <c r="F115" s="156" t="s">
        <v>512</v>
      </c>
      <c r="G115" s="157" t="str">
        <f t="shared" si="43"/>
        <v>11</v>
      </c>
      <c r="H115" s="156" t="str">
        <f t="shared" si="44"/>
        <v>16 fős egyenes kiesés</v>
      </c>
      <c r="I115" s="157" t="str">
        <f>"2"</f>
        <v>2</v>
      </c>
      <c r="J115" s="156" t="str">
        <f>"Hegedűs Vencel"</f>
        <v>Hegedűs Vencel</v>
      </c>
      <c r="K115" s="156" t="str">
        <f>"Nagykátai Bushido SE"</f>
        <v>Nagykátai Bushido SE</v>
      </c>
      <c r="L115" s="156" t="str">
        <f t="shared" si="19"/>
        <v>HUN</v>
      </c>
      <c r="M115" s="163">
        <v>6</v>
      </c>
      <c r="O115" s="154" t="s">
        <v>246</v>
      </c>
      <c r="P115" s="159">
        <v>46081</v>
      </c>
      <c r="Q115" s="154" t="str">
        <f t="shared" si="26"/>
        <v>Hegedűs Vencel - Nagykátai Bushido SE</v>
      </c>
      <c r="R115" s="154" t="s">
        <v>636</v>
      </c>
      <c r="S115" s="154" t="str">
        <f t="shared" si="27"/>
        <v>Nagykátai Bushido SE</v>
      </c>
      <c r="T115" s="154" t="s">
        <v>645</v>
      </c>
      <c r="U115" s="154" t="s">
        <v>796</v>
      </c>
      <c r="V115" s="154"/>
    </row>
    <row r="116" spans="1:22" s="158" customFormat="1" x14ac:dyDescent="0.3">
      <c r="A116" s="154" t="s">
        <v>775</v>
      </c>
      <c r="B116" s="155">
        <v>2</v>
      </c>
      <c r="C116" s="154">
        <v>43</v>
      </c>
      <c r="D116" s="156" t="str">
        <f t="shared" si="41"/>
        <v>Kumite</v>
      </c>
      <c r="E116" s="156" t="str">
        <f t="shared" si="42"/>
        <v>Kumite, -, 0-35 kg, Gyerek 2. (11-12</v>
      </c>
      <c r="F116" s="156" t="s">
        <v>512</v>
      </c>
      <c r="G116" s="157" t="str">
        <f t="shared" si="43"/>
        <v>11</v>
      </c>
      <c r="H116" s="156" t="str">
        <f t="shared" si="44"/>
        <v>16 fős egyenes kiesés</v>
      </c>
      <c r="I116" s="157" t="str">
        <f>"3"</f>
        <v>3</v>
      </c>
      <c r="J116" s="156" t="str">
        <f>"Zajácz Miklós"</f>
        <v>Zajácz Miklós</v>
      </c>
      <c r="K116" s="156" t="str">
        <f>"Kamikaze S"</f>
        <v>Kamikaze S</v>
      </c>
      <c r="L116" s="156" t="str">
        <f t="shared" si="19"/>
        <v>HUN</v>
      </c>
      <c r="M116" s="163">
        <v>4</v>
      </c>
      <c r="O116" s="154" t="s">
        <v>246</v>
      </c>
      <c r="P116" s="159">
        <v>46081</v>
      </c>
      <c r="Q116" s="154" t="str">
        <f t="shared" si="26"/>
        <v>Zajácz Miklós - Kamikaze S</v>
      </c>
      <c r="R116" s="154" t="s">
        <v>636</v>
      </c>
      <c r="S116" s="154" t="str">
        <f t="shared" si="27"/>
        <v>Kamikaze S</v>
      </c>
      <c r="T116" s="154" t="s">
        <v>645</v>
      </c>
      <c r="U116" s="154" t="s">
        <v>796</v>
      </c>
      <c r="V116" s="154"/>
    </row>
    <row r="117" spans="1:22" s="158" customFormat="1" x14ac:dyDescent="0.3">
      <c r="A117" s="154" t="s">
        <v>775</v>
      </c>
      <c r="B117" s="155">
        <v>2</v>
      </c>
      <c r="C117" s="154">
        <v>44</v>
      </c>
      <c r="D117" s="156" t="str">
        <f t="shared" si="41"/>
        <v>Kumite</v>
      </c>
      <c r="E117" s="156" t="str">
        <f t="shared" si="42"/>
        <v>Kumite, -, 0-35 kg, Gyerek 2. (11-12</v>
      </c>
      <c r="F117" s="156" t="s">
        <v>512</v>
      </c>
      <c r="G117" s="157" t="str">
        <f t="shared" si="43"/>
        <v>11</v>
      </c>
      <c r="H117" s="156" t="str">
        <f t="shared" si="44"/>
        <v>16 fős egyenes kiesés</v>
      </c>
      <c r="I117" s="157" t="str">
        <f>"3"</f>
        <v>3</v>
      </c>
      <c r="J117" s="156" t="str">
        <f>"Gordos Zalán"</f>
        <v>Gordos Zalán</v>
      </c>
      <c r="K117" s="156" t="str">
        <f>"VTSE"</f>
        <v>VTSE</v>
      </c>
      <c r="L117" s="156" t="str">
        <f t="shared" si="19"/>
        <v>HUN</v>
      </c>
      <c r="M117" s="163">
        <v>4</v>
      </c>
      <c r="O117" s="154" t="s">
        <v>246</v>
      </c>
      <c r="P117" s="159">
        <v>46081</v>
      </c>
      <c r="Q117" s="154" t="str">
        <f t="shared" si="26"/>
        <v>Gordos Zalán - VTSE</v>
      </c>
      <c r="R117" s="154" t="s">
        <v>637</v>
      </c>
      <c r="S117" s="154" t="str">
        <f t="shared" si="27"/>
        <v>VTSE</v>
      </c>
      <c r="T117" s="154" t="s">
        <v>645</v>
      </c>
      <c r="U117" s="154" t="s">
        <v>796</v>
      </c>
      <c r="V117" s="154"/>
    </row>
    <row r="118" spans="1:22" s="158" customFormat="1" x14ac:dyDescent="0.3">
      <c r="A118" s="154" t="s">
        <v>775</v>
      </c>
      <c r="B118" s="155">
        <v>2</v>
      </c>
      <c r="C118" s="154">
        <v>45</v>
      </c>
      <c r="D118" s="156" t="str">
        <f t="shared" si="41"/>
        <v>Kumite</v>
      </c>
      <c r="E118" s="156" t="str">
        <f t="shared" si="42"/>
        <v>Kumite, -, 0-35 kg, Gyerek 2. (11-12</v>
      </c>
      <c r="F118" s="156" t="s">
        <v>512</v>
      </c>
      <c r="G118" s="157" t="str">
        <f t="shared" si="43"/>
        <v>11</v>
      </c>
      <c r="H118" s="156" t="str">
        <f t="shared" si="44"/>
        <v>16 fős egyenes kiesés</v>
      </c>
      <c r="I118" s="157" t="str">
        <f>"5"</f>
        <v>5</v>
      </c>
      <c r="J118" s="156" t="str">
        <f>"Vörös Mátyás"</f>
        <v>Vörös Mátyás</v>
      </c>
      <c r="K118" s="156" t="str">
        <f>"Rokku KKSE"</f>
        <v>Rokku KKSE</v>
      </c>
      <c r="L118" s="156" t="str">
        <f t="shared" si="19"/>
        <v>HUN</v>
      </c>
      <c r="M118" s="163">
        <v>0</v>
      </c>
      <c r="N118" s="158" t="s">
        <v>704</v>
      </c>
      <c r="O118" s="154" t="s">
        <v>246</v>
      </c>
      <c r="P118" s="159">
        <v>46081</v>
      </c>
      <c r="Q118" s="154" t="str">
        <f t="shared" si="26"/>
        <v>Vörös Mátyás - Rokku KKSE</v>
      </c>
      <c r="R118" s="154" t="s">
        <v>636</v>
      </c>
      <c r="S118" s="154" t="str">
        <f t="shared" si="27"/>
        <v>Rokku KKSE</v>
      </c>
      <c r="T118" s="154" t="s">
        <v>645</v>
      </c>
      <c r="U118" s="154" t="s">
        <v>796</v>
      </c>
      <c r="V118" s="154"/>
    </row>
    <row r="119" spans="1:22" s="158" customFormat="1" x14ac:dyDescent="0.3">
      <c r="A119" s="154" t="s">
        <v>775</v>
      </c>
      <c r="B119" s="155">
        <v>2</v>
      </c>
      <c r="C119" s="154">
        <v>46</v>
      </c>
      <c r="D119" s="156" t="str">
        <f t="shared" si="41"/>
        <v>Kumite</v>
      </c>
      <c r="E119" s="156" t="str">
        <f t="shared" si="42"/>
        <v>Kumite, -, 0-35 kg, Gyerek 2. (11-12</v>
      </c>
      <c r="F119" s="156" t="s">
        <v>512</v>
      </c>
      <c r="G119" s="157" t="str">
        <f t="shared" si="43"/>
        <v>11</v>
      </c>
      <c r="H119" s="156" t="str">
        <f t="shared" si="44"/>
        <v>16 fős egyenes kiesés</v>
      </c>
      <c r="I119" s="157" t="str">
        <f>"6"</f>
        <v>6</v>
      </c>
      <c r="J119" s="156" t="str">
        <f>"Nagy Zétény"</f>
        <v>Nagy Zétény</v>
      </c>
      <c r="K119" s="156" t="str">
        <f>"BHMSE"</f>
        <v>BHMSE</v>
      </c>
      <c r="L119" s="156" t="str">
        <f t="shared" si="19"/>
        <v>HUN</v>
      </c>
      <c r="M119" s="163">
        <v>0</v>
      </c>
      <c r="N119" s="158" t="s">
        <v>704</v>
      </c>
      <c r="O119" s="154" t="s">
        <v>246</v>
      </c>
      <c r="P119" s="159">
        <v>46081</v>
      </c>
      <c r="Q119" s="154" t="str">
        <f t="shared" si="26"/>
        <v>Nagy Zétény - BHMSE</v>
      </c>
      <c r="R119" s="154" t="s">
        <v>636</v>
      </c>
      <c r="S119" s="154" t="str">
        <f t="shared" si="27"/>
        <v>BHMSE</v>
      </c>
      <c r="T119" s="154" t="s">
        <v>645</v>
      </c>
      <c r="U119" s="154" t="s">
        <v>796</v>
      </c>
      <c r="V119" s="154"/>
    </row>
    <row r="120" spans="1:22" s="158" customFormat="1" x14ac:dyDescent="0.3">
      <c r="A120" s="154" t="s">
        <v>775</v>
      </c>
      <c r="B120" s="155">
        <v>2</v>
      </c>
      <c r="C120" s="154">
        <v>47</v>
      </c>
      <c r="D120" s="156" t="str">
        <f t="shared" si="41"/>
        <v>Kumite</v>
      </c>
      <c r="E120" s="156" t="str">
        <f t="shared" si="42"/>
        <v>Kumite, -, 0-35 kg, Gyerek 2. (11-12</v>
      </c>
      <c r="F120" s="156" t="s">
        <v>512</v>
      </c>
      <c r="G120" s="157" t="str">
        <f t="shared" si="43"/>
        <v>11</v>
      </c>
      <c r="H120" s="156" t="str">
        <f t="shared" si="44"/>
        <v>16 fős egyenes kiesés</v>
      </c>
      <c r="I120" s="157" t="str">
        <f>"7-8"</f>
        <v>7-8</v>
      </c>
      <c r="J120" s="156" t="str">
        <f>"Kovács Milán"</f>
        <v>Kovács Milán</v>
      </c>
      <c r="K120" s="156" t="str">
        <f>"Katana SE"</f>
        <v>Katana SE</v>
      </c>
      <c r="L120" s="156" t="str">
        <f t="shared" si="19"/>
        <v>HUN</v>
      </c>
      <c r="M120" s="163">
        <v>2</v>
      </c>
      <c r="O120" s="154" t="s">
        <v>246</v>
      </c>
      <c r="P120" s="159">
        <v>46081</v>
      </c>
      <c r="Q120" s="154" t="str">
        <f t="shared" si="26"/>
        <v>Kovács Milán - Katana SE</v>
      </c>
      <c r="R120" s="154" t="s">
        <v>636</v>
      </c>
      <c r="S120" s="154" t="str">
        <f t="shared" si="27"/>
        <v>Katana SE</v>
      </c>
      <c r="T120" s="154" t="s">
        <v>645</v>
      </c>
      <c r="U120" s="154" t="s">
        <v>796</v>
      </c>
      <c r="V120" s="154"/>
    </row>
    <row r="121" spans="1:22" s="158" customFormat="1" x14ac:dyDescent="0.3">
      <c r="A121" s="154" t="s">
        <v>775</v>
      </c>
      <c r="B121" s="155">
        <v>2</v>
      </c>
      <c r="C121" s="154">
        <v>48</v>
      </c>
      <c r="D121" s="156" t="str">
        <f t="shared" si="41"/>
        <v>Kumite</v>
      </c>
      <c r="E121" s="156" t="str">
        <f t="shared" si="42"/>
        <v>Kumite, -, 0-35 kg, Gyerek 2. (11-12</v>
      </c>
      <c r="F121" s="156" t="s">
        <v>512</v>
      </c>
      <c r="G121" s="157" t="str">
        <f t="shared" si="43"/>
        <v>11</v>
      </c>
      <c r="H121" s="156" t="str">
        <f t="shared" si="44"/>
        <v>16 fős egyenes kiesés</v>
      </c>
      <c r="I121" s="157" t="str">
        <f>"7-8"</f>
        <v>7-8</v>
      </c>
      <c r="J121" s="156" t="str">
        <f>"Csuha Benedek"</f>
        <v>Csuha Benedek</v>
      </c>
      <c r="K121" s="156" t="str">
        <f>"BHMSE"</f>
        <v>BHMSE</v>
      </c>
      <c r="L121" s="156" t="str">
        <f t="shared" si="19"/>
        <v>HUN</v>
      </c>
      <c r="M121" s="163">
        <v>0</v>
      </c>
      <c r="N121" s="158" t="s">
        <v>704</v>
      </c>
      <c r="O121" s="154" t="s">
        <v>246</v>
      </c>
      <c r="P121" s="159">
        <v>46081</v>
      </c>
      <c r="Q121" s="154" t="str">
        <f t="shared" si="26"/>
        <v>Csuha Benedek - BHMSE</v>
      </c>
      <c r="R121" s="154" t="s">
        <v>636</v>
      </c>
      <c r="S121" s="154" t="str">
        <f t="shared" si="27"/>
        <v>BHMSE</v>
      </c>
      <c r="T121" s="154" t="s">
        <v>645</v>
      </c>
      <c r="U121" s="154" t="s">
        <v>796</v>
      </c>
      <c r="V121" s="154"/>
    </row>
    <row r="122" spans="1:22" s="158" customFormat="1" x14ac:dyDescent="0.3">
      <c r="A122" s="154" t="s">
        <v>775</v>
      </c>
      <c r="B122" s="155">
        <v>2</v>
      </c>
      <c r="C122" s="154">
        <v>49</v>
      </c>
      <c r="D122" s="156" t="str">
        <f t="shared" si="41"/>
        <v>Kumite</v>
      </c>
      <c r="E122" s="156" t="str">
        <f t="shared" si="42"/>
        <v>Kumite, -, 0-35 kg, Gyerek 2. (11-12</v>
      </c>
      <c r="F122" s="156" t="s">
        <v>512</v>
      </c>
      <c r="G122" s="157" t="str">
        <f t="shared" si="43"/>
        <v>11</v>
      </c>
      <c r="H122" s="156" t="str">
        <f t="shared" si="44"/>
        <v>16 fős egyenes kiesés</v>
      </c>
      <c r="I122" s="157" t="str">
        <f>"9"</f>
        <v>9</v>
      </c>
      <c r="J122" s="156" t="str">
        <f>"Reinhoffer Erik"</f>
        <v>Reinhoffer Erik</v>
      </c>
      <c r="K122" s="156" t="str">
        <f>"Kamikaze S"</f>
        <v>Kamikaze S</v>
      </c>
      <c r="L122" s="156" t="str">
        <f t="shared" si="19"/>
        <v>HUN</v>
      </c>
      <c r="M122" s="163">
        <v>0</v>
      </c>
      <c r="O122" s="154" t="s">
        <v>246</v>
      </c>
      <c r="P122" s="159">
        <v>46081</v>
      </c>
      <c r="Q122" s="154" t="str">
        <f t="shared" si="26"/>
        <v>Reinhoffer Erik - Kamikaze S</v>
      </c>
      <c r="R122" s="154" t="s">
        <v>636</v>
      </c>
      <c r="S122" s="154" t="str">
        <f t="shared" si="27"/>
        <v>Kamikaze S</v>
      </c>
      <c r="T122" s="154" t="s">
        <v>645</v>
      </c>
      <c r="U122" s="154" t="s">
        <v>796</v>
      </c>
      <c r="V122" s="154"/>
    </row>
    <row r="123" spans="1:22" s="158" customFormat="1" x14ac:dyDescent="0.3">
      <c r="A123" s="154" t="s">
        <v>775</v>
      </c>
      <c r="B123" s="155">
        <v>2</v>
      </c>
      <c r="C123" s="154">
        <v>50</v>
      </c>
      <c r="D123" s="156" t="str">
        <f t="shared" si="41"/>
        <v>Kumite</v>
      </c>
      <c r="E123" s="156" t="str">
        <f t="shared" si="42"/>
        <v>Kumite, -, 0-35 kg, Gyerek 2. (11-12</v>
      </c>
      <c r="F123" s="156" t="s">
        <v>512</v>
      </c>
      <c r="G123" s="157" t="str">
        <f t="shared" si="43"/>
        <v>11</v>
      </c>
      <c r="H123" s="156" t="str">
        <f t="shared" si="44"/>
        <v>16 fős egyenes kiesés</v>
      </c>
      <c r="I123" s="157" t="str">
        <f>"11-16"</f>
        <v>11-16</v>
      </c>
      <c r="J123" s="156" t="str">
        <f>"Süller Zsombor"</f>
        <v>Süller Zsombor</v>
      </c>
      <c r="K123" s="156" t="str">
        <f>"Katana SE"</f>
        <v>Katana SE</v>
      </c>
      <c r="L123" s="156" t="str">
        <f t="shared" si="19"/>
        <v>HUN</v>
      </c>
      <c r="M123" s="163">
        <v>0</v>
      </c>
      <c r="O123" s="154" t="s">
        <v>246</v>
      </c>
      <c r="P123" s="159">
        <v>46081</v>
      </c>
      <c r="Q123" s="154" t="str">
        <f t="shared" si="26"/>
        <v>Süller Zsombor - Katana SE</v>
      </c>
      <c r="R123" s="154" t="s">
        <v>636</v>
      </c>
      <c r="S123" s="154" t="str">
        <f t="shared" si="27"/>
        <v>Katana SE</v>
      </c>
      <c r="T123" s="154" t="s">
        <v>645</v>
      </c>
      <c r="U123" s="154" t="s">
        <v>796</v>
      </c>
      <c r="V123" s="154"/>
    </row>
    <row r="124" spans="1:22" s="158" customFormat="1" x14ac:dyDescent="0.3">
      <c r="A124" s="154" t="s">
        <v>775</v>
      </c>
      <c r="B124" s="155">
        <v>2</v>
      </c>
      <c r="C124" s="154">
        <v>51</v>
      </c>
      <c r="D124" s="156" t="str">
        <f t="shared" si="41"/>
        <v>Kumite</v>
      </c>
      <c r="E124" s="156" t="str">
        <f t="shared" si="42"/>
        <v>Kumite, -, 0-35 kg, Gyerek 2. (11-12</v>
      </c>
      <c r="F124" s="156" t="s">
        <v>512</v>
      </c>
      <c r="G124" s="157" t="str">
        <f t="shared" si="43"/>
        <v>11</v>
      </c>
      <c r="H124" s="156" t="str">
        <f t="shared" si="44"/>
        <v>16 fős egyenes kiesés</v>
      </c>
      <c r="I124" s="157" t="str">
        <f>"11-16"</f>
        <v>11-16</v>
      </c>
      <c r="J124" s="156" t="str">
        <f>"Kalmár Ádám István"</f>
        <v>Kalmár Ádám István</v>
      </c>
      <c r="K124" s="156" t="str">
        <f>"Castrum"</f>
        <v>Castrum</v>
      </c>
      <c r="L124" s="156" t="str">
        <f t="shared" si="19"/>
        <v>HUN</v>
      </c>
      <c r="M124" s="163">
        <v>0</v>
      </c>
      <c r="O124" s="154" t="s">
        <v>246</v>
      </c>
      <c r="P124" s="159">
        <v>46081</v>
      </c>
      <c r="Q124" s="154" t="str">
        <f t="shared" si="26"/>
        <v>Kalmár Ádám István - Castrum</v>
      </c>
      <c r="R124" s="154" t="s">
        <v>636</v>
      </c>
      <c r="S124" s="154" t="str">
        <f t="shared" si="27"/>
        <v>Castrum</v>
      </c>
      <c r="T124" s="154" t="s">
        <v>645</v>
      </c>
      <c r="U124" s="154" t="s">
        <v>796</v>
      </c>
      <c r="V124" s="154"/>
    </row>
    <row r="125" spans="1:22" s="158" customFormat="1" x14ac:dyDescent="0.3">
      <c r="A125" s="154" t="s">
        <v>775</v>
      </c>
      <c r="B125" s="155">
        <v>2</v>
      </c>
      <c r="C125" s="154">
        <v>52</v>
      </c>
      <c r="D125" s="156" t="str">
        <f t="shared" si="41"/>
        <v>Kumite</v>
      </c>
      <c r="E125" s="156" t="str">
        <f t="shared" ref="E125:E131" si="45">"Kumite, -, 35-40 kg, Gyerek 2. (11-12"</f>
        <v>Kumite, -, 35-40 kg, Gyerek 2. (11-12</v>
      </c>
      <c r="F125" s="156" t="s">
        <v>518</v>
      </c>
      <c r="G125" s="157" t="str">
        <f t="shared" ref="G125:G138" si="46">"7"</f>
        <v>7</v>
      </c>
      <c r="H125" s="156" t="str">
        <f t="shared" ref="H125:H138" si="47">"8 fős egyenes kiesés"</f>
        <v>8 fős egyenes kiesés</v>
      </c>
      <c r="I125" s="157" t="str">
        <f>"1"</f>
        <v>1</v>
      </c>
      <c r="J125" s="156" t="str">
        <f>"Szenner Valentin"</f>
        <v>Szenner Valentin</v>
      </c>
      <c r="K125" s="156" t="str">
        <f>"Katana SE"</f>
        <v>Katana SE</v>
      </c>
      <c r="L125" s="156" t="str">
        <f t="shared" si="19"/>
        <v>HUN</v>
      </c>
      <c r="M125" s="163">
        <v>6</v>
      </c>
      <c r="O125" s="154" t="s">
        <v>246</v>
      </c>
      <c r="P125" s="159">
        <v>46081</v>
      </c>
      <c r="Q125" s="154" t="str">
        <f t="shared" si="26"/>
        <v>Szenner Valentin - Katana SE</v>
      </c>
      <c r="R125" s="154" t="s">
        <v>636</v>
      </c>
      <c r="S125" s="154" t="str">
        <f t="shared" si="27"/>
        <v>Katana SE</v>
      </c>
      <c r="T125" s="154" t="s">
        <v>645</v>
      </c>
      <c r="U125" s="154" t="s">
        <v>796</v>
      </c>
      <c r="V125" s="154"/>
    </row>
    <row r="126" spans="1:22" s="158" customFormat="1" x14ac:dyDescent="0.3">
      <c r="A126" s="154" t="s">
        <v>775</v>
      </c>
      <c r="B126" s="155">
        <v>2</v>
      </c>
      <c r="C126" s="154">
        <v>53</v>
      </c>
      <c r="D126" s="156" t="str">
        <f t="shared" si="41"/>
        <v>Kumite</v>
      </c>
      <c r="E126" s="156" t="str">
        <f t="shared" si="45"/>
        <v>Kumite, -, 35-40 kg, Gyerek 2. (11-12</v>
      </c>
      <c r="F126" s="156" t="s">
        <v>518</v>
      </c>
      <c r="G126" s="157" t="str">
        <f t="shared" si="46"/>
        <v>7</v>
      </c>
      <c r="H126" s="156" t="str">
        <f t="shared" si="47"/>
        <v>8 fős egyenes kiesés</v>
      </c>
      <c r="I126" s="157" t="str">
        <f>"2"</f>
        <v>2</v>
      </c>
      <c r="J126" s="156" t="str">
        <f>"Szabó Áron Levente"</f>
        <v>Szabó Áron Levente</v>
      </c>
      <c r="K126" s="156" t="str">
        <f>"Katana SE"</f>
        <v>Katana SE</v>
      </c>
      <c r="L126" s="156" t="str">
        <f t="shared" si="19"/>
        <v>HUN</v>
      </c>
      <c r="M126" s="163">
        <v>5</v>
      </c>
      <c r="O126" s="154" t="s">
        <v>246</v>
      </c>
      <c r="P126" s="159">
        <v>46081</v>
      </c>
      <c r="Q126" s="154" t="str">
        <f t="shared" si="26"/>
        <v>Szabó Áron Levente - Katana SE</v>
      </c>
      <c r="R126" s="154" t="s">
        <v>636</v>
      </c>
      <c r="S126" s="154" t="str">
        <f t="shared" si="27"/>
        <v>Katana SE</v>
      </c>
      <c r="T126" s="154" t="s">
        <v>645</v>
      </c>
      <c r="U126" s="154" t="s">
        <v>796</v>
      </c>
      <c r="V126" s="154"/>
    </row>
    <row r="127" spans="1:22" s="158" customFormat="1" x14ac:dyDescent="0.3">
      <c r="A127" s="154" t="s">
        <v>775</v>
      </c>
      <c r="B127" s="155">
        <v>2</v>
      </c>
      <c r="C127" s="154">
        <v>54</v>
      </c>
      <c r="D127" s="156" t="str">
        <f t="shared" si="41"/>
        <v>Kumite</v>
      </c>
      <c r="E127" s="156" t="str">
        <f t="shared" si="45"/>
        <v>Kumite, -, 35-40 kg, Gyerek 2. (11-12</v>
      </c>
      <c r="F127" s="156" t="s">
        <v>518</v>
      </c>
      <c r="G127" s="157" t="str">
        <f t="shared" si="46"/>
        <v>7</v>
      </c>
      <c r="H127" s="156" t="str">
        <f t="shared" si="47"/>
        <v>8 fős egyenes kiesés</v>
      </c>
      <c r="I127" s="157" t="str">
        <f>"3"</f>
        <v>3</v>
      </c>
      <c r="J127" s="156" t="str">
        <f>"Molnár I. Zétény"</f>
        <v>Molnár I. Zétény</v>
      </c>
      <c r="K127" s="156" t="str">
        <f>"KKE - Spartacus"</f>
        <v>KKE - Spartacus</v>
      </c>
      <c r="L127" s="156" t="str">
        <f t="shared" si="19"/>
        <v>HUN</v>
      </c>
      <c r="M127" s="163">
        <v>0</v>
      </c>
      <c r="N127" s="158" t="s">
        <v>704</v>
      </c>
      <c r="O127" s="154" t="s">
        <v>246</v>
      </c>
      <c r="P127" s="159">
        <v>46081</v>
      </c>
      <c r="Q127" s="154" t="str">
        <f t="shared" si="26"/>
        <v>Molnár I. Zétény - KKE - Spartacus</v>
      </c>
      <c r="R127" s="154" t="s">
        <v>636</v>
      </c>
      <c r="S127" s="154" t="str">
        <f t="shared" si="27"/>
        <v>KKE - Spartacus</v>
      </c>
      <c r="T127" s="154" t="s">
        <v>645</v>
      </c>
      <c r="U127" s="154" t="s">
        <v>796</v>
      </c>
      <c r="V127" s="154"/>
    </row>
    <row r="128" spans="1:22" s="158" customFormat="1" x14ac:dyDescent="0.3">
      <c r="A128" s="154" t="s">
        <v>775</v>
      </c>
      <c r="B128" s="155">
        <v>2</v>
      </c>
      <c r="C128" s="154">
        <v>55</v>
      </c>
      <c r="D128" s="156" t="str">
        <f t="shared" si="41"/>
        <v>Kumite</v>
      </c>
      <c r="E128" s="156" t="str">
        <f t="shared" si="45"/>
        <v>Kumite, -, 35-40 kg, Gyerek 2. (11-12</v>
      </c>
      <c r="F128" s="156" t="s">
        <v>518</v>
      </c>
      <c r="G128" s="157" t="str">
        <f t="shared" si="46"/>
        <v>7</v>
      </c>
      <c r="H128" s="156" t="str">
        <f t="shared" si="47"/>
        <v>8 fős egyenes kiesés</v>
      </c>
      <c r="I128" s="157" t="str">
        <f>"3"</f>
        <v>3</v>
      </c>
      <c r="J128" s="156" t="str">
        <f>"Hidegh Krisztián"</f>
        <v>Hidegh Krisztián</v>
      </c>
      <c r="K128" s="156" t="str">
        <f>"Rakurai"</f>
        <v>Rakurai</v>
      </c>
      <c r="L128" s="156" t="str">
        <f t="shared" ref="L128:L193" si="48">"HUN"</f>
        <v>HUN</v>
      </c>
      <c r="M128" s="163">
        <v>3</v>
      </c>
      <c r="O128" s="154" t="s">
        <v>246</v>
      </c>
      <c r="P128" s="159">
        <v>46081</v>
      </c>
      <c r="Q128" s="154" t="str">
        <f t="shared" si="26"/>
        <v>Hidegh Krisztián - Rakurai</v>
      </c>
      <c r="R128" s="154" t="s">
        <v>636</v>
      </c>
      <c r="S128" s="154" t="str">
        <f t="shared" si="27"/>
        <v>Rakurai</v>
      </c>
      <c r="T128" s="154" t="s">
        <v>645</v>
      </c>
      <c r="U128" s="154" t="s">
        <v>796</v>
      </c>
      <c r="V128" s="154"/>
    </row>
    <row r="129" spans="1:22" s="158" customFormat="1" x14ac:dyDescent="0.3">
      <c r="A129" s="154" t="s">
        <v>775</v>
      </c>
      <c r="B129" s="155">
        <v>2</v>
      </c>
      <c r="C129" s="154">
        <v>56</v>
      </c>
      <c r="D129" s="156" t="str">
        <f t="shared" si="41"/>
        <v>Kumite</v>
      </c>
      <c r="E129" s="156" t="str">
        <f t="shared" si="45"/>
        <v>Kumite, -, 35-40 kg, Gyerek 2. (11-12</v>
      </c>
      <c r="F129" s="156" t="s">
        <v>518</v>
      </c>
      <c r="G129" s="157" t="str">
        <f t="shared" si="46"/>
        <v>7</v>
      </c>
      <c r="H129" s="156" t="str">
        <f t="shared" si="47"/>
        <v>8 fős egyenes kiesés</v>
      </c>
      <c r="I129" s="157" t="str">
        <f>"5"</f>
        <v>5</v>
      </c>
      <c r="J129" s="156" t="str">
        <f>"Benedek Barnabás"</f>
        <v>Benedek Barnabás</v>
      </c>
      <c r="K129" s="156" t="str">
        <f>"Nagykátai Bushido SE"</f>
        <v>Nagykátai Bushido SE</v>
      </c>
      <c r="L129" s="156" t="str">
        <f t="shared" si="48"/>
        <v>HUN</v>
      </c>
      <c r="M129" s="163">
        <v>0</v>
      </c>
      <c r="O129" s="154" t="s">
        <v>246</v>
      </c>
      <c r="P129" s="159">
        <v>46081</v>
      </c>
      <c r="Q129" s="154" t="str">
        <f t="shared" si="26"/>
        <v>Benedek Barnabás - Nagykátai Bushido SE</v>
      </c>
      <c r="R129" s="154" t="s">
        <v>636</v>
      </c>
      <c r="S129" s="154" t="str">
        <f t="shared" si="27"/>
        <v>Nagykátai Bushido SE</v>
      </c>
      <c r="T129" s="154" t="s">
        <v>645</v>
      </c>
      <c r="U129" s="154" t="s">
        <v>796</v>
      </c>
      <c r="V129" s="154"/>
    </row>
    <row r="130" spans="1:22" s="158" customFormat="1" x14ac:dyDescent="0.3">
      <c r="A130" s="154" t="s">
        <v>775</v>
      </c>
      <c r="B130" s="155">
        <v>2</v>
      </c>
      <c r="C130" s="154">
        <v>57</v>
      </c>
      <c r="D130" s="156" t="str">
        <f t="shared" si="41"/>
        <v>Kumite</v>
      </c>
      <c r="E130" s="156" t="str">
        <f t="shared" si="45"/>
        <v>Kumite, -, 35-40 kg, Gyerek 2. (11-12</v>
      </c>
      <c r="F130" s="156" t="s">
        <v>518</v>
      </c>
      <c r="G130" s="157" t="str">
        <f t="shared" si="46"/>
        <v>7</v>
      </c>
      <c r="H130" s="156" t="str">
        <f t="shared" si="47"/>
        <v>8 fős egyenes kiesés</v>
      </c>
      <c r="I130" s="157" t="str">
        <f>"6"</f>
        <v>6</v>
      </c>
      <c r="J130" s="156" t="str">
        <f>"Balázs Dénes"</f>
        <v>Balázs Dénes</v>
      </c>
      <c r="K130" s="156" t="str">
        <f>"Griff SE"</f>
        <v>Griff SE</v>
      </c>
      <c r="L130" s="156" t="str">
        <f t="shared" si="48"/>
        <v>HUN</v>
      </c>
      <c r="M130" s="163">
        <v>0</v>
      </c>
      <c r="O130" s="154" t="s">
        <v>246</v>
      </c>
      <c r="P130" s="159">
        <v>46081</v>
      </c>
      <c r="Q130" s="154" t="str">
        <f t="shared" si="26"/>
        <v>Balázs Dénes - Griff SE</v>
      </c>
      <c r="R130" s="154" t="s">
        <v>636</v>
      </c>
      <c r="S130" s="154" t="str">
        <f t="shared" si="27"/>
        <v>Griff SE</v>
      </c>
      <c r="T130" s="154" t="s">
        <v>645</v>
      </c>
      <c r="U130" s="154" t="s">
        <v>796</v>
      </c>
      <c r="V130" s="154"/>
    </row>
    <row r="131" spans="1:22" s="158" customFormat="1" x14ac:dyDescent="0.3">
      <c r="A131" s="154" t="s">
        <v>775</v>
      </c>
      <c r="B131" s="155">
        <v>2</v>
      </c>
      <c r="C131" s="154">
        <v>58</v>
      </c>
      <c r="D131" s="156" t="str">
        <f t="shared" si="41"/>
        <v>Kumite</v>
      </c>
      <c r="E131" s="156" t="str">
        <f t="shared" si="45"/>
        <v>Kumite, -, 35-40 kg, Gyerek 2. (11-12</v>
      </c>
      <c r="F131" s="156" t="s">
        <v>518</v>
      </c>
      <c r="G131" s="157" t="str">
        <f t="shared" si="46"/>
        <v>7</v>
      </c>
      <c r="H131" s="156" t="str">
        <f t="shared" si="47"/>
        <v>8 fős egyenes kiesés</v>
      </c>
      <c r="I131" s="157" t="str">
        <f>"7-8"</f>
        <v>7-8</v>
      </c>
      <c r="J131" s="156" t="str">
        <f>"Kárász Dániel"</f>
        <v>Kárász Dániel</v>
      </c>
      <c r="K131" s="156" t="str">
        <f>"BHMSE"</f>
        <v>BHMSE</v>
      </c>
      <c r="L131" s="156" t="str">
        <f t="shared" si="48"/>
        <v>HUN</v>
      </c>
      <c r="M131" s="163">
        <v>0</v>
      </c>
      <c r="O131" s="154" t="s">
        <v>246</v>
      </c>
      <c r="P131" s="159">
        <v>46081</v>
      </c>
      <c r="Q131" s="154" t="str">
        <f t="shared" si="26"/>
        <v>Kárász Dániel - BHMSE</v>
      </c>
      <c r="R131" s="154" t="s">
        <v>636</v>
      </c>
      <c r="S131" s="154" t="str">
        <f t="shared" si="27"/>
        <v>BHMSE</v>
      </c>
      <c r="T131" s="154" t="s">
        <v>645</v>
      </c>
      <c r="U131" s="154" t="s">
        <v>796</v>
      </c>
      <c r="V131" s="154"/>
    </row>
    <row r="132" spans="1:22" s="158" customFormat="1" x14ac:dyDescent="0.3">
      <c r="A132" s="154" t="s">
        <v>775</v>
      </c>
      <c r="B132" s="155">
        <v>2</v>
      </c>
      <c r="C132" s="154">
        <v>59</v>
      </c>
      <c r="D132" s="156" t="str">
        <f t="shared" si="41"/>
        <v>Kumite</v>
      </c>
      <c r="E132" s="156" t="str">
        <f t="shared" ref="E132:E138" si="49">"Kumite, -, 40-45 kg, Gyerek 2. (11-12"</f>
        <v>Kumite, -, 40-45 kg, Gyerek 2. (11-12</v>
      </c>
      <c r="F132" s="156" t="s">
        <v>521</v>
      </c>
      <c r="G132" s="157" t="str">
        <f t="shared" si="46"/>
        <v>7</v>
      </c>
      <c r="H132" s="156" t="str">
        <f t="shared" si="47"/>
        <v>8 fős egyenes kiesés</v>
      </c>
      <c r="I132" s="157" t="str">
        <f>"1"</f>
        <v>1</v>
      </c>
      <c r="J132" s="156" t="str">
        <f>"Árendás Botond"</f>
        <v>Árendás Botond</v>
      </c>
      <c r="K132" s="156" t="str">
        <f>"KSE Tarján"</f>
        <v>KSE Tarján</v>
      </c>
      <c r="L132" s="156" t="str">
        <f t="shared" si="48"/>
        <v>HUN</v>
      </c>
      <c r="M132" s="163">
        <v>6</v>
      </c>
      <c r="O132" s="154" t="s">
        <v>246</v>
      </c>
      <c r="P132" s="159">
        <v>46081</v>
      </c>
      <c r="Q132" s="154" t="str">
        <f t="shared" si="26"/>
        <v>Árendás Botond - KSE Tarján</v>
      </c>
      <c r="R132" s="154" t="s">
        <v>636</v>
      </c>
      <c r="S132" s="154" t="str">
        <f t="shared" si="27"/>
        <v>KSE Tarján</v>
      </c>
      <c r="T132" s="154" t="s">
        <v>645</v>
      </c>
      <c r="U132" s="154" t="s">
        <v>796</v>
      </c>
      <c r="V132" s="154"/>
    </row>
    <row r="133" spans="1:22" s="158" customFormat="1" x14ac:dyDescent="0.3">
      <c r="A133" s="154" t="s">
        <v>775</v>
      </c>
      <c r="B133" s="155">
        <v>2</v>
      </c>
      <c r="C133" s="154">
        <v>60</v>
      </c>
      <c r="D133" s="156" t="str">
        <f t="shared" si="41"/>
        <v>Kumite</v>
      </c>
      <c r="E133" s="156" t="str">
        <f t="shared" si="49"/>
        <v>Kumite, -, 40-45 kg, Gyerek 2. (11-12</v>
      </c>
      <c r="F133" s="156" t="s">
        <v>521</v>
      </c>
      <c r="G133" s="157" t="str">
        <f t="shared" si="46"/>
        <v>7</v>
      </c>
      <c r="H133" s="156" t="str">
        <f t="shared" si="47"/>
        <v>8 fős egyenes kiesés</v>
      </c>
      <c r="I133" s="157" t="str">
        <f>"2"</f>
        <v>2</v>
      </c>
      <c r="J133" s="156" t="str">
        <f>"Horváth Kristóf"</f>
        <v>Horváth Kristóf</v>
      </c>
      <c r="K133" s="156" t="str">
        <f>"Griff SE"</f>
        <v>Griff SE</v>
      </c>
      <c r="L133" s="156" t="str">
        <f t="shared" si="48"/>
        <v>HUN</v>
      </c>
      <c r="M133" s="163">
        <v>5</v>
      </c>
      <c r="O133" s="154" t="s">
        <v>246</v>
      </c>
      <c r="P133" s="159">
        <v>46081</v>
      </c>
      <c r="Q133" s="154" t="str">
        <f t="shared" si="26"/>
        <v>Horváth Kristóf - Griff SE</v>
      </c>
      <c r="R133" s="154" t="s">
        <v>636</v>
      </c>
      <c r="S133" s="154" t="str">
        <f t="shared" si="27"/>
        <v>Griff SE</v>
      </c>
      <c r="T133" s="154" t="s">
        <v>645</v>
      </c>
      <c r="U133" s="154" t="s">
        <v>796</v>
      </c>
      <c r="V133" s="154"/>
    </row>
    <row r="134" spans="1:22" s="158" customFormat="1" x14ac:dyDescent="0.3">
      <c r="A134" s="154" t="s">
        <v>775</v>
      </c>
      <c r="B134" s="155">
        <v>2</v>
      </c>
      <c r="C134" s="154">
        <v>61</v>
      </c>
      <c r="D134" s="156" t="str">
        <f t="shared" si="41"/>
        <v>Kumite</v>
      </c>
      <c r="E134" s="156" t="str">
        <f t="shared" si="49"/>
        <v>Kumite, -, 40-45 kg, Gyerek 2. (11-12</v>
      </c>
      <c r="F134" s="156" t="s">
        <v>521</v>
      </c>
      <c r="G134" s="157" t="str">
        <f t="shared" si="46"/>
        <v>7</v>
      </c>
      <c r="H134" s="156" t="str">
        <f t="shared" si="47"/>
        <v>8 fős egyenes kiesés</v>
      </c>
      <c r="I134" s="157" t="str">
        <f>"3"</f>
        <v>3</v>
      </c>
      <c r="J134" s="156" t="str">
        <f>"Bodnár Zoltán"</f>
        <v>Bodnár Zoltán</v>
      </c>
      <c r="K134" s="156" t="str">
        <f>"Katana SE"</f>
        <v>Katana SE</v>
      </c>
      <c r="L134" s="156" t="str">
        <f t="shared" si="48"/>
        <v>HUN</v>
      </c>
      <c r="M134" s="163">
        <v>3</v>
      </c>
      <c r="O134" s="154" t="s">
        <v>246</v>
      </c>
      <c r="P134" s="159">
        <v>46081</v>
      </c>
      <c r="Q134" s="154" t="str">
        <f t="shared" si="26"/>
        <v>Bodnár Zoltán - Katana SE</v>
      </c>
      <c r="R134" s="154" t="s">
        <v>636</v>
      </c>
      <c r="S134" s="154" t="str">
        <f t="shared" si="27"/>
        <v>Katana SE</v>
      </c>
      <c r="T134" s="154" t="s">
        <v>645</v>
      </c>
      <c r="U134" s="154" t="s">
        <v>796</v>
      </c>
      <c r="V134" s="154"/>
    </row>
    <row r="135" spans="1:22" s="158" customFormat="1" x14ac:dyDescent="0.3">
      <c r="A135" s="154" t="s">
        <v>775</v>
      </c>
      <c r="B135" s="155">
        <v>2</v>
      </c>
      <c r="C135" s="154">
        <v>62</v>
      </c>
      <c r="D135" s="156" t="str">
        <f t="shared" si="41"/>
        <v>Kumite</v>
      </c>
      <c r="E135" s="156" t="str">
        <f t="shared" si="49"/>
        <v>Kumite, -, 40-45 kg, Gyerek 2. (11-12</v>
      </c>
      <c r="F135" s="156" t="s">
        <v>521</v>
      </c>
      <c r="G135" s="157" t="str">
        <f t="shared" si="46"/>
        <v>7</v>
      </c>
      <c r="H135" s="156" t="str">
        <f t="shared" si="47"/>
        <v>8 fős egyenes kiesés</v>
      </c>
      <c r="I135" s="157" t="str">
        <f>"3"</f>
        <v>3</v>
      </c>
      <c r="J135" s="156" t="str">
        <f>"Dani Andor"</f>
        <v>Dani Andor</v>
      </c>
      <c r="K135" s="156" t="str">
        <f>"Kamikaze S"</f>
        <v>Kamikaze S</v>
      </c>
      <c r="L135" s="156" t="str">
        <f t="shared" si="48"/>
        <v>HUN</v>
      </c>
      <c r="M135" s="163">
        <v>0</v>
      </c>
      <c r="N135" s="158" t="s">
        <v>704</v>
      </c>
      <c r="O135" s="154" t="s">
        <v>246</v>
      </c>
      <c r="P135" s="159">
        <v>46081</v>
      </c>
      <c r="Q135" s="154" t="str">
        <f t="shared" si="26"/>
        <v>Dani Andor - Kamikaze S</v>
      </c>
      <c r="R135" s="154" t="s">
        <v>636</v>
      </c>
      <c r="S135" s="154" t="str">
        <f t="shared" si="27"/>
        <v>Kamikaze S</v>
      </c>
      <c r="T135" s="154" t="s">
        <v>645</v>
      </c>
      <c r="U135" s="154" t="s">
        <v>796</v>
      </c>
      <c r="V135" s="154"/>
    </row>
    <row r="136" spans="1:22" s="158" customFormat="1" x14ac:dyDescent="0.3">
      <c r="A136" s="154" t="s">
        <v>775</v>
      </c>
      <c r="B136" s="155">
        <v>2</v>
      </c>
      <c r="C136" s="154">
        <v>63</v>
      </c>
      <c r="D136" s="156" t="str">
        <f t="shared" si="41"/>
        <v>Kumite</v>
      </c>
      <c r="E136" s="156" t="str">
        <f t="shared" si="49"/>
        <v>Kumite, -, 40-45 kg, Gyerek 2. (11-12</v>
      </c>
      <c r="F136" s="156" t="s">
        <v>521</v>
      </c>
      <c r="G136" s="157" t="str">
        <f t="shared" si="46"/>
        <v>7</v>
      </c>
      <c r="H136" s="156" t="str">
        <f t="shared" si="47"/>
        <v>8 fős egyenes kiesés</v>
      </c>
      <c r="I136" s="157" t="str">
        <f>"5"</f>
        <v>5</v>
      </c>
      <c r="J136" s="156" t="str">
        <f>"Mohai Szilárd"</f>
        <v>Mohai Szilárd</v>
      </c>
      <c r="K136" s="156" t="str">
        <f>"Katana SE"</f>
        <v>Katana SE</v>
      </c>
      <c r="L136" s="156" t="str">
        <f t="shared" si="48"/>
        <v>HUN</v>
      </c>
      <c r="M136" s="163">
        <v>0</v>
      </c>
      <c r="O136" s="154" t="s">
        <v>246</v>
      </c>
      <c r="P136" s="159">
        <v>46081</v>
      </c>
      <c r="Q136" s="154" t="str">
        <f t="shared" si="26"/>
        <v>Mohai Szilárd - Katana SE</v>
      </c>
      <c r="R136" s="154" t="s">
        <v>636</v>
      </c>
      <c r="S136" s="154" t="str">
        <f t="shared" si="27"/>
        <v>Katana SE</v>
      </c>
      <c r="T136" s="154" t="s">
        <v>645</v>
      </c>
      <c r="U136" s="154" t="s">
        <v>796</v>
      </c>
      <c r="V136" s="154"/>
    </row>
    <row r="137" spans="1:22" s="158" customFormat="1" x14ac:dyDescent="0.3">
      <c r="A137" s="154" t="s">
        <v>775</v>
      </c>
      <c r="B137" s="155">
        <v>2</v>
      </c>
      <c r="C137" s="154">
        <v>64</v>
      </c>
      <c r="D137" s="156" t="str">
        <f t="shared" si="41"/>
        <v>Kumite</v>
      </c>
      <c r="E137" s="156" t="str">
        <f t="shared" si="49"/>
        <v>Kumite, -, 40-45 kg, Gyerek 2. (11-12</v>
      </c>
      <c r="F137" s="156" t="s">
        <v>521</v>
      </c>
      <c r="G137" s="157" t="str">
        <f t="shared" si="46"/>
        <v>7</v>
      </c>
      <c r="H137" s="156" t="str">
        <f t="shared" si="47"/>
        <v>8 fős egyenes kiesés</v>
      </c>
      <c r="I137" s="157" t="str">
        <f>"6"</f>
        <v>6</v>
      </c>
      <c r="J137" s="156" t="str">
        <f>"Sipos-Cserjési Horka"</f>
        <v>Sipos-Cserjési Horka</v>
      </c>
      <c r="K137" s="156" t="str">
        <f>"BHMSE"</f>
        <v>BHMSE</v>
      </c>
      <c r="L137" s="156" t="str">
        <f t="shared" si="48"/>
        <v>HUN</v>
      </c>
      <c r="M137" s="163">
        <v>0</v>
      </c>
      <c r="O137" s="154" t="s">
        <v>246</v>
      </c>
      <c r="P137" s="159">
        <v>46081</v>
      </c>
      <c r="Q137" s="154" t="str">
        <f t="shared" si="26"/>
        <v>Sipos-Cserjési Horka - BHMSE</v>
      </c>
      <c r="R137" s="154" t="s">
        <v>636</v>
      </c>
      <c r="S137" s="154" t="str">
        <f t="shared" si="27"/>
        <v>BHMSE</v>
      </c>
      <c r="T137" s="154" t="s">
        <v>645</v>
      </c>
      <c r="U137" s="154" t="s">
        <v>796</v>
      </c>
      <c r="V137" s="154"/>
    </row>
    <row r="138" spans="1:22" s="158" customFormat="1" x14ac:dyDescent="0.3">
      <c r="A138" s="154" t="s">
        <v>775</v>
      </c>
      <c r="B138" s="155">
        <v>2</v>
      </c>
      <c r="C138" s="154">
        <v>65</v>
      </c>
      <c r="D138" s="156" t="str">
        <f t="shared" si="41"/>
        <v>Kumite</v>
      </c>
      <c r="E138" s="156" t="str">
        <f t="shared" si="49"/>
        <v>Kumite, -, 40-45 kg, Gyerek 2. (11-12</v>
      </c>
      <c r="F138" s="156" t="s">
        <v>521</v>
      </c>
      <c r="G138" s="157" t="str">
        <f t="shared" si="46"/>
        <v>7</v>
      </c>
      <c r="H138" s="156" t="str">
        <f t="shared" si="47"/>
        <v>8 fős egyenes kiesés</v>
      </c>
      <c r="I138" s="157" t="str">
        <f>"7-8"</f>
        <v>7-8</v>
      </c>
      <c r="J138" s="156" t="str">
        <f>"Fekete Kristóf"</f>
        <v>Fekete Kristóf</v>
      </c>
      <c r="K138" s="156" t="str">
        <f>"Rokku KKSE"</f>
        <v>Rokku KKSE</v>
      </c>
      <c r="L138" s="156" t="str">
        <f t="shared" si="48"/>
        <v>HUN</v>
      </c>
      <c r="M138" s="163">
        <v>0</v>
      </c>
      <c r="O138" s="154" t="s">
        <v>246</v>
      </c>
      <c r="P138" s="159">
        <v>46081</v>
      </c>
      <c r="Q138" s="154" t="str">
        <f t="shared" si="26"/>
        <v>Fekete Kristóf - Rokku KKSE</v>
      </c>
      <c r="R138" s="154" t="s">
        <v>636</v>
      </c>
      <c r="S138" s="154" t="str">
        <f t="shared" si="27"/>
        <v>Rokku KKSE</v>
      </c>
      <c r="T138" s="154" t="s">
        <v>645</v>
      </c>
      <c r="U138" s="154" t="s">
        <v>796</v>
      </c>
      <c r="V138" s="154"/>
    </row>
    <row r="139" spans="1:22" s="158" customFormat="1" x14ac:dyDescent="0.3">
      <c r="A139" s="154" t="s">
        <v>775</v>
      </c>
      <c r="B139" s="155">
        <v>2</v>
      </c>
      <c r="C139" s="154">
        <v>66</v>
      </c>
      <c r="D139" s="156" t="str">
        <f t="shared" si="41"/>
        <v>Kumite</v>
      </c>
      <c r="E139" s="156" t="str">
        <f>"Kumite, -, 45-55 kg, Gyerek 2. (11-12"</f>
        <v>Kumite, -, 45-55 kg, Gyerek 2. (11-12</v>
      </c>
      <c r="F139" s="156" t="s">
        <v>522</v>
      </c>
      <c r="G139" s="157" t="str">
        <f>"5"</f>
        <v>5</v>
      </c>
      <c r="H139" s="156" t="str">
        <f>"5 fős körmérkőzés"</f>
        <v>5 fős körmérkőzés</v>
      </c>
      <c r="I139" s="157" t="str">
        <f>"1"</f>
        <v>1</v>
      </c>
      <c r="J139" s="156" t="str">
        <f>"Gombos-Weidinger Zsombor"</f>
        <v>Gombos-Weidinger Zsombor</v>
      </c>
      <c r="K139" s="156" t="str">
        <f>"BHMSE"</f>
        <v>BHMSE</v>
      </c>
      <c r="L139" s="156" t="str">
        <f t="shared" si="48"/>
        <v>HUN</v>
      </c>
      <c r="M139" s="163">
        <v>8</v>
      </c>
      <c r="O139" s="154" t="s">
        <v>246</v>
      </c>
      <c r="P139" s="159">
        <v>46081</v>
      </c>
      <c r="Q139" s="154" t="str">
        <f t="shared" ref="Q139:Q205" si="50">J139&amp;" - "&amp;K139</f>
        <v>Gombos-Weidinger Zsombor - BHMSE</v>
      </c>
      <c r="R139" s="154" t="s">
        <v>636</v>
      </c>
      <c r="S139" s="154" t="str">
        <f t="shared" ref="S139:S205" si="51">K139</f>
        <v>BHMSE</v>
      </c>
      <c r="T139" s="154" t="s">
        <v>645</v>
      </c>
      <c r="U139" s="154" t="s">
        <v>796</v>
      </c>
      <c r="V139" s="154"/>
    </row>
    <row r="140" spans="1:22" s="158" customFormat="1" x14ac:dyDescent="0.3">
      <c r="A140" s="154" t="s">
        <v>775</v>
      </c>
      <c r="B140" s="155">
        <v>2</v>
      </c>
      <c r="C140" s="154">
        <v>67</v>
      </c>
      <c r="D140" s="156" t="str">
        <f t="shared" si="41"/>
        <v>Kumite</v>
      </c>
      <c r="E140" s="156" t="str">
        <f>"Kumite, -, 45-55 kg, Gyerek 2. (11-12"</f>
        <v>Kumite, -, 45-55 kg, Gyerek 2. (11-12</v>
      </c>
      <c r="F140" s="156" t="s">
        <v>522</v>
      </c>
      <c r="G140" s="157" t="str">
        <f>"5"</f>
        <v>5</v>
      </c>
      <c r="H140" s="156" t="str">
        <f>"5 fős körmérkőzés"</f>
        <v>5 fős körmérkőzés</v>
      </c>
      <c r="I140" s="157" t="str">
        <f>"2"</f>
        <v>2</v>
      </c>
      <c r="J140" s="156" t="str">
        <f>"Vámosi Juhász Máté"</f>
        <v>Vámosi Juhász Máté</v>
      </c>
      <c r="K140" s="156" t="str">
        <f>"Nagykátai Bushido SE"</f>
        <v>Nagykátai Bushido SE</v>
      </c>
      <c r="L140" s="156" t="str">
        <f t="shared" si="48"/>
        <v>HUN</v>
      </c>
      <c r="M140" s="163">
        <v>6</v>
      </c>
      <c r="O140" s="154" t="s">
        <v>246</v>
      </c>
      <c r="P140" s="159">
        <v>46081</v>
      </c>
      <c r="Q140" s="154" t="str">
        <f t="shared" si="50"/>
        <v>Vámosi Juhász Máté - Nagykátai Bushido SE</v>
      </c>
      <c r="R140" s="154" t="s">
        <v>636</v>
      </c>
      <c r="S140" s="154" t="str">
        <f t="shared" si="51"/>
        <v>Nagykátai Bushido SE</v>
      </c>
      <c r="T140" s="154" t="s">
        <v>645</v>
      </c>
      <c r="U140" s="154" t="s">
        <v>796</v>
      </c>
      <c r="V140" s="154"/>
    </row>
    <row r="141" spans="1:22" s="158" customFormat="1" x14ac:dyDescent="0.3">
      <c r="A141" s="154" t="s">
        <v>775</v>
      </c>
      <c r="B141" s="155">
        <v>2</v>
      </c>
      <c r="C141" s="154">
        <v>68</v>
      </c>
      <c r="D141" s="156" t="str">
        <f t="shared" si="41"/>
        <v>Kumite</v>
      </c>
      <c r="E141" s="156" t="str">
        <f>"Kumite, -, 45-55 kg, Gyerek 2. (11-12"</f>
        <v>Kumite, -, 45-55 kg, Gyerek 2. (11-12</v>
      </c>
      <c r="F141" s="156" t="s">
        <v>522</v>
      </c>
      <c r="G141" s="157" t="str">
        <f>"5"</f>
        <v>5</v>
      </c>
      <c r="H141" s="156" t="str">
        <f>"5 fős körmérkőzés"</f>
        <v>5 fős körmérkőzés</v>
      </c>
      <c r="I141" s="157" t="str">
        <f>"3"</f>
        <v>3</v>
      </c>
      <c r="J141" s="156" t="str">
        <f>"Szabó Máté Péter"</f>
        <v>Szabó Máté Péter</v>
      </c>
      <c r="K141" s="156" t="str">
        <f>"WARRIORS TEAM"</f>
        <v>WARRIORS TEAM</v>
      </c>
      <c r="L141" s="156" t="str">
        <f t="shared" si="48"/>
        <v>HUN</v>
      </c>
      <c r="M141" s="163">
        <v>4</v>
      </c>
      <c r="O141" s="154" t="s">
        <v>246</v>
      </c>
      <c r="P141" s="159">
        <v>46081</v>
      </c>
      <c r="Q141" s="154" t="str">
        <f t="shared" ref="Q141" si="52">J141&amp;" - "&amp;K141</f>
        <v>Szabó Máté Péter - WARRIORS TEAM</v>
      </c>
      <c r="R141" s="154" t="s">
        <v>636</v>
      </c>
      <c r="S141" s="154" t="str">
        <f t="shared" ref="S141" si="53">K141</f>
        <v>WARRIORS TEAM</v>
      </c>
      <c r="T141" s="154" t="s">
        <v>645</v>
      </c>
      <c r="U141" s="154" t="s">
        <v>796</v>
      </c>
      <c r="V141" s="154"/>
    </row>
    <row r="142" spans="1:22" s="158" customFormat="1" x14ac:dyDescent="0.3">
      <c r="A142" s="154" t="s">
        <v>775</v>
      </c>
      <c r="B142" s="155">
        <v>2</v>
      </c>
      <c r="C142" s="154">
        <v>68</v>
      </c>
      <c r="D142" s="156" t="str">
        <f t="shared" si="41"/>
        <v>Kumite</v>
      </c>
      <c r="E142" s="156" t="str">
        <f>"Kumite, -, 45-55 kg, Gyerek 2. (11-12"</f>
        <v>Kumite, -, 45-55 kg, Gyerek 2. (11-12</v>
      </c>
      <c r="F142" s="156" t="s">
        <v>522</v>
      </c>
      <c r="G142" s="157" t="str">
        <f>"5"</f>
        <v>5</v>
      </c>
      <c r="H142" s="156" t="str">
        <f>"5 fős körmérkőzés"</f>
        <v>5 fős körmérkőzés</v>
      </c>
      <c r="I142" s="157">
        <v>4</v>
      </c>
      <c r="J142" s="156" t="s">
        <v>786</v>
      </c>
      <c r="K142" s="156" t="s">
        <v>595</v>
      </c>
      <c r="L142" s="156" t="str">
        <f t="shared" si="48"/>
        <v>HUN</v>
      </c>
      <c r="M142" s="163">
        <v>3</v>
      </c>
      <c r="O142" s="154" t="s">
        <v>246</v>
      </c>
      <c r="P142" s="159">
        <v>46081</v>
      </c>
      <c r="Q142" s="154" t="str">
        <f t="shared" si="50"/>
        <v>Milutinovic Olivér - Beledi KÉSZ SE</v>
      </c>
      <c r="R142" s="154" t="s">
        <v>637</v>
      </c>
      <c r="S142" s="154" t="str">
        <f t="shared" si="51"/>
        <v>Beledi KÉSZ SE</v>
      </c>
      <c r="T142" s="154" t="s">
        <v>645</v>
      </c>
      <c r="U142" s="154" t="s">
        <v>796</v>
      </c>
      <c r="V142" s="154"/>
    </row>
    <row r="143" spans="1:22" s="158" customFormat="1" x14ac:dyDescent="0.3">
      <c r="A143" s="154" t="s">
        <v>775</v>
      </c>
      <c r="B143" s="155">
        <v>2</v>
      </c>
      <c r="C143" s="154">
        <v>69</v>
      </c>
      <c r="D143" s="156" t="str">
        <f t="shared" si="41"/>
        <v>Kumite</v>
      </c>
      <c r="E143" s="156" t="str">
        <f>"Kumite, -, 55-999 kg, Gyerek 2. (11-12"</f>
        <v>Kumite, -, 55-999 kg, Gyerek 2. (11-12</v>
      </c>
      <c r="F143" s="156" t="s">
        <v>524</v>
      </c>
      <c r="G143" s="157" t="str">
        <f>"4"</f>
        <v>4</v>
      </c>
      <c r="H143" s="156" t="str">
        <f>"4 fős körmérkőzés"</f>
        <v>4 fős körmérkőzés</v>
      </c>
      <c r="I143" s="157" t="str">
        <f>"1"</f>
        <v>1</v>
      </c>
      <c r="J143" s="156" t="str">
        <f>"Tálas Csongor"</f>
        <v>Tálas Csongor</v>
      </c>
      <c r="K143" s="156" t="str">
        <f>"Ippon KKSE"</f>
        <v>Ippon KKSE</v>
      </c>
      <c r="L143" s="156" t="str">
        <f t="shared" si="48"/>
        <v>HUN</v>
      </c>
      <c r="M143" s="163">
        <v>6</v>
      </c>
      <c r="O143" s="154" t="s">
        <v>246</v>
      </c>
      <c r="P143" s="159">
        <v>46081</v>
      </c>
      <c r="Q143" s="154" t="str">
        <f t="shared" si="50"/>
        <v>Tálas Csongor - Ippon KKSE</v>
      </c>
      <c r="R143" s="154" t="s">
        <v>636</v>
      </c>
      <c r="S143" s="154" t="str">
        <f t="shared" si="51"/>
        <v>Ippon KKSE</v>
      </c>
      <c r="T143" s="154" t="s">
        <v>645</v>
      </c>
      <c r="U143" s="154" t="s">
        <v>796</v>
      </c>
      <c r="V143" s="154"/>
    </row>
    <row r="144" spans="1:22" s="158" customFormat="1" x14ac:dyDescent="0.3">
      <c r="A144" s="154" t="s">
        <v>775</v>
      </c>
      <c r="B144" s="155">
        <v>2</v>
      </c>
      <c r="C144" s="154">
        <v>70</v>
      </c>
      <c r="D144" s="156" t="str">
        <f t="shared" si="41"/>
        <v>Kumite</v>
      </c>
      <c r="E144" s="156" t="str">
        <f>"Kumite, -, 55-999 kg, Gyerek 2. (11-12"</f>
        <v>Kumite, -, 55-999 kg, Gyerek 2. (11-12</v>
      </c>
      <c r="F144" s="156" t="s">
        <v>524</v>
      </c>
      <c r="G144" s="157" t="str">
        <f>"4"</f>
        <v>4</v>
      </c>
      <c r="H144" s="156" t="str">
        <f>"4 fős körmérkőzés"</f>
        <v>4 fős körmérkőzés</v>
      </c>
      <c r="I144" s="157" t="str">
        <f>"2"</f>
        <v>2</v>
      </c>
      <c r="J144" s="156" t="str">
        <f>"Baky Kornél"</f>
        <v>Baky Kornél</v>
      </c>
      <c r="K144" s="156" t="str">
        <f>"BHMSE"</f>
        <v>BHMSE</v>
      </c>
      <c r="L144" s="156" t="str">
        <f t="shared" si="48"/>
        <v>HUN</v>
      </c>
      <c r="M144" s="163">
        <v>5</v>
      </c>
      <c r="O144" s="154" t="s">
        <v>246</v>
      </c>
      <c r="P144" s="159">
        <v>46081</v>
      </c>
      <c r="Q144" s="154" t="str">
        <f t="shared" si="50"/>
        <v>Baky Kornél - BHMSE</v>
      </c>
      <c r="R144" s="154" t="s">
        <v>636</v>
      </c>
      <c r="S144" s="154" t="str">
        <f t="shared" si="51"/>
        <v>BHMSE</v>
      </c>
      <c r="T144" s="154" t="s">
        <v>645</v>
      </c>
      <c r="U144" s="154" t="s">
        <v>796</v>
      </c>
      <c r="V144" s="154"/>
    </row>
    <row r="145" spans="1:22" s="158" customFormat="1" x14ac:dyDescent="0.3">
      <c r="A145" s="154" t="s">
        <v>775</v>
      </c>
      <c r="B145" s="155">
        <v>2</v>
      </c>
      <c r="C145" s="154">
        <v>71</v>
      </c>
      <c r="D145" s="156" t="str">
        <f t="shared" si="41"/>
        <v>Kumite</v>
      </c>
      <c r="E145" s="156" t="str">
        <f>"Kumite, -, 55-999 kg, Gyerek 2. (11-12"</f>
        <v>Kumite, -, 55-999 kg, Gyerek 2. (11-12</v>
      </c>
      <c r="F145" s="156" t="s">
        <v>524</v>
      </c>
      <c r="G145" s="157" t="str">
        <f>"4"</f>
        <v>4</v>
      </c>
      <c r="H145" s="156" t="str">
        <f>"4 fős körmérkőzés"</f>
        <v>4 fős körmérkőzés</v>
      </c>
      <c r="I145" s="157" t="str">
        <f>"3"</f>
        <v>3</v>
      </c>
      <c r="J145" s="156" t="str">
        <f>"Koczor Máté"</f>
        <v>Koczor Máté</v>
      </c>
      <c r="K145" s="156" t="str">
        <f>"Rakurai"</f>
        <v>Rakurai</v>
      </c>
      <c r="L145" s="156" t="str">
        <f t="shared" si="48"/>
        <v>HUN</v>
      </c>
      <c r="M145" s="163">
        <v>3</v>
      </c>
      <c r="O145" s="154" t="s">
        <v>246</v>
      </c>
      <c r="P145" s="159">
        <v>46081</v>
      </c>
      <c r="Q145" s="154" t="str">
        <f t="shared" si="50"/>
        <v>Koczor Máté - Rakurai</v>
      </c>
      <c r="R145" s="154" t="s">
        <v>636</v>
      </c>
      <c r="S145" s="154" t="str">
        <f t="shared" si="51"/>
        <v>Rakurai</v>
      </c>
      <c r="T145" s="154" t="s">
        <v>645</v>
      </c>
      <c r="U145" s="154" t="s">
        <v>796</v>
      </c>
      <c r="V145" s="154"/>
    </row>
    <row r="146" spans="1:22" s="158" customFormat="1" x14ac:dyDescent="0.3">
      <c r="A146" s="154" t="s">
        <v>775</v>
      </c>
      <c r="B146" s="155">
        <v>2</v>
      </c>
      <c r="C146" s="154">
        <v>72</v>
      </c>
      <c r="D146" s="156" t="str">
        <f t="shared" ref="D146:D159" si="54">"Kata"</f>
        <v>Kata</v>
      </c>
      <c r="E146" s="156" t="str">
        <f t="shared" ref="E146:E159" si="55">"Kata, -, 0-100 kg, Gyerek 2. (11-12"</f>
        <v>Kata, -, 0-100 kg, Gyerek 2. (11-12</v>
      </c>
      <c r="F146" s="156" t="s">
        <v>525</v>
      </c>
      <c r="G146" s="157" t="str">
        <f t="shared" ref="G146:G159" si="56">"14"</f>
        <v>14</v>
      </c>
      <c r="H146" s="156" t="str">
        <f t="shared" ref="H146:H159" si="57">"16 fős egyenes kiesés"</f>
        <v>16 fős egyenes kiesés</v>
      </c>
      <c r="I146" s="157" t="str">
        <f>"1"</f>
        <v>1</v>
      </c>
      <c r="J146" s="156" t="str">
        <f>"Kőszegfalvi Csanád"</f>
        <v>Kőszegfalvi Csanád</v>
      </c>
      <c r="K146" s="156" t="str">
        <f>"Shinkyo SE"</f>
        <v>Shinkyo SE</v>
      </c>
      <c r="L146" s="156" t="str">
        <f t="shared" si="48"/>
        <v>HUN</v>
      </c>
      <c r="M146" s="163">
        <v>6</v>
      </c>
      <c r="O146" s="154" t="s">
        <v>246</v>
      </c>
      <c r="P146" s="159">
        <v>46081</v>
      </c>
      <c r="Q146" s="154" t="str">
        <f t="shared" si="50"/>
        <v>Kőszegfalvi Csanád - Shinkyo SE</v>
      </c>
      <c r="R146" s="154" t="s">
        <v>636</v>
      </c>
      <c r="S146" s="154" t="str">
        <f t="shared" si="51"/>
        <v>Shinkyo SE</v>
      </c>
      <c r="T146" s="154" t="s">
        <v>645</v>
      </c>
      <c r="U146" s="154" t="s">
        <v>796</v>
      </c>
      <c r="V146" s="154"/>
    </row>
    <row r="147" spans="1:22" s="158" customFormat="1" x14ac:dyDescent="0.3">
      <c r="A147" s="154" t="s">
        <v>775</v>
      </c>
      <c r="B147" s="155">
        <v>2</v>
      </c>
      <c r="C147" s="154">
        <v>73</v>
      </c>
      <c r="D147" s="156" t="str">
        <f t="shared" si="54"/>
        <v>Kata</v>
      </c>
      <c r="E147" s="156" t="str">
        <f t="shared" si="55"/>
        <v>Kata, -, 0-100 kg, Gyerek 2. (11-12</v>
      </c>
      <c r="F147" s="156" t="s">
        <v>525</v>
      </c>
      <c r="G147" s="157" t="str">
        <f t="shared" si="56"/>
        <v>14</v>
      </c>
      <c r="H147" s="156" t="str">
        <f t="shared" si="57"/>
        <v>16 fős egyenes kiesés</v>
      </c>
      <c r="I147" s="157" t="str">
        <f>"2"</f>
        <v>2</v>
      </c>
      <c r="J147" s="156" t="str">
        <f>"Nagy Zétény"</f>
        <v>Nagy Zétény</v>
      </c>
      <c r="K147" s="156" t="str">
        <f>"BHMSE"</f>
        <v>BHMSE</v>
      </c>
      <c r="L147" s="156" t="str">
        <f t="shared" si="48"/>
        <v>HUN</v>
      </c>
      <c r="M147" s="163">
        <v>5</v>
      </c>
      <c r="O147" s="154" t="s">
        <v>246</v>
      </c>
      <c r="P147" s="159">
        <v>46081</v>
      </c>
      <c r="Q147" s="154" t="str">
        <f t="shared" si="50"/>
        <v>Nagy Zétény - BHMSE</v>
      </c>
      <c r="R147" s="154" t="s">
        <v>636</v>
      </c>
      <c r="S147" s="154" t="str">
        <f t="shared" si="51"/>
        <v>BHMSE</v>
      </c>
      <c r="T147" s="154" t="s">
        <v>645</v>
      </c>
      <c r="U147" s="154" t="s">
        <v>796</v>
      </c>
      <c r="V147" s="154"/>
    </row>
    <row r="148" spans="1:22" s="158" customFormat="1" x14ac:dyDescent="0.3">
      <c r="A148" s="154" t="s">
        <v>775</v>
      </c>
      <c r="B148" s="155">
        <v>2</v>
      </c>
      <c r="C148" s="154">
        <v>74</v>
      </c>
      <c r="D148" s="156" t="str">
        <f t="shared" si="54"/>
        <v>Kata</v>
      </c>
      <c r="E148" s="156" t="str">
        <f t="shared" si="55"/>
        <v>Kata, -, 0-100 kg, Gyerek 2. (11-12</v>
      </c>
      <c r="F148" s="156" t="s">
        <v>525</v>
      </c>
      <c r="G148" s="157" t="str">
        <f t="shared" si="56"/>
        <v>14</v>
      </c>
      <c r="H148" s="156" t="str">
        <f t="shared" si="57"/>
        <v>16 fős egyenes kiesés</v>
      </c>
      <c r="I148" s="157" t="str">
        <f>"3"</f>
        <v>3</v>
      </c>
      <c r="J148" s="156" t="str">
        <f>"Árendás Botond"</f>
        <v>Árendás Botond</v>
      </c>
      <c r="K148" s="156" t="str">
        <f>"KSE Tarján"</f>
        <v>KSE Tarján</v>
      </c>
      <c r="L148" s="156" t="str">
        <f t="shared" si="48"/>
        <v>HUN</v>
      </c>
      <c r="M148" s="163">
        <v>3</v>
      </c>
      <c r="O148" s="154" t="s">
        <v>246</v>
      </c>
      <c r="P148" s="159">
        <v>46081</v>
      </c>
      <c r="Q148" s="154" t="str">
        <f t="shared" si="50"/>
        <v>Árendás Botond - KSE Tarján</v>
      </c>
      <c r="R148" s="154" t="s">
        <v>636</v>
      </c>
      <c r="S148" s="154" t="str">
        <f t="shared" si="51"/>
        <v>KSE Tarján</v>
      </c>
      <c r="T148" s="154" t="s">
        <v>645</v>
      </c>
      <c r="U148" s="154" t="s">
        <v>796</v>
      </c>
      <c r="V148" s="154"/>
    </row>
    <row r="149" spans="1:22" s="158" customFormat="1" x14ac:dyDescent="0.3">
      <c r="A149" s="154" t="s">
        <v>775</v>
      </c>
      <c r="B149" s="155">
        <v>2</v>
      </c>
      <c r="C149" s="154">
        <v>75</v>
      </c>
      <c r="D149" s="156" t="str">
        <f t="shared" si="54"/>
        <v>Kata</v>
      </c>
      <c r="E149" s="156" t="str">
        <f t="shared" si="55"/>
        <v>Kata, -, 0-100 kg, Gyerek 2. (11-12</v>
      </c>
      <c r="F149" s="156" t="s">
        <v>525</v>
      </c>
      <c r="G149" s="157" t="str">
        <f t="shared" si="56"/>
        <v>14</v>
      </c>
      <c r="H149" s="156" t="str">
        <f t="shared" si="57"/>
        <v>16 fős egyenes kiesés</v>
      </c>
      <c r="I149" s="157" t="str">
        <f>"3"</f>
        <v>3</v>
      </c>
      <c r="J149" s="156" t="str">
        <f>"Gombos-Weidinger Zsombor"</f>
        <v>Gombos-Weidinger Zsombor</v>
      </c>
      <c r="K149" s="156" t="str">
        <f>"BHMSE"</f>
        <v>BHMSE</v>
      </c>
      <c r="L149" s="156" t="str">
        <f t="shared" si="48"/>
        <v>HUN</v>
      </c>
      <c r="M149" s="163">
        <v>3</v>
      </c>
      <c r="O149" s="154" t="s">
        <v>246</v>
      </c>
      <c r="P149" s="159">
        <v>46081</v>
      </c>
      <c r="Q149" s="154" t="str">
        <f t="shared" si="50"/>
        <v>Gombos-Weidinger Zsombor - BHMSE</v>
      </c>
      <c r="R149" s="154" t="s">
        <v>636</v>
      </c>
      <c r="S149" s="154" t="str">
        <f t="shared" si="51"/>
        <v>BHMSE</v>
      </c>
      <c r="T149" s="154" t="s">
        <v>645</v>
      </c>
      <c r="U149" s="154" t="s">
        <v>796</v>
      </c>
      <c r="V149" s="154"/>
    </row>
    <row r="150" spans="1:22" s="158" customFormat="1" x14ac:dyDescent="0.3">
      <c r="A150" s="154" t="s">
        <v>775</v>
      </c>
      <c r="B150" s="155">
        <v>2</v>
      </c>
      <c r="C150" s="154">
        <v>76</v>
      </c>
      <c r="D150" s="156" t="str">
        <f t="shared" si="54"/>
        <v>Kata</v>
      </c>
      <c r="E150" s="156" t="str">
        <f t="shared" si="55"/>
        <v>Kata, -, 0-100 kg, Gyerek 2. (11-12</v>
      </c>
      <c r="F150" s="156" t="s">
        <v>525</v>
      </c>
      <c r="G150" s="157" t="str">
        <f t="shared" si="56"/>
        <v>14</v>
      </c>
      <c r="H150" s="156" t="str">
        <f t="shared" si="57"/>
        <v>16 fős egyenes kiesés</v>
      </c>
      <c r="I150" s="157" t="str">
        <f>"5"</f>
        <v>5</v>
      </c>
      <c r="J150" s="156" t="str">
        <f>"Eperjesi Dávid"</f>
        <v>Eperjesi Dávid</v>
      </c>
      <c r="K150" s="156" t="str">
        <f>"BHMSE"</f>
        <v>BHMSE</v>
      </c>
      <c r="L150" s="156" t="str">
        <f t="shared" si="48"/>
        <v>HUN</v>
      </c>
      <c r="M150" s="163">
        <v>1</v>
      </c>
      <c r="O150" s="154" t="s">
        <v>246</v>
      </c>
      <c r="P150" s="159">
        <v>46081</v>
      </c>
      <c r="Q150" s="154" t="str">
        <f t="shared" si="50"/>
        <v>Eperjesi Dávid - BHMSE</v>
      </c>
      <c r="R150" s="154" t="s">
        <v>636</v>
      </c>
      <c r="S150" s="154" t="str">
        <f t="shared" si="51"/>
        <v>BHMSE</v>
      </c>
      <c r="T150" s="154" t="s">
        <v>645</v>
      </c>
      <c r="U150" s="154" t="s">
        <v>796</v>
      </c>
      <c r="V150" s="154"/>
    </row>
    <row r="151" spans="1:22" s="158" customFormat="1" x14ac:dyDescent="0.3">
      <c r="A151" s="154" t="s">
        <v>775</v>
      </c>
      <c r="B151" s="155">
        <v>2</v>
      </c>
      <c r="C151" s="154">
        <v>77</v>
      </c>
      <c r="D151" s="156" t="str">
        <f t="shared" si="54"/>
        <v>Kata</v>
      </c>
      <c r="E151" s="156" t="str">
        <f t="shared" si="55"/>
        <v>Kata, -, 0-100 kg, Gyerek 2. (11-12</v>
      </c>
      <c r="F151" s="156" t="s">
        <v>525</v>
      </c>
      <c r="G151" s="157" t="str">
        <f t="shared" si="56"/>
        <v>14</v>
      </c>
      <c r="H151" s="156" t="str">
        <f t="shared" si="57"/>
        <v>16 fős egyenes kiesés</v>
      </c>
      <c r="I151" s="157" t="str">
        <f>"6"</f>
        <v>6</v>
      </c>
      <c r="J151" s="156" t="str">
        <f>"Virág Oszkár"</f>
        <v>Virág Oszkár</v>
      </c>
      <c r="K151" s="156" t="str">
        <f>"Rokku KKSE"</f>
        <v>Rokku KKSE</v>
      </c>
      <c r="L151" s="156" t="str">
        <f t="shared" si="48"/>
        <v>HUN</v>
      </c>
      <c r="M151" s="163">
        <v>1</v>
      </c>
      <c r="O151" s="154" t="s">
        <v>246</v>
      </c>
      <c r="P151" s="159">
        <v>46081</v>
      </c>
      <c r="Q151" s="154" t="str">
        <f t="shared" si="50"/>
        <v>Virág Oszkár - Rokku KKSE</v>
      </c>
      <c r="R151" s="154" t="s">
        <v>636</v>
      </c>
      <c r="S151" s="154" t="str">
        <f t="shared" si="51"/>
        <v>Rokku KKSE</v>
      </c>
      <c r="T151" s="154" t="s">
        <v>645</v>
      </c>
      <c r="U151" s="154" t="s">
        <v>796</v>
      </c>
      <c r="V151" s="154"/>
    </row>
    <row r="152" spans="1:22" s="158" customFormat="1" x14ac:dyDescent="0.3">
      <c r="A152" s="154" t="s">
        <v>775</v>
      </c>
      <c r="B152" s="155">
        <v>2</v>
      </c>
      <c r="C152" s="154">
        <v>78</v>
      </c>
      <c r="D152" s="156" t="str">
        <f t="shared" si="54"/>
        <v>Kata</v>
      </c>
      <c r="E152" s="156" t="str">
        <f t="shared" si="55"/>
        <v>Kata, -, 0-100 kg, Gyerek 2. (11-12</v>
      </c>
      <c r="F152" s="156" t="s">
        <v>525</v>
      </c>
      <c r="G152" s="157" t="str">
        <f t="shared" si="56"/>
        <v>14</v>
      </c>
      <c r="H152" s="156" t="str">
        <f t="shared" si="57"/>
        <v>16 fős egyenes kiesés</v>
      </c>
      <c r="I152" s="157" t="str">
        <f>"7-8"</f>
        <v>7-8</v>
      </c>
      <c r="J152" s="156" t="str">
        <f>"Kárász Dániel"</f>
        <v>Kárász Dániel</v>
      </c>
      <c r="K152" s="156" t="str">
        <f>"BHMSE"</f>
        <v>BHMSE</v>
      </c>
      <c r="L152" s="156" t="str">
        <f t="shared" si="48"/>
        <v>HUN</v>
      </c>
      <c r="M152" s="163">
        <v>0</v>
      </c>
      <c r="N152" s="158" t="s">
        <v>704</v>
      </c>
      <c r="O152" s="154" t="s">
        <v>246</v>
      </c>
      <c r="P152" s="159">
        <v>46081</v>
      </c>
      <c r="Q152" s="154" t="str">
        <f t="shared" si="50"/>
        <v>Kárász Dániel - BHMSE</v>
      </c>
      <c r="R152" s="154" t="s">
        <v>636</v>
      </c>
      <c r="S152" s="154" t="str">
        <f t="shared" si="51"/>
        <v>BHMSE</v>
      </c>
      <c r="T152" s="154" t="s">
        <v>645</v>
      </c>
      <c r="U152" s="154" t="s">
        <v>796</v>
      </c>
      <c r="V152" s="154"/>
    </row>
    <row r="153" spans="1:22" s="158" customFormat="1" x14ac:dyDescent="0.3">
      <c r="A153" s="154" t="s">
        <v>775</v>
      </c>
      <c r="B153" s="155">
        <v>2</v>
      </c>
      <c r="C153" s="154">
        <v>79</v>
      </c>
      <c r="D153" s="156" t="str">
        <f t="shared" si="54"/>
        <v>Kata</v>
      </c>
      <c r="E153" s="156" t="str">
        <f t="shared" si="55"/>
        <v>Kata, -, 0-100 kg, Gyerek 2. (11-12</v>
      </c>
      <c r="F153" s="156" t="s">
        <v>525</v>
      </c>
      <c r="G153" s="157" t="str">
        <f t="shared" si="56"/>
        <v>14</v>
      </c>
      <c r="H153" s="156" t="str">
        <f t="shared" si="57"/>
        <v>16 fős egyenes kiesés</v>
      </c>
      <c r="I153" s="157" t="str">
        <f>"7-8"</f>
        <v>7-8</v>
      </c>
      <c r="J153" s="156" t="str">
        <f>"Hernádi Bere"</f>
        <v>Hernádi Bere</v>
      </c>
      <c r="K153" s="156" t="str">
        <f>"BHMSE"</f>
        <v>BHMSE</v>
      </c>
      <c r="L153" s="156" t="str">
        <f t="shared" si="48"/>
        <v>HUN</v>
      </c>
      <c r="M153" s="163">
        <v>0</v>
      </c>
      <c r="N153" s="158" t="s">
        <v>704</v>
      </c>
      <c r="O153" s="154" t="s">
        <v>246</v>
      </c>
      <c r="P153" s="159">
        <v>46081</v>
      </c>
      <c r="Q153" s="154" t="str">
        <f t="shared" si="50"/>
        <v>Hernádi Bere - BHMSE</v>
      </c>
      <c r="R153" s="154" t="s">
        <v>636</v>
      </c>
      <c r="S153" s="154" t="str">
        <f t="shared" si="51"/>
        <v>BHMSE</v>
      </c>
      <c r="T153" s="154" t="s">
        <v>645</v>
      </c>
      <c r="U153" s="154" t="s">
        <v>796</v>
      </c>
      <c r="V153" s="154"/>
    </row>
    <row r="154" spans="1:22" s="158" customFormat="1" x14ac:dyDescent="0.3">
      <c r="A154" s="154" t="s">
        <v>775</v>
      </c>
      <c r="B154" s="155">
        <v>2</v>
      </c>
      <c r="C154" s="154">
        <v>80</v>
      </c>
      <c r="D154" s="156" t="str">
        <f t="shared" si="54"/>
        <v>Kata</v>
      </c>
      <c r="E154" s="156" t="str">
        <f t="shared" si="55"/>
        <v>Kata, -, 0-100 kg, Gyerek 2. (11-12</v>
      </c>
      <c r="F154" s="156" t="s">
        <v>525</v>
      </c>
      <c r="G154" s="157" t="str">
        <f t="shared" si="56"/>
        <v>14</v>
      </c>
      <c r="H154" s="156" t="str">
        <f t="shared" si="57"/>
        <v>16 fős egyenes kiesés</v>
      </c>
      <c r="I154" s="157" t="str">
        <f>"9"</f>
        <v>9</v>
      </c>
      <c r="J154" s="156" t="str">
        <f>"Hidegh Krisztián"</f>
        <v>Hidegh Krisztián</v>
      </c>
      <c r="K154" s="156" t="str">
        <f>"Rakurai"</f>
        <v>Rakurai</v>
      </c>
      <c r="L154" s="156" t="str">
        <f t="shared" si="48"/>
        <v>HUN</v>
      </c>
      <c r="M154" s="163">
        <v>0</v>
      </c>
      <c r="O154" s="154" t="s">
        <v>246</v>
      </c>
      <c r="P154" s="159">
        <v>46081</v>
      </c>
      <c r="Q154" s="154" t="str">
        <f t="shared" si="50"/>
        <v>Hidegh Krisztián - Rakurai</v>
      </c>
      <c r="R154" s="154" t="s">
        <v>636</v>
      </c>
      <c r="S154" s="154" t="str">
        <f t="shared" si="51"/>
        <v>Rakurai</v>
      </c>
      <c r="T154" s="154" t="s">
        <v>645</v>
      </c>
      <c r="U154" s="154" t="s">
        <v>796</v>
      </c>
      <c r="V154" s="154"/>
    </row>
    <row r="155" spans="1:22" s="158" customFormat="1" x14ac:dyDescent="0.3">
      <c r="A155" s="154" t="s">
        <v>775</v>
      </c>
      <c r="B155" s="155">
        <v>2</v>
      </c>
      <c r="C155" s="154">
        <v>81</v>
      </c>
      <c r="D155" s="156" t="str">
        <f t="shared" si="54"/>
        <v>Kata</v>
      </c>
      <c r="E155" s="156" t="str">
        <f t="shared" si="55"/>
        <v>Kata, -, 0-100 kg, Gyerek 2. (11-12</v>
      </c>
      <c r="F155" s="156" t="s">
        <v>525</v>
      </c>
      <c r="G155" s="157" t="str">
        <f t="shared" si="56"/>
        <v>14</v>
      </c>
      <c r="H155" s="156" t="str">
        <f t="shared" si="57"/>
        <v>16 fős egyenes kiesés</v>
      </c>
      <c r="I155" s="157" t="str">
        <f>"10"</f>
        <v>10</v>
      </c>
      <c r="J155" s="156" t="str">
        <f>"Mohai Szilárd"</f>
        <v>Mohai Szilárd</v>
      </c>
      <c r="K155" s="156" t="str">
        <f>"Katana SE"</f>
        <v>Katana SE</v>
      </c>
      <c r="L155" s="156" t="str">
        <f t="shared" si="48"/>
        <v>HUN</v>
      </c>
      <c r="M155" s="163">
        <v>0</v>
      </c>
      <c r="O155" s="154" t="s">
        <v>246</v>
      </c>
      <c r="P155" s="159">
        <v>46081</v>
      </c>
      <c r="Q155" s="154" t="str">
        <f t="shared" si="50"/>
        <v>Mohai Szilárd - Katana SE</v>
      </c>
      <c r="R155" s="154" t="s">
        <v>636</v>
      </c>
      <c r="S155" s="154" t="str">
        <f t="shared" si="51"/>
        <v>Katana SE</v>
      </c>
      <c r="T155" s="154" t="s">
        <v>645</v>
      </c>
      <c r="U155" s="154" t="s">
        <v>796</v>
      </c>
      <c r="V155" s="154"/>
    </row>
    <row r="156" spans="1:22" s="158" customFormat="1" x14ac:dyDescent="0.3">
      <c r="A156" s="154" t="s">
        <v>775</v>
      </c>
      <c r="B156" s="155">
        <v>2</v>
      </c>
      <c r="C156" s="154">
        <v>82</v>
      </c>
      <c r="D156" s="156" t="str">
        <f t="shared" si="54"/>
        <v>Kata</v>
      </c>
      <c r="E156" s="156" t="str">
        <f t="shared" si="55"/>
        <v>Kata, -, 0-100 kg, Gyerek 2. (11-12</v>
      </c>
      <c r="F156" s="156" t="s">
        <v>525</v>
      </c>
      <c r="G156" s="157" t="str">
        <f t="shared" si="56"/>
        <v>14</v>
      </c>
      <c r="H156" s="156" t="str">
        <f t="shared" si="57"/>
        <v>16 fős egyenes kiesés</v>
      </c>
      <c r="I156" s="157" t="str">
        <f>"11-16"</f>
        <v>11-16</v>
      </c>
      <c r="J156" s="156" t="str">
        <f>"Káplár János Mihály"</f>
        <v>Káplár János Mihály</v>
      </c>
      <c r="K156" s="156" t="str">
        <f>"Pagoda"</f>
        <v>Pagoda</v>
      </c>
      <c r="L156" s="156" t="str">
        <f t="shared" si="48"/>
        <v>HUN</v>
      </c>
      <c r="M156" s="163">
        <v>0</v>
      </c>
      <c r="O156" s="154" t="s">
        <v>246</v>
      </c>
      <c r="P156" s="159">
        <v>46081</v>
      </c>
      <c r="Q156" s="154" t="str">
        <f t="shared" si="50"/>
        <v>Káplár János Mihály - Pagoda</v>
      </c>
      <c r="R156" s="154" t="s">
        <v>637</v>
      </c>
      <c r="S156" s="154" t="str">
        <f t="shared" si="51"/>
        <v>Pagoda</v>
      </c>
      <c r="T156" s="154" t="s">
        <v>645</v>
      </c>
      <c r="U156" s="154" t="s">
        <v>796</v>
      </c>
      <c r="V156" s="154"/>
    </row>
    <row r="157" spans="1:22" s="158" customFormat="1" x14ac:dyDescent="0.3">
      <c r="A157" s="154" t="s">
        <v>775</v>
      </c>
      <c r="B157" s="155">
        <v>2</v>
      </c>
      <c r="C157" s="154">
        <v>83</v>
      </c>
      <c r="D157" s="156" t="str">
        <f t="shared" si="54"/>
        <v>Kata</v>
      </c>
      <c r="E157" s="156" t="str">
        <f t="shared" si="55"/>
        <v>Kata, -, 0-100 kg, Gyerek 2. (11-12</v>
      </c>
      <c r="F157" s="156" t="s">
        <v>525</v>
      </c>
      <c r="G157" s="157" t="str">
        <f t="shared" si="56"/>
        <v>14</v>
      </c>
      <c r="H157" s="156" t="str">
        <f t="shared" si="57"/>
        <v>16 fős egyenes kiesés</v>
      </c>
      <c r="I157" s="157" t="str">
        <f>"11-16"</f>
        <v>11-16</v>
      </c>
      <c r="J157" s="156" t="str">
        <f>"Sipos-Cserjési Horka"</f>
        <v>Sipos-Cserjési Horka</v>
      </c>
      <c r="K157" s="156" t="str">
        <f>"BHMSE"</f>
        <v>BHMSE</v>
      </c>
      <c r="L157" s="156" t="str">
        <f t="shared" si="48"/>
        <v>HUN</v>
      </c>
      <c r="M157" s="163">
        <v>0</v>
      </c>
      <c r="O157" s="154" t="s">
        <v>246</v>
      </c>
      <c r="P157" s="159">
        <v>46081</v>
      </c>
      <c r="Q157" s="154" t="str">
        <f t="shared" si="50"/>
        <v>Sipos-Cserjési Horka - BHMSE</v>
      </c>
      <c r="R157" s="154" t="s">
        <v>636</v>
      </c>
      <c r="S157" s="154" t="str">
        <f t="shared" si="51"/>
        <v>BHMSE</v>
      </c>
      <c r="T157" s="154" t="s">
        <v>645</v>
      </c>
      <c r="U157" s="154" t="s">
        <v>796</v>
      </c>
      <c r="V157" s="154"/>
    </row>
    <row r="158" spans="1:22" s="158" customFormat="1" x14ac:dyDescent="0.3">
      <c r="A158" s="154" t="s">
        <v>775</v>
      </c>
      <c r="B158" s="155">
        <v>2</v>
      </c>
      <c r="C158" s="154">
        <v>84</v>
      </c>
      <c r="D158" s="156" t="str">
        <f t="shared" si="54"/>
        <v>Kata</v>
      </c>
      <c r="E158" s="156" t="str">
        <f t="shared" si="55"/>
        <v>Kata, -, 0-100 kg, Gyerek 2. (11-12</v>
      </c>
      <c r="F158" s="156" t="s">
        <v>525</v>
      </c>
      <c r="G158" s="157" t="str">
        <f t="shared" si="56"/>
        <v>14</v>
      </c>
      <c r="H158" s="156" t="str">
        <f t="shared" si="57"/>
        <v>16 fős egyenes kiesés</v>
      </c>
      <c r="I158" s="157" t="str">
        <f>"11-16"</f>
        <v>11-16</v>
      </c>
      <c r="J158" s="156" t="str">
        <f>"Bocsányi Márton"</f>
        <v>Bocsányi Márton</v>
      </c>
      <c r="K158" s="156" t="str">
        <f>"BHMSE"</f>
        <v>BHMSE</v>
      </c>
      <c r="L158" s="156" t="str">
        <f t="shared" si="48"/>
        <v>HUN</v>
      </c>
      <c r="M158" s="163">
        <v>0</v>
      </c>
      <c r="O158" s="154" t="s">
        <v>246</v>
      </c>
      <c r="P158" s="159">
        <v>46081</v>
      </c>
      <c r="Q158" s="154" t="str">
        <f t="shared" si="50"/>
        <v>Bocsányi Márton - BHMSE</v>
      </c>
      <c r="R158" s="154" t="s">
        <v>636</v>
      </c>
      <c r="S158" s="154" t="str">
        <f t="shared" si="51"/>
        <v>BHMSE</v>
      </c>
      <c r="T158" s="154" t="s">
        <v>645</v>
      </c>
      <c r="U158" s="154" t="s">
        <v>796</v>
      </c>
      <c r="V158" s="154"/>
    </row>
    <row r="159" spans="1:22" s="158" customFormat="1" x14ac:dyDescent="0.3">
      <c r="A159" s="154" t="s">
        <v>775</v>
      </c>
      <c r="B159" s="155">
        <v>2</v>
      </c>
      <c r="C159" s="154">
        <v>85</v>
      </c>
      <c r="D159" s="156" t="str">
        <f t="shared" si="54"/>
        <v>Kata</v>
      </c>
      <c r="E159" s="156" t="str">
        <f t="shared" si="55"/>
        <v>Kata, -, 0-100 kg, Gyerek 2. (11-12</v>
      </c>
      <c r="F159" s="156" t="s">
        <v>525</v>
      </c>
      <c r="G159" s="157" t="str">
        <f t="shared" si="56"/>
        <v>14</v>
      </c>
      <c r="H159" s="156" t="str">
        <f t="shared" si="57"/>
        <v>16 fős egyenes kiesés</v>
      </c>
      <c r="I159" s="157" t="str">
        <f>"11-16"</f>
        <v>11-16</v>
      </c>
      <c r="J159" s="156" t="str">
        <f>"Vass Alexander"</f>
        <v>Vass Alexander</v>
      </c>
      <c r="K159" s="156" t="str">
        <f>"Siófok KSE"</f>
        <v>Siófok KSE</v>
      </c>
      <c r="L159" s="156" t="str">
        <f t="shared" si="48"/>
        <v>HUN</v>
      </c>
      <c r="M159" s="163">
        <v>0</v>
      </c>
      <c r="O159" s="154" t="s">
        <v>246</v>
      </c>
      <c r="P159" s="159">
        <v>46081</v>
      </c>
      <c r="Q159" s="154" t="str">
        <f t="shared" si="50"/>
        <v>Vass Alexander - Siófok KSE</v>
      </c>
      <c r="R159" s="154" t="s">
        <v>636</v>
      </c>
      <c r="S159" s="154" t="str">
        <f t="shared" si="51"/>
        <v>Siófok KSE</v>
      </c>
      <c r="T159" s="154" t="s">
        <v>645</v>
      </c>
      <c r="U159" s="154" t="s">
        <v>796</v>
      </c>
      <c r="V159" s="154"/>
    </row>
    <row r="160" spans="1:22" s="158" customFormat="1" x14ac:dyDescent="0.3">
      <c r="A160" s="154" t="s">
        <v>775</v>
      </c>
      <c r="B160" s="155">
        <v>2</v>
      </c>
      <c r="C160" s="154">
        <v>86</v>
      </c>
      <c r="D160" s="156" t="str">
        <f t="shared" ref="D160:D172" si="58">"Kumite"</f>
        <v>Kumite</v>
      </c>
      <c r="E160" s="156" t="str">
        <f>"Kumite, -, 0-35 kg, Gyerek 2. (11-12"</f>
        <v>Kumite, -, 0-35 kg, Gyerek 2. (11-12</v>
      </c>
      <c r="F160" s="156" t="s">
        <v>517</v>
      </c>
      <c r="G160" s="157" t="str">
        <f t="shared" ref="G160:G165" si="59">"6"</f>
        <v>6</v>
      </c>
      <c r="H160" s="156" t="str">
        <f t="shared" ref="H160:H165" si="60">"6 fős vegyes"</f>
        <v>6 fős vegyes</v>
      </c>
      <c r="I160" s="157" t="str">
        <f>"1"</f>
        <v>1</v>
      </c>
      <c r="J160" s="156" t="str">
        <f>"Jakubovics Nikolett"</f>
        <v>Jakubovics Nikolett</v>
      </c>
      <c r="K160" s="156" t="str">
        <f>"BHMSE"</f>
        <v>BHMSE</v>
      </c>
      <c r="L160" s="156" t="str">
        <f t="shared" si="48"/>
        <v>HUN</v>
      </c>
      <c r="M160" s="163">
        <v>6</v>
      </c>
      <c r="O160" s="154" t="s">
        <v>246</v>
      </c>
      <c r="P160" s="159">
        <v>46081</v>
      </c>
      <c r="Q160" s="154" t="str">
        <f t="shared" si="50"/>
        <v>Jakubovics Nikolett - BHMSE</v>
      </c>
      <c r="R160" s="154" t="s">
        <v>636</v>
      </c>
      <c r="S160" s="154" t="str">
        <f t="shared" si="51"/>
        <v>BHMSE</v>
      </c>
      <c r="T160" s="154" t="s">
        <v>645</v>
      </c>
      <c r="U160" s="154" t="s">
        <v>796</v>
      </c>
      <c r="V160" s="154"/>
    </row>
    <row r="161" spans="1:22" s="158" customFormat="1" x14ac:dyDescent="0.3">
      <c r="A161" s="154" t="s">
        <v>775</v>
      </c>
      <c r="B161" s="155">
        <v>2</v>
      </c>
      <c r="C161" s="154">
        <v>87</v>
      </c>
      <c r="D161" s="156" t="str">
        <f t="shared" si="58"/>
        <v>Kumite</v>
      </c>
      <c r="E161" s="156" t="str">
        <f>"Kumite, -, 0-35 kg, Gyerek 2. (11-12"</f>
        <v>Kumite, -, 0-35 kg, Gyerek 2. (11-12</v>
      </c>
      <c r="F161" s="156" t="s">
        <v>517</v>
      </c>
      <c r="G161" s="157" t="str">
        <f t="shared" si="59"/>
        <v>6</v>
      </c>
      <c r="H161" s="156" t="str">
        <f t="shared" si="60"/>
        <v>6 fős vegyes</v>
      </c>
      <c r="I161" s="157" t="str">
        <f>"2"</f>
        <v>2</v>
      </c>
      <c r="J161" s="156" t="str">
        <f>"Pődör Panka"</f>
        <v>Pődör Panka</v>
      </c>
      <c r="K161" s="156" t="str">
        <f>"Griff SE"</f>
        <v>Griff SE</v>
      </c>
      <c r="L161" s="156" t="str">
        <f t="shared" si="48"/>
        <v>HUN</v>
      </c>
      <c r="M161" s="163">
        <v>5</v>
      </c>
      <c r="O161" s="154" t="s">
        <v>246</v>
      </c>
      <c r="P161" s="159">
        <v>46081</v>
      </c>
      <c r="Q161" s="154" t="str">
        <f t="shared" si="50"/>
        <v>Pődör Panka - Griff SE</v>
      </c>
      <c r="R161" s="154" t="s">
        <v>636</v>
      </c>
      <c r="S161" s="154" t="str">
        <f t="shared" si="51"/>
        <v>Griff SE</v>
      </c>
      <c r="T161" s="154" t="s">
        <v>645</v>
      </c>
      <c r="U161" s="154" t="s">
        <v>796</v>
      </c>
      <c r="V161" s="154"/>
    </row>
    <row r="162" spans="1:22" s="158" customFormat="1" x14ac:dyDescent="0.3">
      <c r="A162" s="154" t="s">
        <v>775</v>
      </c>
      <c r="B162" s="155">
        <v>2</v>
      </c>
      <c r="C162" s="154">
        <v>88</v>
      </c>
      <c r="D162" s="156" t="str">
        <f t="shared" si="58"/>
        <v>Kumite</v>
      </c>
      <c r="E162" s="156" t="str">
        <f>"Kumite, -, 0-35 kg, Gyerek 2. (11-12"</f>
        <v>Kumite, -, 0-35 kg, Gyerek 2. (11-12</v>
      </c>
      <c r="F162" s="156" t="s">
        <v>517</v>
      </c>
      <c r="G162" s="157" t="str">
        <f t="shared" si="59"/>
        <v>6</v>
      </c>
      <c r="H162" s="156" t="str">
        <f t="shared" si="60"/>
        <v>6 fős vegyes</v>
      </c>
      <c r="I162" s="157" t="str">
        <f>"3"</f>
        <v>3</v>
      </c>
      <c r="J162" s="156" t="str">
        <f>"Horváth Boróka"</f>
        <v>Horváth Boróka</v>
      </c>
      <c r="K162" s="156" t="str">
        <f>"Rakurai"</f>
        <v>Rakurai</v>
      </c>
      <c r="L162" s="156" t="str">
        <f t="shared" si="48"/>
        <v>HUN</v>
      </c>
      <c r="M162" s="163">
        <v>3</v>
      </c>
      <c r="O162" s="154" t="s">
        <v>246</v>
      </c>
      <c r="P162" s="159">
        <v>46081</v>
      </c>
      <c r="Q162" s="154" t="str">
        <f t="shared" si="50"/>
        <v>Horváth Boróka - Rakurai</v>
      </c>
      <c r="R162" s="154" t="s">
        <v>636</v>
      </c>
      <c r="S162" s="154" t="str">
        <f t="shared" si="51"/>
        <v>Rakurai</v>
      </c>
      <c r="T162" s="154" t="s">
        <v>645</v>
      </c>
      <c r="U162" s="154" t="s">
        <v>796</v>
      </c>
      <c r="V162" s="154"/>
    </row>
    <row r="163" spans="1:22" s="158" customFormat="1" x14ac:dyDescent="0.3">
      <c r="A163" s="154" t="s">
        <v>775</v>
      </c>
      <c r="B163" s="155">
        <v>2</v>
      </c>
      <c r="C163" s="154">
        <v>89</v>
      </c>
      <c r="D163" s="156" t="str">
        <f t="shared" si="58"/>
        <v>Kumite</v>
      </c>
      <c r="E163" s="156" t="str">
        <f>"Kumite, -, 45-200 kg, Gyerek 2. (11-12"</f>
        <v>Kumite, -, 45-200 kg, Gyerek 2. (11-12</v>
      </c>
      <c r="F163" s="156" t="s">
        <v>528</v>
      </c>
      <c r="G163" s="157" t="str">
        <f t="shared" si="59"/>
        <v>6</v>
      </c>
      <c r="H163" s="156" t="str">
        <f t="shared" si="60"/>
        <v>6 fős vegyes</v>
      </c>
      <c r="I163" s="157" t="str">
        <f>"1"</f>
        <v>1</v>
      </c>
      <c r="J163" s="156" t="str">
        <f>"Kocsis Nóra"</f>
        <v>Kocsis Nóra</v>
      </c>
      <c r="K163" s="156" t="str">
        <f>"Genbu dojo"</f>
        <v>Genbu dojo</v>
      </c>
      <c r="L163" s="156" t="str">
        <f t="shared" si="48"/>
        <v>HUN</v>
      </c>
      <c r="M163" s="163">
        <v>6</v>
      </c>
      <c r="O163" s="154" t="s">
        <v>246</v>
      </c>
      <c r="P163" s="159">
        <v>46081</v>
      </c>
      <c r="Q163" s="154" t="str">
        <f t="shared" si="50"/>
        <v>Kocsis Nóra - Genbu dojo</v>
      </c>
      <c r="R163" s="154" t="s">
        <v>637</v>
      </c>
      <c r="S163" s="154" t="str">
        <f t="shared" si="51"/>
        <v>Genbu dojo</v>
      </c>
      <c r="T163" s="154" t="s">
        <v>645</v>
      </c>
      <c r="U163" s="154" t="s">
        <v>796</v>
      </c>
      <c r="V163" s="154"/>
    </row>
    <row r="164" spans="1:22" s="158" customFormat="1" x14ac:dyDescent="0.3">
      <c r="A164" s="154" t="s">
        <v>775</v>
      </c>
      <c r="B164" s="155">
        <v>2</v>
      </c>
      <c r="C164" s="154">
        <v>90</v>
      </c>
      <c r="D164" s="156" t="str">
        <f t="shared" si="58"/>
        <v>Kumite</v>
      </c>
      <c r="E164" s="156" t="str">
        <f>"Kumite, -, 45-200 kg, Gyerek 2. (11-12"</f>
        <v>Kumite, -, 45-200 kg, Gyerek 2. (11-12</v>
      </c>
      <c r="F164" s="156" t="s">
        <v>528</v>
      </c>
      <c r="G164" s="157" t="str">
        <f t="shared" si="59"/>
        <v>6</v>
      </c>
      <c r="H164" s="156" t="str">
        <f t="shared" si="60"/>
        <v>6 fős vegyes</v>
      </c>
      <c r="I164" s="157" t="str">
        <f>"2"</f>
        <v>2</v>
      </c>
      <c r="J164" s="156" t="str">
        <f>"Kocsis Angéla"</f>
        <v>Kocsis Angéla</v>
      </c>
      <c r="K164" s="156" t="str">
        <f>"Genbu dojo"</f>
        <v>Genbu dojo</v>
      </c>
      <c r="L164" s="156" t="str">
        <f t="shared" si="48"/>
        <v>HUN</v>
      </c>
      <c r="M164" s="163">
        <v>5</v>
      </c>
      <c r="O164" s="154" t="s">
        <v>246</v>
      </c>
      <c r="P164" s="159">
        <v>46081</v>
      </c>
      <c r="Q164" s="154" t="str">
        <f t="shared" si="50"/>
        <v>Kocsis Angéla - Genbu dojo</v>
      </c>
      <c r="R164" s="154" t="s">
        <v>637</v>
      </c>
      <c r="S164" s="154" t="str">
        <f t="shared" si="51"/>
        <v>Genbu dojo</v>
      </c>
      <c r="T164" s="154" t="s">
        <v>645</v>
      </c>
      <c r="U164" s="154" t="s">
        <v>796</v>
      </c>
      <c r="V164" s="154"/>
    </row>
    <row r="165" spans="1:22" s="158" customFormat="1" x14ac:dyDescent="0.3">
      <c r="A165" s="154" t="s">
        <v>775</v>
      </c>
      <c r="B165" s="155">
        <v>2</v>
      </c>
      <c r="C165" s="154">
        <v>91</v>
      </c>
      <c r="D165" s="156" t="str">
        <f t="shared" si="58"/>
        <v>Kumite</v>
      </c>
      <c r="E165" s="156" t="str">
        <f>"Kumite, -, 45-200 kg, Gyerek 2. (11-12"</f>
        <v>Kumite, -, 45-200 kg, Gyerek 2. (11-12</v>
      </c>
      <c r="F165" s="156" t="s">
        <v>528</v>
      </c>
      <c r="G165" s="157" t="str">
        <f t="shared" si="59"/>
        <v>6</v>
      </c>
      <c r="H165" s="156" t="str">
        <f t="shared" si="60"/>
        <v>6 fős vegyes</v>
      </c>
      <c r="I165" s="157" t="str">
        <f>"3"</f>
        <v>3</v>
      </c>
      <c r="J165" s="156" t="str">
        <f>"Garamszegi Szófia"</f>
        <v>Garamszegi Szófia</v>
      </c>
      <c r="K165" s="156" t="str">
        <f>"WARRIORS TEAM"</f>
        <v>WARRIORS TEAM</v>
      </c>
      <c r="L165" s="156" t="str">
        <f t="shared" si="48"/>
        <v>HUN</v>
      </c>
      <c r="M165" s="163">
        <v>3</v>
      </c>
      <c r="O165" s="154" t="s">
        <v>246</v>
      </c>
      <c r="P165" s="159">
        <v>46081</v>
      </c>
      <c r="Q165" s="154" t="str">
        <f t="shared" si="50"/>
        <v>Garamszegi Szófia - WARRIORS TEAM</v>
      </c>
      <c r="R165" s="154" t="s">
        <v>636</v>
      </c>
      <c r="S165" s="154" t="str">
        <f t="shared" si="51"/>
        <v>WARRIORS TEAM</v>
      </c>
      <c r="T165" s="154" t="s">
        <v>645</v>
      </c>
      <c r="U165" s="154" t="s">
        <v>796</v>
      </c>
      <c r="V165" s="154"/>
    </row>
    <row r="166" spans="1:22" s="158" customFormat="1" x14ac:dyDescent="0.3">
      <c r="A166" s="154" t="s">
        <v>775</v>
      </c>
      <c r="B166" s="155">
        <v>2</v>
      </c>
      <c r="C166" s="154">
        <v>92</v>
      </c>
      <c r="D166" s="156" t="str">
        <f t="shared" si="58"/>
        <v>Kumite</v>
      </c>
      <c r="E166" s="156" t="str">
        <f t="shared" ref="E166:E172" si="61">"Kumite, -, 40-45 kg, Gyerek 2. (11-12"</f>
        <v>Kumite, -, 40-45 kg, Gyerek 2. (11-12</v>
      </c>
      <c r="F166" s="156" t="s">
        <v>527</v>
      </c>
      <c r="G166" s="157" t="str">
        <f t="shared" ref="G166:G172" si="62">"7"</f>
        <v>7</v>
      </c>
      <c r="H166" s="156" t="str">
        <f t="shared" ref="H166:H172" si="63">"8 fős egyenes kiesés"</f>
        <v>8 fős egyenes kiesés</v>
      </c>
      <c r="I166" s="157" t="str">
        <f>"1"</f>
        <v>1</v>
      </c>
      <c r="J166" s="156" t="str">
        <f>"Vig Boglárka"</f>
        <v>Vig Boglárka</v>
      </c>
      <c r="K166" s="156" t="str">
        <f>"VTSE"</f>
        <v>VTSE</v>
      </c>
      <c r="L166" s="156" t="str">
        <f t="shared" si="48"/>
        <v>HUN</v>
      </c>
      <c r="M166" s="163">
        <v>6</v>
      </c>
      <c r="O166" s="154" t="s">
        <v>246</v>
      </c>
      <c r="P166" s="159">
        <v>46081</v>
      </c>
      <c r="Q166" s="154" t="str">
        <f t="shared" si="50"/>
        <v>Vig Boglárka - VTSE</v>
      </c>
      <c r="R166" s="154" t="s">
        <v>637</v>
      </c>
      <c r="S166" s="154" t="str">
        <f t="shared" si="51"/>
        <v>VTSE</v>
      </c>
      <c r="T166" s="154" t="s">
        <v>645</v>
      </c>
      <c r="U166" s="154" t="s">
        <v>796</v>
      </c>
      <c r="V166" s="154"/>
    </row>
    <row r="167" spans="1:22" s="158" customFormat="1" x14ac:dyDescent="0.3">
      <c r="A167" s="154" t="s">
        <v>775</v>
      </c>
      <c r="B167" s="155">
        <v>2</v>
      </c>
      <c r="C167" s="154">
        <v>93</v>
      </c>
      <c r="D167" s="156" t="str">
        <f t="shared" si="58"/>
        <v>Kumite</v>
      </c>
      <c r="E167" s="156" t="str">
        <f t="shared" si="61"/>
        <v>Kumite, -, 40-45 kg, Gyerek 2. (11-12</v>
      </c>
      <c r="F167" s="156" t="s">
        <v>527</v>
      </c>
      <c r="G167" s="157" t="str">
        <f t="shared" si="62"/>
        <v>7</v>
      </c>
      <c r="H167" s="156" t="str">
        <f t="shared" si="63"/>
        <v>8 fős egyenes kiesés</v>
      </c>
      <c r="I167" s="157" t="str">
        <f>"2"</f>
        <v>2</v>
      </c>
      <c r="J167" s="156" t="str">
        <f>"Tóth Arina Bejke"</f>
        <v>Tóth Arina Bejke</v>
      </c>
      <c r="K167" s="156" t="str">
        <f>"Nagykátai Bushido SE"</f>
        <v>Nagykátai Bushido SE</v>
      </c>
      <c r="L167" s="156" t="str">
        <f t="shared" si="48"/>
        <v>HUN</v>
      </c>
      <c r="M167" s="163">
        <v>5</v>
      </c>
      <c r="O167" s="154" t="s">
        <v>246</v>
      </c>
      <c r="P167" s="159">
        <v>46081</v>
      </c>
      <c r="Q167" s="154" t="str">
        <f t="shared" si="50"/>
        <v>Tóth Arina Bejke - Nagykátai Bushido SE</v>
      </c>
      <c r="R167" s="154" t="s">
        <v>636</v>
      </c>
      <c r="S167" s="154" t="str">
        <f t="shared" si="51"/>
        <v>Nagykátai Bushido SE</v>
      </c>
      <c r="T167" s="154" t="s">
        <v>645</v>
      </c>
      <c r="U167" s="154" t="s">
        <v>796</v>
      </c>
      <c r="V167" s="154"/>
    </row>
    <row r="168" spans="1:22" s="158" customFormat="1" x14ac:dyDescent="0.3">
      <c r="A168" s="154" t="s">
        <v>775</v>
      </c>
      <c r="B168" s="155">
        <v>2</v>
      </c>
      <c r="C168" s="154">
        <v>94</v>
      </c>
      <c r="D168" s="156" t="str">
        <f t="shared" si="58"/>
        <v>Kumite</v>
      </c>
      <c r="E168" s="156" t="str">
        <f t="shared" si="61"/>
        <v>Kumite, -, 40-45 kg, Gyerek 2. (11-12</v>
      </c>
      <c r="F168" s="156" t="s">
        <v>527</v>
      </c>
      <c r="G168" s="157" t="str">
        <f t="shared" si="62"/>
        <v>7</v>
      </c>
      <c r="H168" s="156" t="str">
        <f t="shared" si="63"/>
        <v>8 fős egyenes kiesés</v>
      </c>
      <c r="I168" s="157" t="str">
        <f>"3"</f>
        <v>3</v>
      </c>
      <c r="J168" s="156" t="str">
        <f>"Spanjevic Frida"</f>
        <v>Spanjevic Frida</v>
      </c>
      <c r="K168" s="156" t="str">
        <f>"BHMSE"</f>
        <v>BHMSE</v>
      </c>
      <c r="L168" s="156" t="str">
        <f t="shared" si="48"/>
        <v>HUN</v>
      </c>
      <c r="M168" s="163">
        <v>3</v>
      </c>
      <c r="O168" s="154" t="s">
        <v>246</v>
      </c>
      <c r="P168" s="159">
        <v>46081</v>
      </c>
      <c r="Q168" s="154" t="str">
        <f t="shared" si="50"/>
        <v>Spanjevic Frida - BHMSE</v>
      </c>
      <c r="R168" s="154" t="s">
        <v>636</v>
      </c>
      <c r="S168" s="154" t="str">
        <f t="shared" si="51"/>
        <v>BHMSE</v>
      </c>
      <c r="T168" s="154" t="s">
        <v>645</v>
      </c>
      <c r="U168" s="154" t="s">
        <v>796</v>
      </c>
      <c r="V168" s="154"/>
    </row>
    <row r="169" spans="1:22" s="158" customFormat="1" x14ac:dyDescent="0.3">
      <c r="A169" s="154" t="s">
        <v>775</v>
      </c>
      <c r="B169" s="155">
        <v>2</v>
      </c>
      <c r="C169" s="154">
        <v>95</v>
      </c>
      <c r="D169" s="156" t="str">
        <f t="shared" si="58"/>
        <v>Kumite</v>
      </c>
      <c r="E169" s="156" t="str">
        <f t="shared" si="61"/>
        <v>Kumite, -, 40-45 kg, Gyerek 2. (11-12</v>
      </c>
      <c r="F169" s="156" t="s">
        <v>527</v>
      </c>
      <c r="G169" s="157" t="str">
        <f t="shared" si="62"/>
        <v>7</v>
      </c>
      <c r="H169" s="156" t="str">
        <f t="shared" si="63"/>
        <v>8 fős egyenes kiesés</v>
      </c>
      <c r="I169" s="157" t="str">
        <f>"3"</f>
        <v>3</v>
      </c>
      <c r="J169" s="156" t="str">
        <f>"Szombath Jázmin"</f>
        <v>Szombath Jázmin</v>
      </c>
      <c r="K169" s="156" t="str">
        <f>"Főnix Dojo"</f>
        <v>Főnix Dojo</v>
      </c>
      <c r="L169" s="156" t="str">
        <f t="shared" si="48"/>
        <v>HUN</v>
      </c>
      <c r="M169" s="163">
        <v>0</v>
      </c>
      <c r="N169" s="158" t="s">
        <v>704</v>
      </c>
      <c r="O169" s="154" t="s">
        <v>246</v>
      </c>
      <c r="P169" s="159">
        <v>46081</v>
      </c>
      <c r="Q169" s="154" t="str">
        <f t="shared" si="50"/>
        <v>Szombath Jázmin - Főnix Dojo</v>
      </c>
      <c r="R169" s="154" t="s">
        <v>636</v>
      </c>
      <c r="S169" s="154" t="str">
        <f t="shared" si="51"/>
        <v>Főnix Dojo</v>
      </c>
      <c r="T169" s="154" t="s">
        <v>645</v>
      </c>
      <c r="U169" s="154" t="s">
        <v>796</v>
      </c>
      <c r="V169" s="154"/>
    </row>
    <row r="170" spans="1:22" s="158" customFormat="1" x14ac:dyDescent="0.3">
      <c r="A170" s="154" t="s">
        <v>775</v>
      </c>
      <c r="B170" s="155">
        <v>2</v>
      </c>
      <c r="C170" s="154">
        <v>96</v>
      </c>
      <c r="D170" s="156" t="str">
        <f t="shared" si="58"/>
        <v>Kumite</v>
      </c>
      <c r="E170" s="156" t="str">
        <f t="shared" si="61"/>
        <v>Kumite, -, 40-45 kg, Gyerek 2. (11-12</v>
      </c>
      <c r="F170" s="156" t="s">
        <v>527</v>
      </c>
      <c r="G170" s="157" t="str">
        <f t="shared" si="62"/>
        <v>7</v>
      </c>
      <c r="H170" s="156" t="str">
        <f t="shared" si="63"/>
        <v>8 fős egyenes kiesés</v>
      </c>
      <c r="I170" s="157" t="str">
        <f>"5"</f>
        <v>5</v>
      </c>
      <c r="J170" s="156" t="str">
        <f>"Falus Zsuzsanna"</f>
        <v>Falus Zsuzsanna</v>
      </c>
      <c r="K170" s="156" t="str">
        <f>"Rokku KKSE"</f>
        <v>Rokku KKSE</v>
      </c>
      <c r="L170" s="156" t="str">
        <f t="shared" si="48"/>
        <v>HUN</v>
      </c>
      <c r="M170" s="163">
        <v>0</v>
      </c>
      <c r="O170" s="154" t="s">
        <v>246</v>
      </c>
      <c r="P170" s="159">
        <v>46081</v>
      </c>
      <c r="Q170" s="154" t="str">
        <f t="shared" si="50"/>
        <v>Falus Zsuzsanna - Rokku KKSE</v>
      </c>
      <c r="R170" s="154" t="s">
        <v>636</v>
      </c>
      <c r="S170" s="154" t="str">
        <f t="shared" si="51"/>
        <v>Rokku KKSE</v>
      </c>
      <c r="T170" s="154" t="s">
        <v>645</v>
      </c>
      <c r="U170" s="154" t="s">
        <v>796</v>
      </c>
      <c r="V170" s="154"/>
    </row>
    <row r="171" spans="1:22" s="158" customFormat="1" x14ac:dyDescent="0.3">
      <c r="A171" s="154" t="s">
        <v>775</v>
      </c>
      <c r="B171" s="155">
        <v>2</v>
      </c>
      <c r="C171" s="154">
        <v>97</v>
      </c>
      <c r="D171" s="156" t="str">
        <f t="shared" si="58"/>
        <v>Kumite</v>
      </c>
      <c r="E171" s="156" t="str">
        <f t="shared" si="61"/>
        <v>Kumite, -, 40-45 kg, Gyerek 2. (11-12</v>
      </c>
      <c r="F171" s="156" t="s">
        <v>527</v>
      </c>
      <c r="G171" s="157" t="str">
        <f t="shared" si="62"/>
        <v>7</v>
      </c>
      <c r="H171" s="156" t="str">
        <f t="shared" si="63"/>
        <v>8 fős egyenes kiesés</v>
      </c>
      <c r="I171" s="157" t="str">
        <f>"6"</f>
        <v>6</v>
      </c>
      <c r="J171" s="156" t="str">
        <f>"Rabi-Szita Emese"</f>
        <v>Rabi-Szita Emese</v>
      </c>
      <c r="K171" s="156" t="str">
        <f>"Meiyo dojo"</f>
        <v>Meiyo dojo</v>
      </c>
      <c r="L171" s="156" t="str">
        <f t="shared" si="48"/>
        <v>HUN</v>
      </c>
      <c r="M171" s="163">
        <v>0</v>
      </c>
      <c r="O171" s="154" t="s">
        <v>246</v>
      </c>
      <c r="P171" s="159">
        <v>46081</v>
      </c>
      <c r="Q171" s="154" t="str">
        <f t="shared" si="50"/>
        <v>Rabi-Szita Emese - Meiyo dojo</v>
      </c>
      <c r="R171" s="154" t="s">
        <v>636</v>
      </c>
      <c r="S171" s="154" t="str">
        <f t="shared" si="51"/>
        <v>Meiyo dojo</v>
      </c>
      <c r="T171" s="154" t="s">
        <v>645</v>
      </c>
      <c r="U171" s="154" t="s">
        <v>796</v>
      </c>
      <c r="V171" s="154"/>
    </row>
    <row r="172" spans="1:22" s="158" customFormat="1" x14ac:dyDescent="0.3">
      <c r="A172" s="154" t="s">
        <v>775</v>
      </c>
      <c r="B172" s="155">
        <v>2</v>
      </c>
      <c r="C172" s="154">
        <v>98</v>
      </c>
      <c r="D172" s="156" t="str">
        <f t="shared" si="58"/>
        <v>Kumite</v>
      </c>
      <c r="E172" s="156" t="str">
        <f t="shared" si="61"/>
        <v>Kumite, -, 40-45 kg, Gyerek 2. (11-12</v>
      </c>
      <c r="F172" s="156" t="s">
        <v>527</v>
      </c>
      <c r="G172" s="157" t="str">
        <f t="shared" si="62"/>
        <v>7</v>
      </c>
      <c r="H172" s="156" t="str">
        <f t="shared" si="63"/>
        <v>8 fős egyenes kiesés</v>
      </c>
      <c r="I172" s="157" t="str">
        <f>"7-8"</f>
        <v>7-8</v>
      </c>
      <c r="J172" s="156" t="str">
        <f>"Baranya Lilla"</f>
        <v>Baranya Lilla</v>
      </c>
      <c r="K172" s="156" t="str">
        <f>"KSE Tarján"</f>
        <v>KSE Tarján</v>
      </c>
      <c r="L172" s="156" t="str">
        <f t="shared" si="48"/>
        <v>HUN</v>
      </c>
      <c r="M172" s="163">
        <v>0</v>
      </c>
      <c r="O172" s="154" t="s">
        <v>246</v>
      </c>
      <c r="P172" s="159">
        <v>46081</v>
      </c>
      <c r="Q172" s="154" t="str">
        <f t="shared" si="50"/>
        <v>Baranya Lilla - KSE Tarján</v>
      </c>
      <c r="R172" s="154" t="s">
        <v>636</v>
      </c>
      <c r="S172" s="154" t="str">
        <f t="shared" si="51"/>
        <v>KSE Tarján</v>
      </c>
      <c r="T172" s="154" t="s">
        <v>645</v>
      </c>
      <c r="U172" s="154" t="s">
        <v>796</v>
      </c>
      <c r="V172" s="154"/>
    </row>
    <row r="173" spans="1:22" s="158" customFormat="1" x14ac:dyDescent="0.3">
      <c r="A173" s="154" t="s">
        <v>775</v>
      </c>
      <c r="B173" s="155">
        <v>2</v>
      </c>
      <c r="C173" s="154">
        <v>99</v>
      </c>
      <c r="D173" s="156" t="str">
        <f t="shared" ref="D173:D181" si="64">"Kata"</f>
        <v>Kata</v>
      </c>
      <c r="E173" s="156" t="str">
        <f t="shared" ref="E173:E181" si="65">"Kata, -, 0-100 kg, Gyerek 2. (11-12"</f>
        <v>Kata, -, 0-100 kg, Gyerek 2. (11-12</v>
      </c>
      <c r="F173" s="156" t="s">
        <v>526</v>
      </c>
      <c r="G173" s="157" t="str">
        <f t="shared" ref="G173:G181" si="66">"9"</f>
        <v>9</v>
      </c>
      <c r="H173" s="156" t="str">
        <f t="shared" ref="H173:H181" si="67">"16 fős egyenes kiesés"</f>
        <v>16 fős egyenes kiesés</v>
      </c>
      <c r="I173" s="157" t="str">
        <f>"1"</f>
        <v>1</v>
      </c>
      <c r="J173" s="156" t="str">
        <f>"Jakubovics Nikolett"</f>
        <v>Jakubovics Nikolett</v>
      </c>
      <c r="K173" s="156" t="str">
        <f>"BHMSE"</f>
        <v>BHMSE</v>
      </c>
      <c r="L173" s="156" t="str">
        <f t="shared" si="48"/>
        <v>HUN</v>
      </c>
      <c r="M173" s="163">
        <v>6</v>
      </c>
      <c r="O173" s="154" t="s">
        <v>246</v>
      </c>
      <c r="P173" s="159">
        <v>46081</v>
      </c>
      <c r="Q173" s="154" t="str">
        <f t="shared" si="50"/>
        <v>Jakubovics Nikolett - BHMSE</v>
      </c>
      <c r="R173" s="154" t="s">
        <v>636</v>
      </c>
      <c r="S173" s="154" t="str">
        <f t="shared" si="51"/>
        <v>BHMSE</v>
      </c>
      <c r="T173" s="154" t="s">
        <v>645</v>
      </c>
      <c r="U173" s="154" t="s">
        <v>796</v>
      </c>
      <c r="V173" s="154"/>
    </row>
    <row r="174" spans="1:22" s="158" customFormat="1" x14ac:dyDescent="0.3">
      <c r="A174" s="154" t="s">
        <v>775</v>
      </c>
      <c r="B174" s="155">
        <v>2</v>
      </c>
      <c r="C174" s="154">
        <v>100</v>
      </c>
      <c r="D174" s="156" t="str">
        <f t="shared" si="64"/>
        <v>Kata</v>
      </c>
      <c r="E174" s="156" t="str">
        <f t="shared" si="65"/>
        <v>Kata, -, 0-100 kg, Gyerek 2. (11-12</v>
      </c>
      <c r="F174" s="156" t="s">
        <v>526</v>
      </c>
      <c r="G174" s="157" t="str">
        <f t="shared" si="66"/>
        <v>9</v>
      </c>
      <c r="H174" s="156" t="str">
        <f t="shared" si="67"/>
        <v>16 fős egyenes kiesés</v>
      </c>
      <c r="I174" s="157" t="str">
        <f>"2"</f>
        <v>2</v>
      </c>
      <c r="J174" s="156" t="str">
        <f>"Domján-Herbat Réka"</f>
        <v>Domján-Herbat Réka</v>
      </c>
      <c r="K174" s="156" t="str">
        <f>"BHMSE"</f>
        <v>BHMSE</v>
      </c>
      <c r="L174" s="156" t="str">
        <f t="shared" si="48"/>
        <v>HUN</v>
      </c>
      <c r="M174" s="163">
        <v>5</v>
      </c>
      <c r="O174" s="154" t="s">
        <v>246</v>
      </c>
      <c r="P174" s="159">
        <v>46081</v>
      </c>
      <c r="Q174" s="154" t="str">
        <f t="shared" si="50"/>
        <v>Domján-Herbat Réka - BHMSE</v>
      </c>
      <c r="R174" s="154" t="s">
        <v>636</v>
      </c>
      <c r="S174" s="154" t="str">
        <f t="shared" si="51"/>
        <v>BHMSE</v>
      </c>
      <c r="T174" s="154" t="s">
        <v>645</v>
      </c>
      <c r="U174" s="154" t="s">
        <v>796</v>
      </c>
      <c r="V174" s="154"/>
    </row>
    <row r="175" spans="1:22" s="158" customFormat="1" x14ac:dyDescent="0.3">
      <c r="A175" s="154" t="s">
        <v>775</v>
      </c>
      <c r="B175" s="155">
        <v>2</v>
      </c>
      <c r="C175" s="154">
        <v>101</v>
      </c>
      <c r="D175" s="156" t="str">
        <f t="shared" si="64"/>
        <v>Kata</v>
      </c>
      <c r="E175" s="156" t="str">
        <f t="shared" si="65"/>
        <v>Kata, -, 0-100 kg, Gyerek 2. (11-12</v>
      </c>
      <c r="F175" s="156" t="s">
        <v>526</v>
      </c>
      <c r="G175" s="157" t="str">
        <f t="shared" si="66"/>
        <v>9</v>
      </c>
      <c r="H175" s="156" t="str">
        <f t="shared" si="67"/>
        <v>16 fős egyenes kiesés</v>
      </c>
      <c r="I175" s="157" t="str">
        <f>"3"</f>
        <v>3</v>
      </c>
      <c r="J175" s="156" t="str">
        <f>"Rudi Noémi"</f>
        <v>Rudi Noémi</v>
      </c>
      <c r="K175" s="156" t="str">
        <f>"Rakurai"</f>
        <v>Rakurai</v>
      </c>
      <c r="L175" s="156" t="str">
        <f t="shared" si="48"/>
        <v>HUN</v>
      </c>
      <c r="M175" s="163">
        <v>3</v>
      </c>
      <c r="O175" s="154" t="s">
        <v>246</v>
      </c>
      <c r="P175" s="159">
        <v>46081</v>
      </c>
      <c r="Q175" s="154" t="str">
        <f t="shared" si="50"/>
        <v>Rudi Noémi - Rakurai</v>
      </c>
      <c r="R175" s="154" t="s">
        <v>636</v>
      </c>
      <c r="S175" s="154" t="str">
        <f t="shared" si="51"/>
        <v>Rakurai</v>
      </c>
      <c r="T175" s="154" t="s">
        <v>645</v>
      </c>
      <c r="U175" s="154" t="s">
        <v>796</v>
      </c>
      <c r="V175" s="154"/>
    </row>
    <row r="176" spans="1:22" s="158" customFormat="1" x14ac:dyDescent="0.3">
      <c r="A176" s="154" t="s">
        <v>775</v>
      </c>
      <c r="B176" s="155">
        <v>2</v>
      </c>
      <c r="C176" s="154">
        <v>102</v>
      </c>
      <c r="D176" s="156" t="str">
        <f t="shared" si="64"/>
        <v>Kata</v>
      </c>
      <c r="E176" s="156" t="str">
        <f t="shared" si="65"/>
        <v>Kata, -, 0-100 kg, Gyerek 2. (11-12</v>
      </c>
      <c r="F176" s="156" t="s">
        <v>526</v>
      </c>
      <c r="G176" s="157" t="str">
        <f t="shared" si="66"/>
        <v>9</v>
      </c>
      <c r="H176" s="156" t="str">
        <f t="shared" si="67"/>
        <v>16 fős egyenes kiesés</v>
      </c>
      <c r="I176" s="157" t="str">
        <f>"3"</f>
        <v>3</v>
      </c>
      <c r="J176" s="156" t="str">
        <f>"Barta-Gaál Adóra"</f>
        <v>Barta-Gaál Adóra</v>
      </c>
      <c r="K176" s="156" t="str">
        <f>"BHMSE"</f>
        <v>BHMSE</v>
      </c>
      <c r="L176" s="156" t="str">
        <f t="shared" si="48"/>
        <v>HUN</v>
      </c>
      <c r="M176" s="163">
        <v>3</v>
      </c>
      <c r="O176" s="154" t="s">
        <v>246</v>
      </c>
      <c r="P176" s="159">
        <v>46081</v>
      </c>
      <c r="Q176" s="154" t="str">
        <f t="shared" si="50"/>
        <v>Barta-Gaál Adóra - BHMSE</v>
      </c>
      <c r="R176" s="154" t="s">
        <v>636</v>
      </c>
      <c r="S176" s="154" t="str">
        <f t="shared" si="51"/>
        <v>BHMSE</v>
      </c>
      <c r="T176" s="154" t="s">
        <v>645</v>
      </c>
      <c r="U176" s="154" t="s">
        <v>796</v>
      </c>
      <c r="V176" s="154"/>
    </row>
    <row r="177" spans="1:22" s="158" customFormat="1" x14ac:dyDescent="0.3">
      <c r="A177" s="154" t="s">
        <v>775</v>
      </c>
      <c r="B177" s="155">
        <v>2</v>
      </c>
      <c r="C177" s="154">
        <v>103</v>
      </c>
      <c r="D177" s="156" t="str">
        <f t="shared" si="64"/>
        <v>Kata</v>
      </c>
      <c r="E177" s="156" t="str">
        <f t="shared" si="65"/>
        <v>Kata, -, 0-100 kg, Gyerek 2. (11-12</v>
      </c>
      <c r="F177" s="156" t="s">
        <v>526</v>
      </c>
      <c r="G177" s="157" t="str">
        <f t="shared" si="66"/>
        <v>9</v>
      </c>
      <c r="H177" s="156" t="str">
        <f t="shared" si="67"/>
        <v>16 fős egyenes kiesés</v>
      </c>
      <c r="I177" s="157" t="str">
        <f>"5"</f>
        <v>5</v>
      </c>
      <c r="J177" s="156" t="str">
        <f>"Falus Zsuzsanna"</f>
        <v>Falus Zsuzsanna</v>
      </c>
      <c r="K177" s="156" t="str">
        <f>"Rokku KKSE"</f>
        <v>Rokku KKSE</v>
      </c>
      <c r="L177" s="156" t="str">
        <f t="shared" si="48"/>
        <v>HUN</v>
      </c>
      <c r="M177" s="163">
        <v>0</v>
      </c>
      <c r="N177" s="158" t="s">
        <v>704</v>
      </c>
      <c r="O177" s="154" t="s">
        <v>246</v>
      </c>
      <c r="P177" s="159">
        <v>46081</v>
      </c>
      <c r="Q177" s="154" t="str">
        <f t="shared" si="50"/>
        <v>Falus Zsuzsanna - Rokku KKSE</v>
      </c>
      <c r="R177" s="154" t="s">
        <v>636</v>
      </c>
      <c r="S177" s="154" t="str">
        <f t="shared" si="51"/>
        <v>Rokku KKSE</v>
      </c>
      <c r="T177" s="154" t="s">
        <v>645</v>
      </c>
      <c r="U177" s="154" t="s">
        <v>796</v>
      </c>
      <c r="V177" s="154"/>
    </row>
    <row r="178" spans="1:22" s="158" customFormat="1" x14ac:dyDescent="0.3">
      <c r="A178" s="154" t="s">
        <v>775</v>
      </c>
      <c r="B178" s="155">
        <v>2</v>
      </c>
      <c r="C178" s="154">
        <v>104</v>
      </c>
      <c r="D178" s="156" t="str">
        <f t="shared" si="64"/>
        <v>Kata</v>
      </c>
      <c r="E178" s="156" t="str">
        <f t="shared" si="65"/>
        <v>Kata, -, 0-100 kg, Gyerek 2. (11-12</v>
      </c>
      <c r="F178" s="156" t="s">
        <v>526</v>
      </c>
      <c r="G178" s="157" t="str">
        <f t="shared" si="66"/>
        <v>9</v>
      </c>
      <c r="H178" s="156" t="str">
        <f t="shared" si="67"/>
        <v>16 fős egyenes kiesés</v>
      </c>
      <c r="I178" s="157" t="str">
        <f>"6"</f>
        <v>6</v>
      </c>
      <c r="J178" s="156" t="str">
        <f>"Gergácz Izabella"</f>
        <v>Gergácz Izabella</v>
      </c>
      <c r="K178" s="156" t="str">
        <f>"Beledi KÉSZ SE"</f>
        <v>Beledi KÉSZ SE</v>
      </c>
      <c r="L178" s="156" t="str">
        <f t="shared" si="48"/>
        <v>HUN</v>
      </c>
      <c r="M178" s="163">
        <v>0</v>
      </c>
      <c r="N178" s="158" t="s">
        <v>704</v>
      </c>
      <c r="O178" s="154" t="s">
        <v>246</v>
      </c>
      <c r="P178" s="159">
        <v>46081</v>
      </c>
      <c r="Q178" s="154" t="str">
        <f t="shared" si="50"/>
        <v>Gergácz Izabella - Beledi KÉSZ SE</v>
      </c>
      <c r="R178" s="154" t="s">
        <v>637</v>
      </c>
      <c r="S178" s="154" t="str">
        <f t="shared" si="51"/>
        <v>Beledi KÉSZ SE</v>
      </c>
      <c r="T178" s="154" t="s">
        <v>645</v>
      </c>
      <c r="U178" s="154" t="s">
        <v>796</v>
      </c>
      <c r="V178" s="154"/>
    </row>
    <row r="179" spans="1:22" s="158" customFormat="1" x14ac:dyDescent="0.3">
      <c r="A179" s="154" t="s">
        <v>775</v>
      </c>
      <c r="B179" s="155">
        <v>2</v>
      </c>
      <c r="C179" s="154">
        <v>105</v>
      </c>
      <c r="D179" s="156" t="str">
        <f t="shared" si="64"/>
        <v>Kata</v>
      </c>
      <c r="E179" s="156" t="str">
        <f t="shared" si="65"/>
        <v>Kata, -, 0-100 kg, Gyerek 2. (11-12</v>
      </c>
      <c r="F179" s="156" t="s">
        <v>526</v>
      </c>
      <c r="G179" s="157" t="str">
        <f t="shared" si="66"/>
        <v>9</v>
      </c>
      <c r="H179" s="156" t="str">
        <f t="shared" si="67"/>
        <v>16 fős egyenes kiesés</v>
      </c>
      <c r="I179" s="157" t="str">
        <f>"7-8"</f>
        <v>7-8</v>
      </c>
      <c r="J179" s="156" t="str">
        <f>"Spanjevic Frida"</f>
        <v>Spanjevic Frida</v>
      </c>
      <c r="K179" s="156" t="str">
        <f>"BHMSE"</f>
        <v>BHMSE</v>
      </c>
      <c r="L179" s="156" t="str">
        <f t="shared" si="48"/>
        <v>HUN</v>
      </c>
      <c r="M179" s="163">
        <v>0</v>
      </c>
      <c r="N179" s="158" t="s">
        <v>704</v>
      </c>
      <c r="O179" s="154" t="s">
        <v>246</v>
      </c>
      <c r="P179" s="159">
        <v>46081</v>
      </c>
      <c r="Q179" s="154" t="str">
        <f t="shared" si="50"/>
        <v>Spanjevic Frida - BHMSE</v>
      </c>
      <c r="R179" s="154" t="s">
        <v>636</v>
      </c>
      <c r="S179" s="154" t="str">
        <f t="shared" si="51"/>
        <v>BHMSE</v>
      </c>
      <c r="T179" s="154" t="s">
        <v>645</v>
      </c>
      <c r="U179" s="154" t="s">
        <v>796</v>
      </c>
      <c r="V179" s="154"/>
    </row>
    <row r="180" spans="1:22" s="158" customFormat="1" x14ac:dyDescent="0.3">
      <c r="A180" s="154" t="s">
        <v>775</v>
      </c>
      <c r="B180" s="155">
        <v>2</v>
      </c>
      <c r="C180" s="154">
        <v>106</v>
      </c>
      <c r="D180" s="156" t="str">
        <f t="shared" si="64"/>
        <v>Kata</v>
      </c>
      <c r="E180" s="156" t="str">
        <f t="shared" si="65"/>
        <v>Kata, -, 0-100 kg, Gyerek 2. (11-12</v>
      </c>
      <c r="F180" s="156" t="s">
        <v>526</v>
      </c>
      <c r="G180" s="157" t="str">
        <f t="shared" si="66"/>
        <v>9</v>
      </c>
      <c r="H180" s="156" t="str">
        <f t="shared" si="67"/>
        <v>16 fős egyenes kiesés</v>
      </c>
      <c r="I180" s="157" t="str">
        <f>"7-8"</f>
        <v>7-8</v>
      </c>
      <c r="J180" s="156" t="str">
        <f>"Rabi-Szita Emese"</f>
        <v>Rabi-Szita Emese</v>
      </c>
      <c r="K180" s="156" t="str">
        <f>"Meiyo dojo"</f>
        <v>Meiyo dojo</v>
      </c>
      <c r="L180" s="156" t="str">
        <f t="shared" si="48"/>
        <v>HUN</v>
      </c>
      <c r="M180" s="163">
        <v>0</v>
      </c>
      <c r="N180" s="158" t="s">
        <v>704</v>
      </c>
      <c r="O180" s="154" t="s">
        <v>246</v>
      </c>
      <c r="P180" s="159">
        <v>46081</v>
      </c>
      <c r="Q180" s="154" t="str">
        <f t="shared" si="50"/>
        <v>Rabi-Szita Emese - Meiyo dojo</v>
      </c>
      <c r="R180" s="154" t="s">
        <v>636</v>
      </c>
      <c r="S180" s="154" t="str">
        <f t="shared" si="51"/>
        <v>Meiyo dojo</v>
      </c>
      <c r="T180" s="154" t="s">
        <v>645</v>
      </c>
      <c r="U180" s="154" t="s">
        <v>796</v>
      </c>
      <c r="V180" s="154"/>
    </row>
    <row r="181" spans="1:22" s="158" customFormat="1" x14ac:dyDescent="0.3">
      <c r="A181" s="154" t="s">
        <v>775</v>
      </c>
      <c r="B181" s="155">
        <v>2</v>
      </c>
      <c r="C181" s="154">
        <v>107</v>
      </c>
      <c r="D181" s="156" t="str">
        <f t="shared" si="64"/>
        <v>Kata</v>
      </c>
      <c r="E181" s="156" t="str">
        <f t="shared" si="65"/>
        <v>Kata, -, 0-100 kg, Gyerek 2. (11-12</v>
      </c>
      <c r="F181" s="156" t="s">
        <v>526</v>
      </c>
      <c r="G181" s="157" t="str">
        <f t="shared" si="66"/>
        <v>9</v>
      </c>
      <c r="H181" s="156" t="str">
        <f t="shared" si="67"/>
        <v>16 fős egyenes kiesés</v>
      </c>
      <c r="I181" s="157" t="str">
        <f>"11-16"</f>
        <v>11-16</v>
      </c>
      <c r="J181" s="156" t="str">
        <f>"Ükös Júlia"</f>
        <v>Ükös Júlia</v>
      </c>
      <c r="K181" s="156" t="str">
        <f>"Katana SE"</f>
        <v>Katana SE</v>
      </c>
      <c r="L181" s="156" t="str">
        <f t="shared" si="48"/>
        <v>HUN</v>
      </c>
      <c r="M181" s="163">
        <v>0</v>
      </c>
      <c r="O181" s="154" t="s">
        <v>246</v>
      </c>
      <c r="P181" s="159">
        <v>46081</v>
      </c>
      <c r="Q181" s="154" t="str">
        <f t="shared" si="50"/>
        <v>Ükös Júlia - Katana SE</v>
      </c>
      <c r="R181" s="154" t="s">
        <v>636</v>
      </c>
      <c r="S181" s="154" t="str">
        <f t="shared" si="51"/>
        <v>Katana SE</v>
      </c>
      <c r="T181" s="154" t="s">
        <v>645</v>
      </c>
      <c r="U181" s="154" t="s">
        <v>796</v>
      </c>
      <c r="V181" s="154"/>
    </row>
    <row r="182" spans="1:22" s="158" customFormat="1" x14ac:dyDescent="0.3">
      <c r="A182" s="154" t="s">
        <v>775</v>
      </c>
      <c r="B182" s="155">
        <v>2</v>
      </c>
      <c r="C182" s="154">
        <v>108</v>
      </c>
      <c r="D182" s="156" t="str">
        <f t="shared" ref="D182:D213" si="68">"Kumite"</f>
        <v>Kumite</v>
      </c>
      <c r="E182" s="156" t="str">
        <f>"Kumite, -, 0-40 kg, Serdülő (13-14"</f>
        <v>Kumite, -, 0-40 kg, Serdülő (13-14</v>
      </c>
      <c r="F182" s="156" t="s">
        <v>529</v>
      </c>
      <c r="G182" s="157" t="str">
        <f>"2"</f>
        <v>2</v>
      </c>
      <c r="H182" s="156" t="str">
        <f>"2 fős egyenes kiesés"</f>
        <v>2 fős egyenes kiesés</v>
      </c>
      <c r="I182" s="157" t="str">
        <f>"1"</f>
        <v>1</v>
      </c>
      <c r="J182" s="156" t="str">
        <f>"Sövér Levente"</f>
        <v>Sövér Levente</v>
      </c>
      <c r="K182" s="156" t="str">
        <f>"BHMSE"</f>
        <v>BHMSE</v>
      </c>
      <c r="L182" s="156" t="str">
        <f t="shared" si="48"/>
        <v>HUN</v>
      </c>
      <c r="M182" s="163">
        <v>3</v>
      </c>
      <c r="O182" s="154" t="s">
        <v>246</v>
      </c>
      <c r="P182" s="159">
        <v>46081</v>
      </c>
      <c r="Q182" s="154" t="str">
        <f t="shared" si="50"/>
        <v>Sövér Levente - BHMSE</v>
      </c>
      <c r="R182" s="154" t="s">
        <v>636</v>
      </c>
      <c r="S182" s="154" t="str">
        <f t="shared" si="51"/>
        <v>BHMSE</v>
      </c>
      <c r="T182" s="154" t="s">
        <v>645</v>
      </c>
      <c r="U182" s="154" t="s">
        <v>797</v>
      </c>
      <c r="V182" s="154"/>
    </row>
    <row r="183" spans="1:22" s="158" customFormat="1" x14ac:dyDescent="0.3">
      <c r="A183" s="154" t="s">
        <v>775</v>
      </c>
      <c r="B183" s="155">
        <v>2</v>
      </c>
      <c r="C183" s="154">
        <v>109</v>
      </c>
      <c r="D183" s="156" t="str">
        <f t="shared" si="68"/>
        <v>Kumite</v>
      </c>
      <c r="E183" s="156" t="str">
        <f>"Kumite, -, 0-40 kg, Serdülő (13-14"</f>
        <v>Kumite, -, 0-40 kg, Serdülő (13-14</v>
      </c>
      <c r="F183" s="156" t="s">
        <v>529</v>
      </c>
      <c r="G183" s="157" t="str">
        <f>"2"</f>
        <v>2</v>
      </c>
      <c r="H183" s="156" t="str">
        <f>"2 fős egyenes kiesés"</f>
        <v>2 fős egyenes kiesés</v>
      </c>
      <c r="I183" s="157" t="str">
        <f>"2"</f>
        <v>2</v>
      </c>
      <c r="J183" s="156" t="str">
        <f>"Nyíri György"</f>
        <v>Nyíri György</v>
      </c>
      <c r="K183" s="156" t="str">
        <f>"Siófok KSE"</f>
        <v>Siófok KSE</v>
      </c>
      <c r="L183" s="156" t="str">
        <f t="shared" si="48"/>
        <v>HUN</v>
      </c>
      <c r="M183" s="163">
        <v>0</v>
      </c>
      <c r="O183" s="154" t="s">
        <v>246</v>
      </c>
      <c r="P183" s="159">
        <v>46081</v>
      </c>
      <c r="Q183" s="154" t="str">
        <f t="shared" si="50"/>
        <v>Nyíri György - Siófok KSE</v>
      </c>
      <c r="R183" s="154" t="s">
        <v>636</v>
      </c>
      <c r="S183" s="154" t="str">
        <f t="shared" si="51"/>
        <v>Siófok KSE</v>
      </c>
      <c r="T183" s="154" t="s">
        <v>645</v>
      </c>
      <c r="U183" s="154" t="s">
        <v>797</v>
      </c>
      <c r="V183" s="154"/>
    </row>
    <row r="184" spans="1:22" s="158" customFormat="1" x14ac:dyDescent="0.3">
      <c r="A184" s="154" t="s">
        <v>775</v>
      </c>
      <c r="B184" s="155">
        <v>2</v>
      </c>
      <c r="C184" s="154">
        <v>110</v>
      </c>
      <c r="D184" s="156" t="str">
        <f t="shared" si="68"/>
        <v>Kumite</v>
      </c>
      <c r="E184" s="156" t="str">
        <f>"Kumite, -, 40-45 kg, Serdülő (13-14"</f>
        <v>Kumite, -, 40-45 kg, Serdülő (13-14</v>
      </c>
      <c r="F184" s="156" t="s">
        <v>530</v>
      </c>
      <c r="G184" s="157" t="str">
        <f>"5"</f>
        <v>5</v>
      </c>
      <c r="H184" s="156" t="str">
        <f>"5 fős körmérkőzés"</f>
        <v>5 fős körmérkőzés</v>
      </c>
      <c r="I184" s="157" t="str">
        <f>"1"</f>
        <v>1</v>
      </c>
      <c r="J184" s="156" t="str">
        <f>"Bárkovics Áron"</f>
        <v>Bárkovics Áron</v>
      </c>
      <c r="K184" s="156" t="str">
        <f>"KKE - Spartacus"</f>
        <v>KKE - Spartacus</v>
      </c>
      <c r="L184" s="156" t="str">
        <f t="shared" si="48"/>
        <v>HUN</v>
      </c>
      <c r="M184" s="163">
        <v>8</v>
      </c>
      <c r="O184" s="154" t="s">
        <v>246</v>
      </c>
      <c r="P184" s="159">
        <v>46081</v>
      </c>
      <c r="Q184" s="154" t="str">
        <f t="shared" si="50"/>
        <v>Bárkovics Áron - KKE - Spartacus</v>
      </c>
      <c r="R184" s="154" t="s">
        <v>636</v>
      </c>
      <c r="S184" s="154" t="str">
        <f t="shared" si="51"/>
        <v>KKE - Spartacus</v>
      </c>
      <c r="T184" s="154" t="s">
        <v>645</v>
      </c>
      <c r="U184" s="154" t="s">
        <v>797</v>
      </c>
      <c r="V184" s="154"/>
    </row>
    <row r="185" spans="1:22" s="158" customFormat="1" x14ac:dyDescent="0.3">
      <c r="A185" s="154" t="s">
        <v>775</v>
      </c>
      <c r="B185" s="155">
        <v>2</v>
      </c>
      <c r="C185" s="154">
        <v>111</v>
      </c>
      <c r="D185" s="156" t="str">
        <f t="shared" si="68"/>
        <v>Kumite</v>
      </c>
      <c r="E185" s="156" t="str">
        <f>"Kumite, -, 40-45 kg, Serdülő (13-14"</f>
        <v>Kumite, -, 40-45 kg, Serdülő (13-14</v>
      </c>
      <c r="F185" s="156" t="s">
        <v>530</v>
      </c>
      <c r="G185" s="157" t="str">
        <f>"5"</f>
        <v>5</v>
      </c>
      <c r="H185" s="156" t="str">
        <f>"5 fős körmérkőzés"</f>
        <v>5 fős körmérkőzés</v>
      </c>
      <c r="I185" s="157" t="str">
        <f>"2"</f>
        <v>2</v>
      </c>
      <c r="J185" s="156" t="str">
        <f>"Hidegh Flórián"</f>
        <v>Hidegh Flórián</v>
      </c>
      <c r="K185" s="156" t="str">
        <f>"Rakurai"</f>
        <v>Rakurai</v>
      </c>
      <c r="L185" s="156" t="str">
        <f t="shared" si="48"/>
        <v>HUN</v>
      </c>
      <c r="M185" s="163">
        <v>6</v>
      </c>
      <c r="O185" s="154" t="s">
        <v>246</v>
      </c>
      <c r="P185" s="159">
        <v>46081</v>
      </c>
      <c r="Q185" s="154" t="str">
        <f t="shared" si="50"/>
        <v>Hidegh Flórián - Rakurai</v>
      </c>
      <c r="R185" s="154" t="s">
        <v>636</v>
      </c>
      <c r="S185" s="154" t="str">
        <f t="shared" si="51"/>
        <v>Rakurai</v>
      </c>
      <c r="T185" s="154" t="s">
        <v>645</v>
      </c>
      <c r="U185" s="154" t="s">
        <v>797</v>
      </c>
      <c r="V185" s="154"/>
    </row>
    <row r="186" spans="1:22" s="158" customFormat="1" x14ac:dyDescent="0.3">
      <c r="A186" s="154" t="s">
        <v>775</v>
      </c>
      <c r="B186" s="155">
        <v>2</v>
      </c>
      <c r="C186" s="154">
        <v>112</v>
      </c>
      <c r="D186" s="156" t="str">
        <f t="shared" si="68"/>
        <v>Kumite</v>
      </c>
      <c r="E186" s="156" t="str">
        <f>"Kumite, -, 40-45 kg, Serdülő (13-14"</f>
        <v>Kumite, -, 40-45 kg, Serdülő (13-14</v>
      </c>
      <c r="F186" s="156" t="s">
        <v>530</v>
      </c>
      <c r="G186" s="157" t="str">
        <f>"5"</f>
        <v>5</v>
      </c>
      <c r="H186" s="156" t="str">
        <f>"5 fős körmérkőzés"</f>
        <v>5 fős körmérkőzés</v>
      </c>
      <c r="I186" s="157" t="str">
        <f>"3"</f>
        <v>3</v>
      </c>
      <c r="J186" s="156" t="str">
        <f>"Béres Bence"</f>
        <v>Béres Bence</v>
      </c>
      <c r="K186" s="156" t="str">
        <f>"VTSE"</f>
        <v>VTSE</v>
      </c>
      <c r="L186" s="156" t="str">
        <f t="shared" si="48"/>
        <v>HUN</v>
      </c>
      <c r="M186" s="163">
        <v>4</v>
      </c>
      <c r="O186" s="154" t="s">
        <v>246</v>
      </c>
      <c r="P186" s="159">
        <v>46081</v>
      </c>
      <c r="Q186" s="154" t="str">
        <f t="shared" ref="Q186" si="69">J186&amp;" - "&amp;K186</f>
        <v>Béres Bence - VTSE</v>
      </c>
      <c r="R186" s="154" t="s">
        <v>637</v>
      </c>
      <c r="S186" s="154" t="str">
        <f t="shared" ref="S186" si="70">K186</f>
        <v>VTSE</v>
      </c>
      <c r="T186" s="154" t="s">
        <v>645</v>
      </c>
      <c r="U186" s="154" t="s">
        <v>797</v>
      </c>
      <c r="V186" s="154"/>
    </row>
    <row r="187" spans="1:22" s="158" customFormat="1" x14ac:dyDescent="0.3">
      <c r="A187" s="154" t="s">
        <v>775</v>
      </c>
      <c r="B187" s="155">
        <v>2</v>
      </c>
      <c r="C187" s="154">
        <v>112</v>
      </c>
      <c r="D187" s="156" t="str">
        <f t="shared" si="68"/>
        <v>Kumite</v>
      </c>
      <c r="E187" s="156" t="str">
        <f>"Kumite, -, 40-45 kg, Serdülő (13-14"</f>
        <v>Kumite, -, 40-45 kg, Serdülő (13-14</v>
      </c>
      <c r="F187" s="156" t="s">
        <v>530</v>
      </c>
      <c r="G187" s="157" t="str">
        <f>"5"</f>
        <v>5</v>
      </c>
      <c r="H187" s="156" t="str">
        <f>"5 fős körmérkőzés"</f>
        <v>5 fős körmérkőzés</v>
      </c>
      <c r="I187" s="157">
        <v>4</v>
      </c>
      <c r="J187" s="156" t="s">
        <v>787</v>
      </c>
      <c r="K187" s="156" t="s">
        <v>26</v>
      </c>
      <c r="L187" s="156" t="str">
        <f t="shared" si="48"/>
        <v>HUN</v>
      </c>
      <c r="M187" s="163">
        <v>3</v>
      </c>
      <c r="O187" s="154" t="s">
        <v>246</v>
      </c>
      <c r="P187" s="159">
        <v>46081</v>
      </c>
      <c r="Q187" s="154" t="str">
        <f t="shared" si="50"/>
        <v>Jankovics Marcell - Siófok KSE</v>
      </c>
      <c r="R187" s="154" t="s">
        <v>636</v>
      </c>
      <c r="S187" s="154" t="str">
        <f t="shared" si="51"/>
        <v>Siófok KSE</v>
      </c>
      <c r="T187" s="154" t="s">
        <v>645</v>
      </c>
      <c r="U187" s="154" t="s">
        <v>797</v>
      </c>
      <c r="V187" s="154"/>
    </row>
    <row r="188" spans="1:22" s="158" customFormat="1" x14ac:dyDescent="0.3">
      <c r="A188" s="154" t="s">
        <v>775</v>
      </c>
      <c r="B188" s="155">
        <v>2</v>
      </c>
      <c r="C188" s="154">
        <v>113</v>
      </c>
      <c r="D188" s="156" t="str">
        <f t="shared" si="68"/>
        <v>Kumite</v>
      </c>
      <c r="E188" s="156" t="str">
        <f t="shared" ref="E188:E194" si="71">"Kumite, -, 45-50 kg, Serdülő (13-14"</f>
        <v>Kumite, -, 45-50 kg, Serdülő (13-14</v>
      </c>
      <c r="F188" s="156" t="s">
        <v>531</v>
      </c>
      <c r="G188" s="157" t="str">
        <f t="shared" ref="G188:G201" si="72">"7"</f>
        <v>7</v>
      </c>
      <c r="H188" s="156" t="str">
        <f t="shared" ref="H188:H194" si="73">"8 fős egyenes kiesés"</f>
        <v>8 fős egyenes kiesés</v>
      </c>
      <c r="I188" s="157" t="str">
        <f>"1"</f>
        <v>1</v>
      </c>
      <c r="J188" s="156" t="str">
        <f>"Antal Dániel Kristóf"</f>
        <v>Antal Dániel Kristóf</v>
      </c>
      <c r="K188" s="156" t="str">
        <f>"KSE Tarján"</f>
        <v>KSE Tarján</v>
      </c>
      <c r="L188" s="156" t="str">
        <f t="shared" si="48"/>
        <v>HUN</v>
      </c>
      <c r="M188" s="163">
        <v>6</v>
      </c>
      <c r="O188" s="154" t="s">
        <v>246</v>
      </c>
      <c r="P188" s="159">
        <v>46081</v>
      </c>
      <c r="Q188" s="154" t="str">
        <f t="shared" si="50"/>
        <v>Antal Dániel Kristóf - KSE Tarján</v>
      </c>
      <c r="R188" s="154" t="s">
        <v>636</v>
      </c>
      <c r="S188" s="154" t="str">
        <f t="shared" si="51"/>
        <v>KSE Tarján</v>
      </c>
      <c r="T188" s="154" t="s">
        <v>645</v>
      </c>
      <c r="U188" s="154" t="s">
        <v>797</v>
      </c>
      <c r="V188" s="154"/>
    </row>
    <row r="189" spans="1:22" s="158" customFormat="1" x14ac:dyDescent="0.3">
      <c r="A189" s="154" t="s">
        <v>775</v>
      </c>
      <c r="B189" s="155">
        <v>2</v>
      </c>
      <c r="C189" s="154">
        <v>114</v>
      </c>
      <c r="D189" s="156" t="str">
        <f t="shared" si="68"/>
        <v>Kumite</v>
      </c>
      <c r="E189" s="156" t="str">
        <f t="shared" si="71"/>
        <v>Kumite, -, 45-50 kg, Serdülő (13-14</v>
      </c>
      <c r="F189" s="156" t="s">
        <v>531</v>
      </c>
      <c r="G189" s="157" t="str">
        <f t="shared" si="72"/>
        <v>7</v>
      </c>
      <c r="H189" s="156" t="str">
        <f t="shared" si="73"/>
        <v>8 fős egyenes kiesés</v>
      </c>
      <c r="I189" s="157" t="str">
        <f>"2"</f>
        <v>2</v>
      </c>
      <c r="J189" s="156" t="str">
        <f>"Tóth Kornél"</f>
        <v>Tóth Kornél</v>
      </c>
      <c r="K189" s="156" t="str">
        <f>"KKE - Spartacus"</f>
        <v>KKE - Spartacus</v>
      </c>
      <c r="L189" s="156" t="str">
        <f t="shared" si="48"/>
        <v>HUN</v>
      </c>
      <c r="M189" s="163">
        <v>5</v>
      </c>
      <c r="O189" s="154" t="s">
        <v>246</v>
      </c>
      <c r="P189" s="159">
        <v>46081</v>
      </c>
      <c r="Q189" s="154" t="str">
        <f t="shared" si="50"/>
        <v>Tóth Kornél - KKE - Spartacus</v>
      </c>
      <c r="R189" s="154" t="s">
        <v>636</v>
      </c>
      <c r="S189" s="154" t="str">
        <f t="shared" si="51"/>
        <v>KKE - Spartacus</v>
      </c>
      <c r="T189" s="154" t="s">
        <v>645</v>
      </c>
      <c r="U189" s="154" t="s">
        <v>797</v>
      </c>
      <c r="V189" s="154"/>
    </row>
    <row r="190" spans="1:22" s="158" customFormat="1" x14ac:dyDescent="0.3">
      <c r="A190" s="154" t="s">
        <v>775</v>
      </c>
      <c r="B190" s="155">
        <v>2</v>
      </c>
      <c r="C190" s="154">
        <v>115</v>
      </c>
      <c r="D190" s="156" t="str">
        <f t="shared" si="68"/>
        <v>Kumite</v>
      </c>
      <c r="E190" s="156" t="str">
        <f t="shared" si="71"/>
        <v>Kumite, -, 45-50 kg, Serdülő (13-14</v>
      </c>
      <c r="F190" s="156" t="s">
        <v>531</v>
      </c>
      <c r="G190" s="157" t="str">
        <f t="shared" si="72"/>
        <v>7</v>
      </c>
      <c r="H190" s="156" t="str">
        <f t="shared" si="73"/>
        <v>8 fős egyenes kiesés</v>
      </c>
      <c r="I190" s="157" t="str">
        <f>"3"</f>
        <v>3</v>
      </c>
      <c r="J190" s="156" t="str">
        <f>"Gattyán Máté Barna"</f>
        <v>Gattyán Máté Barna</v>
      </c>
      <c r="K190" s="156" t="str">
        <f>"BHMSE"</f>
        <v>BHMSE</v>
      </c>
      <c r="L190" s="156" t="str">
        <f t="shared" si="48"/>
        <v>HUN</v>
      </c>
      <c r="M190" s="163">
        <v>0</v>
      </c>
      <c r="N190" s="158" t="s">
        <v>704</v>
      </c>
      <c r="O190" s="154" t="s">
        <v>246</v>
      </c>
      <c r="P190" s="159">
        <v>46081</v>
      </c>
      <c r="Q190" s="154" t="str">
        <f t="shared" si="50"/>
        <v>Gattyán Máté Barna - BHMSE</v>
      </c>
      <c r="R190" s="154" t="s">
        <v>636</v>
      </c>
      <c r="S190" s="154" t="str">
        <f t="shared" si="51"/>
        <v>BHMSE</v>
      </c>
      <c r="T190" s="154" t="s">
        <v>645</v>
      </c>
      <c r="U190" s="154" t="s">
        <v>797</v>
      </c>
      <c r="V190" s="154"/>
    </row>
    <row r="191" spans="1:22" s="158" customFormat="1" x14ac:dyDescent="0.3">
      <c r="A191" s="154" t="s">
        <v>775</v>
      </c>
      <c r="B191" s="155">
        <v>2</v>
      </c>
      <c r="C191" s="154">
        <v>116</v>
      </c>
      <c r="D191" s="156" t="str">
        <f t="shared" si="68"/>
        <v>Kumite</v>
      </c>
      <c r="E191" s="156" t="str">
        <f t="shared" si="71"/>
        <v>Kumite, -, 45-50 kg, Serdülő (13-14</v>
      </c>
      <c r="F191" s="156" t="s">
        <v>531</v>
      </c>
      <c r="G191" s="157" t="str">
        <f t="shared" si="72"/>
        <v>7</v>
      </c>
      <c r="H191" s="156" t="str">
        <f t="shared" si="73"/>
        <v>8 fős egyenes kiesés</v>
      </c>
      <c r="I191" s="157" t="str">
        <f>"3"</f>
        <v>3</v>
      </c>
      <c r="J191" s="156" t="str">
        <f>"Kámán Márton"</f>
        <v>Kámán Márton</v>
      </c>
      <c r="K191" s="156" t="str">
        <f>"Rakurai"</f>
        <v>Rakurai</v>
      </c>
      <c r="L191" s="156" t="str">
        <f t="shared" si="48"/>
        <v>HUN</v>
      </c>
      <c r="M191" s="163">
        <v>3</v>
      </c>
      <c r="O191" s="154" t="s">
        <v>246</v>
      </c>
      <c r="P191" s="159">
        <v>46081</v>
      </c>
      <c r="Q191" s="154" t="str">
        <f t="shared" si="50"/>
        <v>Kámán Márton - Rakurai</v>
      </c>
      <c r="R191" s="154" t="s">
        <v>636</v>
      </c>
      <c r="S191" s="154" t="str">
        <f t="shared" si="51"/>
        <v>Rakurai</v>
      </c>
      <c r="T191" s="154" t="s">
        <v>645</v>
      </c>
      <c r="U191" s="154" t="s">
        <v>797</v>
      </c>
      <c r="V191" s="154"/>
    </row>
    <row r="192" spans="1:22" s="158" customFormat="1" x14ac:dyDescent="0.3">
      <c r="A192" s="154" t="s">
        <v>775</v>
      </c>
      <c r="B192" s="155">
        <v>2</v>
      </c>
      <c r="C192" s="154">
        <v>117</v>
      </c>
      <c r="D192" s="156" t="str">
        <f t="shared" si="68"/>
        <v>Kumite</v>
      </c>
      <c r="E192" s="156" t="str">
        <f t="shared" si="71"/>
        <v>Kumite, -, 45-50 kg, Serdülő (13-14</v>
      </c>
      <c r="F192" s="156" t="s">
        <v>531</v>
      </c>
      <c r="G192" s="157" t="str">
        <f t="shared" si="72"/>
        <v>7</v>
      </c>
      <c r="H192" s="156" t="str">
        <f t="shared" si="73"/>
        <v>8 fős egyenes kiesés</v>
      </c>
      <c r="I192" s="157" t="str">
        <f>"5"</f>
        <v>5</v>
      </c>
      <c r="J192" s="156" t="str">
        <f>"Tarjányi Zétény Ferenc"</f>
        <v>Tarjányi Zétény Ferenc</v>
      </c>
      <c r="K192" s="156" t="str">
        <f>"ARSC"</f>
        <v>ARSC</v>
      </c>
      <c r="L192" s="156" t="str">
        <f t="shared" si="48"/>
        <v>HUN</v>
      </c>
      <c r="M192" s="163">
        <v>0</v>
      </c>
      <c r="O192" s="154" t="s">
        <v>246</v>
      </c>
      <c r="P192" s="159">
        <v>46081</v>
      </c>
      <c r="Q192" s="154" t="str">
        <f t="shared" si="50"/>
        <v>Tarjányi Zétény Ferenc - ARSC</v>
      </c>
      <c r="R192" s="154" t="s">
        <v>636</v>
      </c>
      <c r="S192" s="154" t="str">
        <f t="shared" si="51"/>
        <v>ARSC</v>
      </c>
      <c r="T192" s="154" t="s">
        <v>645</v>
      </c>
      <c r="U192" s="154" t="s">
        <v>797</v>
      </c>
      <c r="V192" s="154"/>
    </row>
    <row r="193" spans="1:22" s="158" customFormat="1" x14ac:dyDescent="0.3">
      <c r="A193" s="154" t="s">
        <v>775</v>
      </c>
      <c r="B193" s="155">
        <v>2</v>
      </c>
      <c r="C193" s="154">
        <v>118</v>
      </c>
      <c r="D193" s="156" t="str">
        <f t="shared" si="68"/>
        <v>Kumite</v>
      </c>
      <c r="E193" s="156" t="str">
        <f t="shared" si="71"/>
        <v>Kumite, -, 45-50 kg, Serdülő (13-14</v>
      </c>
      <c r="F193" s="156" t="s">
        <v>531</v>
      </c>
      <c r="G193" s="157" t="str">
        <f t="shared" si="72"/>
        <v>7</v>
      </c>
      <c r="H193" s="156" t="str">
        <f t="shared" si="73"/>
        <v>8 fős egyenes kiesés</v>
      </c>
      <c r="I193" s="157" t="str">
        <f>"6"</f>
        <v>6</v>
      </c>
      <c r="J193" s="156" t="str">
        <f>"Tóth Benedek"</f>
        <v>Tóth Benedek</v>
      </c>
      <c r="K193" s="156" t="str">
        <f>"Ichiro Dojo"</f>
        <v>Ichiro Dojo</v>
      </c>
      <c r="L193" s="156" t="str">
        <f t="shared" si="48"/>
        <v>HUN</v>
      </c>
      <c r="M193" s="163">
        <v>0</v>
      </c>
      <c r="O193" s="154" t="s">
        <v>246</v>
      </c>
      <c r="P193" s="159">
        <v>46081</v>
      </c>
      <c r="Q193" s="154" t="str">
        <f t="shared" si="50"/>
        <v>Tóth Benedek - Ichiro Dojo</v>
      </c>
      <c r="R193" s="154" t="s">
        <v>637</v>
      </c>
      <c r="S193" s="154" t="str">
        <f t="shared" si="51"/>
        <v>Ichiro Dojo</v>
      </c>
      <c r="T193" s="154" t="s">
        <v>645</v>
      </c>
      <c r="U193" s="154" t="s">
        <v>797</v>
      </c>
      <c r="V193" s="154"/>
    </row>
    <row r="194" spans="1:22" s="158" customFormat="1" x14ac:dyDescent="0.3">
      <c r="A194" s="154" t="s">
        <v>775</v>
      </c>
      <c r="B194" s="155">
        <v>2</v>
      </c>
      <c r="C194" s="154">
        <v>119</v>
      </c>
      <c r="D194" s="156" t="str">
        <f t="shared" si="68"/>
        <v>Kumite</v>
      </c>
      <c r="E194" s="156" t="str">
        <f t="shared" si="71"/>
        <v>Kumite, -, 45-50 kg, Serdülő (13-14</v>
      </c>
      <c r="F194" s="156" t="s">
        <v>531</v>
      </c>
      <c r="G194" s="157" t="str">
        <f t="shared" si="72"/>
        <v>7</v>
      </c>
      <c r="H194" s="156" t="str">
        <f t="shared" si="73"/>
        <v>8 fős egyenes kiesés</v>
      </c>
      <c r="I194" s="157" t="str">
        <f>"7-8"</f>
        <v>7-8</v>
      </c>
      <c r="J194" s="156" t="str">
        <f>"Halász Zente"</f>
        <v>Halász Zente</v>
      </c>
      <c r="K194" s="156" t="str">
        <f>"Griff SE"</f>
        <v>Griff SE</v>
      </c>
      <c r="L194" s="156" t="str">
        <f t="shared" ref="L194:L258" si="74">"HUN"</f>
        <v>HUN</v>
      </c>
      <c r="M194" s="163">
        <v>0</v>
      </c>
      <c r="O194" s="154" t="s">
        <v>246</v>
      </c>
      <c r="P194" s="159">
        <v>46081</v>
      </c>
      <c r="Q194" s="154" t="str">
        <f t="shared" si="50"/>
        <v>Halász Zente - Griff SE</v>
      </c>
      <c r="R194" s="154" t="s">
        <v>636</v>
      </c>
      <c r="S194" s="154" t="str">
        <f t="shared" si="51"/>
        <v>Griff SE</v>
      </c>
      <c r="T194" s="154" t="s">
        <v>645</v>
      </c>
      <c r="U194" s="154" t="s">
        <v>797</v>
      </c>
      <c r="V194" s="154"/>
    </row>
    <row r="195" spans="1:22" s="158" customFormat="1" x14ac:dyDescent="0.3">
      <c r="A195" s="154" t="s">
        <v>775</v>
      </c>
      <c r="B195" s="155">
        <v>2</v>
      </c>
      <c r="C195" s="154">
        <v>120</v>
      </c>
      <c r="D195" s="156" t="str">
        <f t="shared" si="68"/>
        <v>Kumite</v>
      </c>
      <c r="E195" s="156" t="str">
        <f t="shared" ref="E195:E201" si="75">"Kumite, -, 50-60 kg, Serdülő (13-14"</f>
        <v>Kumite, -, 50-60 kg, Serdülő (13-14</v>
      </c>
      <c r="F195" s="156" t="s">
        <v>532</v>
      </c>
      <c r="G195" s="157" t="str">
        <f t="shared" si="72"/>
        <v>7</v>
      </c>
      <c r="H195" s="156" t="str">
        <f t="shared" ref="H195:H201" si="76">"8 fős egyenes kiesés + 3. hely"</f>
        <v>8 fős egyenes kiesés + 3. hely</v>
      </c>
      <c r="I195" s="157" t="str">
        <f>"1"</f>
        <v>1</v>
      </c>
      <c r="J195" s="156" t="str">
        <f>"Ferenczhalmy Félix"</f>
        <v>Ferenczhalmy Félix</v>
      </c>
      <c r="K195" s="156" t="str">
        <f>"BHMSE"</f>
        <v>BHMSE</v>
      </c>
      <c r="L195" s="156" t="str">
        <f t="shared" si="74"/>
        <v>HUN</v>
      </c>
      <c r="M195" s="163">
        <v>6</v>
      </c>
      <c r="O195" s="154" t="s">
        <v>246</v>
      </c>
      <c r="P195" s="159">
        <v>46081</v>
      </c>
      <c r="Q195" s="154" t="str">
        <f t="shared" si="50"/>
        <v>Ferenczhalmy Félix - BHMSE</v>
      </c>
      <c r="R195" s="154" t="s">
        <v>636</v>
      </c>
      <c r="S195" s="154" t="str">
        <f t="shared" si="51"/>
        <v>BHMSE</v>
      </c>
      <c r="T195" s="154" t="s">
        <v>645</v>
      </c>
      <c r="U195" s="154" t="s">
        <v>797</v>
      </c>
      <c r="V195" s="154"/>
    </row>
    <row r="196" spans="1:22" s="158" customFormat="1" x14ac:dyDescent="0.3">
      <c r="A196" s="154" t="s">
        <v>775</v>
      </c>
      <c r="B196" s="155">
        <v>2</v>
      </c>
      <c r="C196" s="154">
        <v>121</v>
      </c>
      <c r="D196" s="156" t="str">
        <f t="shared" si="68"/>
        <v>Kumite</v>
      </c>
      <c r="E196" s="156" t="str">
        <f t="shared" si="75"/>
        <v>Kumite, -, 50-60 kg, Serdülő (13-14</v>
      </c>
      <c r="F196" s="156" t="s">
        <v>532</v>
      </c>
      <c r="G196" s="157" t="str">
        <f t="shared" si="72"/>
        <v>7</v>
      </c>
      <c r="H196" s="156" t="str">
        <f t="shared" si="76"/>
        <v>8 fős egyenes kiesés + 3. hely</v>
      </c>
      <c r="I196" s="157" t="str">
        <f>"2"</f>
        <v>2</v>
      </c>
      <c r="J196" s="156" t="str">
        <f>"Viszugyel Bálint"</f>
        <v>Viszugyel Bálint</v>
      </c>
      <c r="K196" s="156" t="str">
        <f>"VTSE"</f>
        <v>VTSE</v>
      </c>
      <c r="L196" s="156" t="str">
        <f t="shared" si="74"/>
        <v>HUN</v>
      </c>
      <c r="M196" s="163">
        <v>5</v>
      </c>
      <c r="O196" s="154" t="s">
        <v>246</v>
      </c>
      <c r="P196" s="159">
        <v>46081</v>
      </c>
      <c r="Q196" s="154" t="str">
        <f t="shared" si="50"/>
        <v>Viszugyel Bálint - VTSE</v>
      </c>
      <c r="R196" s="154" t="s">
        <v>637</v>
      </c>
      <c r="S196" s="154" t="str">
        <f t="shared" si="51"/>
        <v>VTSE</v>
      </c>
      <c r="T196" s="154" t="s">
        <v>645</v>
      </c>
      <c r="U196" s="154" t="s">
        <v>797</v>
      </c>
      <c r="V196" s="154"/>
    </row>
    <row r="197" spans="1:22" s="158" customFormat="1" x14ac:dyDescent="0.3">
      <c r="A197" s="154" t="s">
        <v>775</v>
      </c>
      <c r="B197" s="155">
        <v>2</v>
      </c>
      <c r="C197" s="154">
        <v>122</v>
      </c>
      <c r="D197" s="156" t="str">
        <f t="shared" si="68"/>
        <v>Kumite</v>
      </c>
      <c r="E197" s="156" t="str">
        <f t="shared" si="75"/>
        <v>Kumite, -, 50-60 kg, Serdülő (13-14</v>
      </c>
      <c r="F197" s="156" t="s">
        <v>532</v>
      </c>
      <c r="G197" s="157" t="str">
        <f t="shared" si="72"/>
        <v>7</v>
      </c>
      <c r="H197" s="156" t="str">
        <f t="shared" si="76"/>
        <v>8 fős egyenes kiesés + 3. hely</v>
      </c>
      <c r="I197" s="157" t="str">
        <f>"3"</f>
        <v>3</v>
      </c>
      <c r="J197" s="156" t="str">
        <f>"Vig Bendegúz"</f>
        <v>Vig Bendegúz</v>
      </c>
      <c r="K197" s="156" t="str">
        <f>"VTSE"</f>
        <v>VTSE</v>
      </c>
      <c r="L197" s="156" t="str">
        <f t="shared" si="74"/>
        <v>HUN</v>
      </c>
      <c r="M197" s="163">
        <v>3</v>
      </c>
      <c r="O197" s="154" t="s">
        <v>246</v>
      </c>
      <c r="P197" s="159">
        <v>46081</v>
      </c>
      <c r="Q197" s="154" t="str">
        <f t="shared" si="50"/>
        <v>Vig Bendegúz - VTSE</v>
      </c>
      <c r="R197" s="154" t="s">
        <v>637</v>
      </c>
      <c r="S197" s="154" t="str">
        <f t="shared" si="51"/>
        <v>VTSE</v>
      </c>
      <c r="T197" s="154" t="s">
        <v>645</v>
      </c>
      <c r="U197" s="154" t="s">
        <v>797</v>
      </c>
      <c r="V197" s="154"/>
    </row>
    <row r="198" spans="1:22" s="158" customFormat="1" x14ac:dyDescent="0.3">
      <c r="A198" s="154" t="s">
        <v>775</v>
      </c>
      <c r="B198" s="155">
        <v>2</v>
      </c>
      <c r="C198" s="154">
        <v>123</v>
      </c>
      <c r="D198" s="156" t="str">
        <f t="shared" si="68"/>
        <v>Kumite</v>
      </c>
      <c r="E198" s="156" t="str">
        <f t="shared" si="75"/>
        <v>Kumite, -, 50-60 kg, Serdülő (13-14</v>
      </c>
      <c r="F198" s="156" t="s">
        <v>532</v>
      </c>
      <c r="G198" s="157" t="str">
        <f t="shared" si="72"/>
        <v>7</v>
      </c>
      <c r="H198" s="156" t="str">
        <f t="shared" si="76"/>
        <v>8 fős egyenes kiesés + 3. hely</v>
      </c>
      <c r="I198" s="157" t="str">
        <f>"4"</f>
        <v>4</v>
      </c>
      <c r="J198" s="156" t="str">
        <f>"Bánfi Botond"</f>
        <v>Bánfi Botond</v>
      </c>
      <c r="K198" s="156" t="str">
        <f>"Rokku KKSE"</f>
        <v>Rokku KKSE</v>
      </c>
      <c r="L198" s="156" t="str">
        <f t="shared" si="74"/>
        <v>HUN</v>
      </c>
      <c r="M198" s="163">
        <v>3</v>
      </c>
      <c r="O198" s="154" t="s">
        <v>246</v>
      </c>
      <c r="P198" s="159">
        <v>46081</v>
      </c>
      <c r="Q198" s="154" t="str">
        <f t="shared" si="50"/>
        <v>Bánfi Botond - Rokku KKSE</v>
      </c>
      <c r="R198" s="154" t="s">
        <v>636</v>
      </c>
      <c r="S198" s="154" t="str">
        <f t="shared" si="51"/>
        <v>Rokku KKSE</v>
      </c>
      <c r="T198" s="154" t="s">
        <v>645</v>
      </c>
      <c r="U198" s="154" t="s">
        <v>797</v>
      </c>
      <c r="V198" s="154"/>
    </row>
    <row r="199" spans="1:22" s="158" customFormat="1" x14ac:dyDescent="0.3">
      <c r="A199" s="154" t="s">
        <v>775</v>
      </c>
      <c r="B199" s="155">
        <v>2</v>
      </c>
      <c r="C199" s="154">
        <v>124</v>
      </c>
      <c r="D199" s="156" t="str">
        <f t="shared" si="68"/>
        <v>Kumite</v>
      </c>
      <c r="E199" s="156" t="str">
        <f t="shared" si="75"/>
        <v>Kumite, -, 50-60 kg, Serdülő (13-14</v>
      </c>
      <c r="F199" s="156" t="s">
        <v>532</v>
      </c>
      <c r="G199" s="157" t="str">
        <f t="shared" si="72"/>
        <v>7</v>
      </c>
      <c r="H199" s="156" t="str">
        <f t="shared" si="76"/>
        <v>8 fős egyenes kiesés + 3. hely</v>
      </c>
      <c r="I199" s="157" t="str">
        <f>"5"</f>
        <v>5</v>
      </c>
      <c r="J199" s="156" t="str">
        <f>"Munkácsi Ádám"</f>
        <v>Munkácsi Ádám</v>
      </c>
      <c r="K199" s="156" t="str">
        <f>"Főnix Dojo"</f>
        <v>Főnix Dojo</v>
      </c>
      <c r="L199" s="156" t="str">
        <f t="shared" si="74"/>
        <v>HUN</v>
      </c>
      <c r="M199" s="163">
        <v>0</v>
      </c>
      <c r="O199" s="154" t="s">
        <v>246</v>
      </c>
      <c r="P199" s="159">
        <v>46081</v>
      </c>
      <c r="Q199" s="154" t="str">
        <f t="shared" si="50"/>
        <v>Munkácsi Ádám - Főnix Dojo</v>
      </c>
      <c r="R199" s="154" t="s">
        <v>636</v>
      </c>
      <c r="S199" s="154" t="str">
        <f t="shared" si="51"/>
        <v>Főnix Dojo</v>
      </c>
      <c r="T199" s="154" t="s">
        <v>645</v>
      </c>
      <c r="U199" s="154" t="s">
        <v>797</v>
      </c>
      <c r="V199" s="154"/>
    </row>
    <row r="200" spans="1:22" s="158" customFormat="1" x14ac:dyDescent="0.3">
      <c r="A200" s="154" t="s">
        <v>775</v>
      </c>
      <c r="B200" s="155">
        <v>2</v>
      </c>
      <c r="C200" s="154">
        <v>125</v>
      </c>
      <c r="D200" s="156" t="str">
        <f t="shared" si="68"/>
        <v>Kumite</v>
      </c>
      <c r="E200" s="156" t="str">
        <f t="shared" si="75"/>
        <v>Kumite, -, 50-60 kg, Serdülő (13-14</v>
      </c>
      <c r="F200" s="156" t="s">
        <v>532</v>
      </c>
      <c r="G200" s="157" t="str">
        <f t="shared" si="72"/>
        <v>7</v>
      </c>
      <c r="H200" s="156" t="str">
        <f t="shared" si="76"/>
        <v>8 fős egyenes kiesés + 3. hely</v>
      </c>
      <c r="I200" s="157" t="str">
        <f>"7-8"</f>
        <v>7-8</v>
      </c>
      <c r="J200" s="156" t="str">
        <f>"Hadnagy Barnabás"</f>
        <v>Hadnagy Barnabás</v>
      </c>
      <c r="K200" s="156" t="str">
        <f>"Rokku KKSE"</f>
        <v>Rokku KKSE</v>
      </c>
      <c r="L200" s="156" t="str">
        <f t="shared" si="74"/>
        <v>HUN</v>
      </c>
      <c r="M200" s="163">
        <v>0</v>
      </c>
      <c r="O200" s="154" t="s">
        <v>246</v>
      </c>
      <c r="P200" s="159">
        <v>46081</v>
      </c>
      <c r="Q200" s="154" t="str">
        <f t="shared" si="50"/>
        <v>Hadnagy Barnabás - Rokku KKSE</v>
      </c>
      <c r="R200" s="154" t="s">
        <v>636</v>
      </c>
      <c r="S200" s="154" t="str">
        <f t="shared" si="51"/>
        <v>Rokku KKSE</v>
      </c>
      <c r="T200" s="154" t="s">
        <v>645</v>
      </c>
      <c r="U200" s="154" t="s">
        <v>797</v>
      </c>
      <c r="V200" s="154"/>
    </row>
    <row r="201" spans="1:22" s="158" customFormat="1" x14ac:dyDescent="0.3">
      <c r="A201" s="154" t="s">
        <v>775</v>
      </c>
      <c r="B201" s="155">
        <v>2</v>
      </c>
      <c r="C201" s="154">
        <v>126</v>
      </c>
      <c r="D201" s="156" t="str">
        <f t="shared" si="68"/>
        <v>Kumite</v>
      </c>
      <c r="E201" s="156" t="str">
        <f t="shared" si="75"/>
        <v>Kumite, -, 50-60 kg, Serdülő (13-14</v>
      </c>
      <c r="F201" s="156" t="s">
        <v>532</v>
      </c>
      <c r="G201" s="157" t="str">
        <f t="shared" si="72"/>
        <v>7</v>
      </c>
      <c r="H201" s="156" t="str">
        <f t="shared" si="76"/>
        <v>8 fős egyenes kiesés + 3. hely</v>
      </c>
      <c r="I201" s="157" t="str">
        <f>"7-8"</f>
        <v>7-8</v>
      </c>
      <c r="J201" s="156" t="str">
        <f>"Szabó Levente Botond"</f>
        <v>Szabó Levente Botond</v>
      </c>
      <c r="K201" s="156" t="str">
        <f>"KSE Tarján"</f>
        <v>KSE Tarján</v>
      </c>
      <c r="L201" s="156" t="str">
        <f t="shared" si="74"/>
        <v>HUN</v>
      </c>
      <c r="M201" s="163">
        <v>0</v>
      </c>
      <c r="O201" s="154" t="s">
        <v>246</v>
      </c>
      <c r="P201" s="159">
        <v>46081</v>
      </c>
      <c r="Q201" s="154" t="str">
        <f t="shared" si="50"/>
        <v>Szabó Levente Botond - KSE Tarján</v>
      </c>
      <c r="R201" s="154" t="s">
        <v>636</v>
      </c>
      <c r="S201" s="154" t="str">
        <f t="shared" si="51"/>
        <v>KSE Tarján</v>
      </c>
      <c r="T201" s="154" t="s">
        <v>645</v>
      </c>
      <c r="U201" s="154" t="s">
        <v>797</v>
      </c>
      <c r="V201" s="154"/>
    </row>
    <row r="202" spans="1:22" s="158" customFormat="1" x14ac:dyDescent="0.3">
      <c r="A202" s="154" t="s">
        <v>775</v>
      </c>
      <c r="B202" s="155">
        <v>2</v>
      </c>
      <c r="C202" s="154">
        <v>127</v>
      </c>
      <c r="D202" s="156" t="str">
        <f t="shared" si="68"/>
        <v>Kumite</v>
      </c>
      <c r="E202" s="156" t="str">
        <f>"Kumite, -, 70-999 kg, Serdülő (13-14"</f>
        <v>Kumite, -, 70-999 kg, Serdülő (13-14</v>
      </c>
      <c r="F202" s="156" t="s">
        <v>535</v>
      </c>
      <c r="G202" s="157" t="str">
        <f>"5"</f>
        <v>5</v>
      </c>
      <c r="H202" s="156" t="str">
        <f>"5 fős körmérkőzés"</f>
        <v>5 fős körmérkőzés</v>
      </c>
      <c r="I202" s="157" t="str">
        <f>"1"</f>
        <v>1</v>
      </c>
      <c r="J202" s="156" t="str">
        <f>"Villasenor Babos Viktor Éliás"</f>
        <v>Villasenor Babos Viktor Éliás</v>
      </c>
      <c r="K202" s="156" t="str">
        <f>"Rakurai"</f>
        <v>Rakurai</v>
      </c>
      <c r="L202" s="156" t="str">
        <f t="shared" si="74"/>
        <v>HUN</v>
      </c>
      <c r="M202" s="163">
        <v>8</v>
      </c>
      <c r="O202" s="154" t="s">
        <v>246</v>
      </c>
      <c r="P202" s="159">
        <v>46081</v>
      </c>
      <c r="Q202" s="154" t="str">
        <f t="shared" si="50"/>
        <v>Villasenor Babos Viktor Éliás - Rakurai</v>
      </c>
      <c r="R202" s="154" t="s">
        <v>636</v>
      </c>
      <c r="S202" s="154" t="str">
        <f t="shared" si="51"/>
        <v>Rakurai</v>
      </c>
      <c r="T202" s="154" t="s">
        <v>645</v>
      </c>
      <c r="U202" s="154" t="s">
        <v>797</v>
      </c>
      <c r="V202" s="154"/>
    </row>
    <row r="203" spans="1:22" s="158" customFormat="1" x14ac:dyDescent="0.3">
      <c r="A203" s="154" t="s">
        <v>775</v>
      </c>
      <c r="B203" s="155">
        <v>2</v>
      </c>
      <c r="C203" s="154">
        <v>128</v>
      </c>
      <c r="D203" s="156" t="str">
        <f t="shared" si="68"/>
        <v>Kumite</v>
      </c>
      <c r="E203" s="156" t="str">
        <f>"Kumite, -, 70-999 kg, Serdülő (13-14"</f>
        <v>Kumite, -, 70-999 kg, Serdülő (13-14</v>
      </c>
      <c r="F203" s="156" t="s">
        <v>535</v>
      </c>
      <c r="G203" s="157" t="str">
        <f>"5"</f>
        <v>5</v>
      </c>
      <c r="H203" s="156" t="str">
        <f>"5 fős körmérkőzés"</f>
        <v>5 fős körmérkőzés</v>
      </c>
      <c r="I203" s="157" t="str">
        <f>"2"</f>
        <v>2</v>
      </c>
      <c r="J203" s="156" t="str">
        <f>"Salga Márton"</f>
        <v>Salga Márton</v>
      </c>
      <c r="K203" s="156" t="str">
        <f>"Rokku KKSE"</f>
        <v>Rokku KKSE</v>
      </c>
      <c r="L203" s="156" t="str">
        <f t="shared" si="74"/>
        <v>HUN</v>
      </c>
      <c r="M203" s="163">
        <v>6</v>
      </c>
      <c r="O203" s="154" t="s">
        <v>246</v>
      </c>
      <c r="P203" s="159">
        <v>46081</v>
      </c>
      <c r="Q203" s="154" t="str">
        <f t="shared" si="50"/>
        <v>Salga Márton - Rokku KKSE</v>
      </c>
      <c r="R203" s="154" t="s">
        <v>636</v>
      </c>
      <c r="S203" s="154" t="str">
        <f t="shared" si="51"/>
        <v>Rokku KKSE</v>
      </c>
      <c r="T203" s="154" t="s">
        <v>645</v>
      </c>
      <c r="U203" s="154" t="s">
        <v>797</v>
      </c>
      <c r="V203" s="154"/>
    </row>
    <row r="204" spans="1:22" s="158" customFormat="1" x14ac:dyDescent="0.3">
      <c r="A204" s="154" t="s">
        <v>775</v>
      </c>
      <c r="B204" s="155">
        <v>2</v>
      </c>
      <c r="C204" s="154">
        <v>129</v>
      </c>
      <c r="D204" s="156" t="str">
        <f t="shared" si="68"/>
        <v>Kumite</v>
      </c>
      <c r="E204" s="156" t="str">
        <f>"Kumite, -, 70-999 kg, Serdülő (13-14"</f>
        <v>Kumite, -, 70-999 kg, Serdülő (13-14</v>
      </c>
      <c r="F204" s="156" t="s">
        <v>535</v>
      </c>
      <c r="G204" s="157" t="str">
        <f>"5"</f>
        <v>5</v>
      </c>
      <c r="H204" s="156" t="str">
        <f>"5 fős körmérkőzés"</f>
        <v>5 fős körmérkőzés</v>
      </c>
      <c r="I204" s="157" t="str">
        <f>"3"</f>
        <v>3</v>
      </c>
      <c r="J204" s="156" t="str">
        <f>"Finta Csanád"</f>
        <v>Finta Csanád</v>
      </c>
      <c r="K204" s="156" t="str">
        <f>"Rakurai"</f>
        <v>Rakurai</v>
      </c>
      <c r="L204" s="156" t="str">
        <f t="shared" si="74"/>
        <v>HUN</v>
      </c>
      <c r="M204" s="163">
        <v>4</v>
      </c>
      <c r="O204" s="154" t="s">
        <v>246</v>
      </c>
      <c r="P204" s="159">
        <v>46081</v>
      </c>
      <c r="Q204" s="154" t="str">
        <f t="shared" ref="Q204" si="77">J204&amp;" - "&amp;K204</f>
        <v>Finta Csanád - Rakurai</v>
      </c>
      <c r="R204" s="154" t="s">
        <v>636</v>
      </c>
      <c r="S204" s="154" t="str">
        <f t="shared" ref="S204" si="78">K204</f>
        <v>Rakurai</v>
      </c>
      <c r="T204" s="154" t="s">
        <v>645</v>
      </c>
      <c r="U204" s="154" t="s">
        <v>797</v>
      </c>
      <c r="V204" s="154"/>
    </row>
    <row r="205" spans="1:22" s="158" customFormat="1" x14ac:dyDescent="0.3">
      <c r="A205" s="154" t="s">
        <v>775</v>
      </c>
      <c r="B205" s="155">
        <v>2</v>
      </c>
      <c r="C205" s="154">
        <v>129</v>
      </c>
      <c r="D205" s="156" t="str">
        <f t="shared" si="68"/>
        <v>Kumite</v>
      </c>
      <c r="E205" s="156" t="str">
        <f>"Kumite, -, 70-999 kg, Serdülő (13-14"</f>
        <v>Kumite, -, 70-999 kg, Serdülő (13-14</v>
      </c>
      <c r="F205" s="156" t="s">
        <v>535</v>
      </c>
      <c r="G205" s="157" t="str">
        <f>"5"</f>
        <v>5</v>
      </c>
      <c r="H205" s="156" t="str">
        <f>"5 fős körmérkőzés"</f>
        <v>5 fős körmérkőzés</v>
      </c>
      <c r="I205" s="157">
        <v>4</v>
      </c>
      <c r="J205" s="156" t="s">
        <v>432</v>
      </c>
      <c r="K205" s="156" t="s">
        <v>65</v>
      </c>
      <c r="L205" s="156" t="str">
        <f t="shared" si="74"/>
        <v>HUN</v>
      </c>
      <c r="M205" s="163">
        <v>3</v>
      </c>
      <c r="O205" s="154" t="s">
        <v>246</v>
      </c>
      <c r="P205" s="159">
        <v>46081</v>
      </c>
      <c r="Q205" s="154" t="str">
        <f t="shared" si="50"/>
        <v>Gaál-Vajai Tamás - Főnix Dojo</v>
      </c>
      <c r="R205" s="154" t="s">
        <v>636</v>
      </c>
      <c r="S205" s="154" t="str">
        <f t="shared" si="51"/>
        <v>Főnix Dojo</v>
      </c>
      <c r="T205" s="154" t="s">
        <v>645</v>
      </c>
      <c r="U205" s="154" t="s">
        <v>797</v>
      </c>
      <c r="V205" s="154"/>
    </row>
    <row r="206" spans="1:22" s="158" customFormat="1" x14ac:dyDescent="0.3">
      <c r="A206" s="154" t="s">
        <v>775</v>
      </c>
      <c r="B206" s="155">
        <v>2</v>
      </c>
      <c r="C206" s="154">
        <v>130</v>
      </c>
      <c r="D206" s="156" t="str">
        <f t="shared" si="68"/>
        <v>Kumite</v>
      </c>
      <c r="E206" s="156" t="str">
        <f t="shared" ref="E206:E213" si="79">"Kumite, -, 60-70 kg, Serdülő (13-14"</f>
        <v>Kumite, -, 60-70 kg, Serdülő (13-14</v>
      </c>
      <c r="F206" s="156" t="s">
        <v>533</v>
      </c>
      <c r="G206" s="157" t="str">
        <f t="shared" ref="G206:G213" si="80">"8"</f>
        <v>8</v>
      </c>
      <c r="H206" s="156" t="str">
        <f t="shared" ref="H206:H213" si="81">"8 fős egyenes kiesés"</f>
        <v>8 fős egyenes kiesés</v>
      </c>
      <c r="I206" s="157" t="str">
        <f>"1"</f>
        <v>1</v>
      </c>
      <c r="J206" s="156" t="str">
        <f>"Adámi Áron"</f>
        <v>Adámi Áron</v>
      </c>
      <c r="K206" s="156" t="str">
        <f>"Ichiro Dojo"</f>
        <v>Ichiro Dojo</v>
      </c>
      <c r="L206" s="156" t="str">
        <f t="shared" si="74"/>
        <v>HUN</v>
      </c>
      <c r="M206" s="163">
        <v>6</v>
      </c>
      <c r="O206" s="154" t="s">
        <v>246</v>
      </c>
      <c r="P206" s="159">
        <v>46081</v>
      </c>
      <c r="Q206" s="154" t="str">
        <f t="shared" ref="Q206:Q269" si="82">J206&amp;" - "&amp;K206</f>
        <v>Adámi Áron - Ichiro Dojo</v>
      </c>
      <c r="R206" s="154" t="s">
        <v>637</v>
      </c>
      <c r="S206" s="154" t="str">
        <f t="shared" ref="S206:S269" si="83">K206</f>
        <v>Ichiro Dojo</v>
      </c>
      <c r="T206" s="154" t="s">
        <v>645</v>
      </c>
      <c r="U206" s="154" t="s">
        <v>797</v>
      </c>
      <c r="V206" s="154"/>
    </row>
    <row r="207" spans="1:22" s="158" customFormat="1" x14ac:dyDescent="0.3">
      <c r="A207" s="154" t="s">
        <v>775</v>
      </c>
      <c r="B207" s="155">
        <v>2</v>
      </c>
      <c r="C207" s="154">
        <v>131</v>
      </c>
      <c r="D207" s="156" t="str">
        <f t="shared" si="68"/>
        <v>Kumite</v>
      </c>
      <c r="E207" s="156" t="str">
        <f t="shared" si="79"/>
        <v>Kumite, -, 60-70 kg, Serdülő (13-14</v>
      </c>
      <c r="F207" s="156" t="s">
        <v>533</v>
      </c>
      <c r="G207" s="157" t="str">
        <f t="shared" si="80"/>
        <v>8</v>
      </c>
      <c r="H207" s="156" t="str">
        <f t="shared" si="81"/>
        <v>8 fős egyenes kiesés</v>
      </c>
      <c r="I207" s="157" t="str">
        <f>"2"</f>
        <v>2</v>
      </c>
      <c r="J207" s="156" t="str">
        <f>"Urszuly Noel"</f>
        <v>Urszuly Noel</v>
      </c>
      <c r="K207" s="156" t="str">
        <f>"Rokku KKSE"</f>
        <v>Rokku KKSE</v>
      </c>
      <c r="L207" s="156" t="str">
        <f t="shared" si="74"/>
        <v>HUN</v>
      </c>
      <c r="M207" s="163">
        <v>5</v>
      </c>
      <c r="O207" s="154" t="s">
        <v>246</v>
      </c>
      <c r="P207" s="159">
        <v>46081</v>
      </c>
      <c r="Q207" s="154" t="str">
        <f t="shared" si="82"/>
        <v>Urszuly Noel - Rokku KKSE</v>
      </c>
      <c r="R207" s="154" t="s">
        <v>636</v>
      </c>
      <c r="S207" s="154" t="str">
        <f t="shared" si="83"/>
        <v>Rokku KKSE</v>
      </c>
      <c r="T207" s="154" t="s">
        <v>645</v>
      </c>
      <c r="U207" s="154" t="s">
        <v>797</v>
      </c>
      <c r="V207" s="154"/>
    </row>
    <row r="208" spans="1:22" s="158" customFormat="1" x14ac:dyDescent="0.3">
      <c r="A208" s="154" t="s">
        <v>775</v>
      </c>
      <c r="B208" s="155">
        <v>2</v>
      </c>
      <c r="C208" s="154">
        <v>132</v>
      </c>
      <c r="D208" s="156" t="str">
        <f t="shared" si="68"/>
        <v>Kumite</v>
      </c>
      <c r="E208" s="156" t="str">
        <f t="shared" si="79"/>
        <v>Kumite, -, 60-70 kg, Serdülő (13-14</v>
      </c>
      <c r="F208" s="156" t="s">
        <v>533</v>
      </c>
      <c r="G208" s="157" t="str">
        <f t="shared" si="80"/>
        <v>8</v>
      </c>
      <c r="H208" s="156" t="str">
        <f t="shared" si="81"/>
        <v>8 fős egyenes kiesés</v>
      </c>
      <c r="I208" s="157" t="str">
        <f>"3"</f>
        <v>3</v>
      </c>
      <c r="J208" s="156" t="str">
        <f>"Kárpáti Bence"</f>
        <v>Kárpáti Bence</v>
      </c>
      <c r="K208" s="156" t="str">
        <f>"Cs.S.E."</f>
        <v>Cs.S.E.</v>
      </c>
      <c r="L208" s="156" t="str">
        <f t="shared" si="74"/>
        <v>HUN</v>
      </c>
      <c r="M208" s="163">
        <v>3</v>
      </c>
      <c r="O208" s="154" t="s">
        <v>246</v>
      </c>
      <c r="P208" s="159">
        <v>46081</v>
      </c>
      <c r="Q208" s="154" t="str">
        <f t="shared" si="82"/>
        <v>Kárpáti Bence - Cs.S.E.</v>
      </c>
      <c r="R208" s="154" t="s">
        <v>636</v>
      </c>
      <c r="S208" s="154" t="str">
        <f t="shared" si="83"/>
        <v>Cs.S.E.</v>
      </c>
      <c r="T208" s="154" t="s">
        <v>645</v>
      </c>
      <c r="U208" s="154" t="s">
        <v>797</v>
      </c>
      <c r="V208" s="154"/>
    </row>
    <row r="209" spans="1:22" s="158" customFormat="1" x14ac:dyDescent="0.3">
      <c r="A209" s="154" t="s">
        <v>775</v>
      </c>
      <c r="B209" s="155">
        <v>2</v>
      </c>
      <c r="C209" s="154">
        <v>133</v>
      </c>
      <c r="D209" s="156" t="str">
        <f t="shared" si="68"/>
        <v>Kumite</v>
      </c>
      <c r="E209" s="156" t="str">
        <f t="shared" si="79"/>
        <v>Kumite, -, 60-70 kg, Serdülő (13-14</v>
      </c>
      <c r="F209" s="156" t="s">
        <v>533</v>
      </c>
      <c r="G209" s="157" t="str">
        <f t="shared" si="80"/>
        <v>8</v>
      </c>
      <c r="H209" s="156" t="str">
        <f t="shared" si="81"/>
        <v>8 fős egyenes kiesés</v>
      </c>
      <c r="I209" s="157" t="str">
        <f>"3"</f>
        <v>3</v>
      </c>
      <c r="J209" s="156" t="str">
        <f>"Varga Bence"</f>
        <v>Varga Bence</v>
      </c>
      <c r="K209" s="156" t="str">
        <f>"KSE Tarján"</f>
        <v>KSE Tarján</v>
      </c>
      <c r="L209" s="156" t="str">
        <f t="shared" si="74"/>
        <v>HUN</v>
      </c>
      <c r="M209" s="163">
        <v>3</v>
      </c>
      <c r="O209" s="154" t="s">
        <v>246</v>
      </c>
      <c r="P209" s="159">
        <v>46081</v>
      </c>
      <c r="Q209" s="154" t="str">
        <f t="shared" si="82"/>
        <v>Varga Bence - KSE Tarján</v>
      </c>
      <c r="R209" s="154" t="s">
        <v>636</v>
      </c>
      <c r="S209" s="154" t="str">
        <f t="shared" si="83"/>
        <v>KSE Tarján</v>
      </c>
      <c r="T209" s="154" t="s">
        <v>645</v>
      </c>
      <c r="U209" s="154" t="s">
        <v>797</v>
      </c>
      <c r="V209" s="154"/>
    </row>
    <row r="210" spans="1:22" s="158" customFormat="1" x14ac:dyDescent="0.3">
      <c r="A210" s="154" t="s">
        <v>775</v>
      </c>
      <c r="B210" s="155">
        <v>2</v>
      </c>
      <c r="C210" s="154">
        <v>134</v>
      </c>
      <c r="D210" s="156" t="str">
        <f t="shared" si="68"/>
        <v>Kumite</v>
      </c>
      <c r="E210" s="156" t="str">
        <f t="shared" si="79"/>
        <v>Kumite, -, 60-70 kg, Serdülő (13-14</v>
      </c>
      <c r="F210" s="156" t="s">
        <v>533</v>
      </c>
      <c r="G210" s="157" t="str">
        <f t="shared" si="80"/>
        <v>8</v>
      </c>
      <c r="H210" s="156" t="str">
        <f t="shared" si="81"/>
        <v>8 fős egyenes kiesés</v>
      </c>
      <c r="I210" s="157" t="str">
        <f>"5"</f>
        <v>5</v>
      </c>
      <c r="J210" s="156" t="str">
        <f>"Reinhofer Patrik"</f>
        <v>Reinhofer Patrik</v>
      </c>
      <c r="K210" s="156" t="str">
        <f>"Rokku KKSE"</f>
        <v>Rokku KKSE</v>
      </c>
      <c r="L210" s="156" t="str">
        <f t="shared" si="74"/>
        <v>HUN</v>
      </c>
      <c r="M210" s="163">
        <v>0</v>
      </c>
      <c r="O210" s="154" t="s">
        <v>246</v>
      </c>
      <c r="P210" s="159">
        <v>46081</v>
      </c>
      <c r="Q210" s="154" t="str">
        <f t="shared" si="82"/>
        <v>Reinhofer Patrik - Rokku KKSE</v>
      </c>
      <c r="R210" s="154" t="s">
        <v>636</v>
      </c>
      <c r="S210" s="154" t="str">
        <f t="shared" si="83"/>
        <v>Rokku KKSE</v>
      </c>
      <c r="T210" s="154" t="s">
        <v>645</v>
      </c>
      <c r="U210" s="154" t="s">
        <v>797</v>
      </c>
      <c r="V210" s="154"/>
    </row>
    <row r="211" spans="1:22" s="158" customFormat="1" x14ac:dyDescent="0.3">
      <c r="A211" s="154" t="s">
        <v>775</v>
      </c>
      <c r="B211" s="155">
        <v>2</v>
      </c>
      <c r="C211" s="154">
        <v>135</v>
      </c>
      <c r="D211" s="156" t="str">
        <f t="shared" si="68"/>
        <v>Kumite</v>
      </c>
      <c r="E211" s="156" t="str">
        <f t="shared" si="79"/>
        <v>Kumite, -, 60-70 kg, Serdülő (13-14</v>
      </c>
      <c r="F211" s="156" t="s">
        <v>533</v>
      </c>
      <c r="G211" s="157" t="str">
        <f t="shared" si="80"/>
        <v>8</v>
      </c>
      <c r="H211" s="156" t="str">
        <f t="shared" si="81"/>
        <v>8 fős egyenes kiesés</v>
      </c>
      <c r="I211" s="157" t="str">
        <f>"6"</f>
        <v>6</v>
      </c>
      <c r="J211" s="156" t="str">
        <f>"Horváth Bence László"</f>
        <v>Horváth Bence László</v>
      </c>
      <c r="K211" s="156" t="str">
        <f>"Rakurai"</f>
        <v>Rakurai</v>
      </c>
      <c r="L211" s="156" t="str">
        <f t="shared" si="74"/>
        <v>HUN</v>
      </c>
      <c r="M211" s="163">
        <v>0</v>
      </c>
      <c r="O211" s="154" t="s">
        <v>246</v>
      </c>
      <c r="P211" s="159">
        <v>46081</v>
      </c>
      <c r="Q211" s="154" t="str">
        <f t="shared" si="82"/>
        <v>Horváth Bence László - Rakurai</v>
      </c>
      <c r="R211" s="154" t="s">
        <v>636</v>
      </c>
      <c r="S211" s="154" t="str">
        <f t="shared" si="83"/>
        <v>Rakurai</v>
      </c>
      <c r="T211" s="154" t="s">
        <v>645</v>
      </c>
      <c r="U211" s="154" t="s">
        <v>797</v>
      </c>
      <c r="V211" s="154"/>
    </row>
    <row r="212" spans="1:22" s="158" customFormat="1" x14ac:dyDescent="0.3">
      <c r="A212" s="154" t="s">
        <v>775</v>
      </c>
      <c r="B212" s="155">
        <v>2</v>
      </c>
      <c r="C212" s="154">
        <v>136</v>
      </c>
      <c r="D212" s="156" t="str">
        <f t="shared" si="68"/>
        <v>Kumite</v>
      </c>
      <c r="E212" s="156" t="str">
        <f t="shared" si="79"/>
        <v>Kumite, -, 60-70 kg, Serdülő (13-14</v>
      </c>
      <c r="F212" s="156" t="s">
        <v>533</v>
      </c>
      <c r="G212" s="157" t="str">
        <f t="shared" si="80"/>
        <v>8</v>
      </c>
      <c r="H212" s="156" t="str">
        <f t="shared" si="81"/>
        <v>8 fős egyenes kiesés</v>
      </c>
      <c r="I212" s="157" t="str">
        <f>"7-8"</f>
        <v>7-8</v>
      </c>
      <c r="J212" s="156" t="str">
        <f>"Gyarmathy Zsolt"</f>
        <v>Gyarmathy Zsolt</v>
      </c>
      <c r="K212" s="156" t="str">
        <f>"Fitt KKSE"</f>
        <v>Fitt KKSE</v>
      </c>
      <c r="L212" s="156" t="str">
        <f t="shared" si="74"/>
        <v>HUN</v>
      </c>
      <c r="M212" s="163">
        <v>0</v>
      </c>
      <c r="O212" s="154" t="s">
        <v>246</v>
      </c>
      <c r="P212" s="159">
        <v>46081</v>
      </c>
      <c r="Q212" s="154" t="str">
        <f t="shared" si="82"/>
        <v>Gyarmathy Zsolt - Fitt KKSE</v>
      </c>
      <c r="R212" s="154" t="s">
        <v>636</v>
      </c>
      <c r="S212" s="154" t="str">
        <f t="shared" si="83"/>
        <v>Fitt KKSE</v>
      </c>
      <c r="T212" s="154" t="s">
        <v>645</v>
      </c>
      <c r="U212" s="154" t="s">
        <v>797</v>
      </c>
      <c r="V212" s="154"/>
    </row>
    <row r="213" spans="1:22" s="158" customFormat="1" x14ac:dyDescent="0.3">
      <c r="A213" s="154" t="s">
        <v>775</v>
      </c>
      <c r="B213" s="155">
        <v>2</v>
      </c>
      <c r="C213" s="154">
        <v>137</v>
      </c>
      <c r="D213" s="156" t="str">
        <f t="shared" si="68"/>
        <v>Kumite</v>
      </c>
      <c r="E213" s="156" t="str">
        <f t="shared" si="79"/>
        <v>Kumite, -, 60-70 kg, Serdülő (13-14</v>
      </c>
      <c r="F213" s="156" t="s">
        <v>533</v>
      </c>
      <c r="G213" s="157" t="str">
        <f t="shared" si="80"/>
        <v>8</v>
      </c>
      <c r="H213" s="156" t="str">
        <f t="shared" si="81"/>
        <v>8 fős egyenes kiesés</v>
      </c>
      <c r="I213" s="157" t="str">
        <f>"7-8"</f>
        <v>7-8</v>
      </c>
      <c r="J213" s="156" t="str">
        <f>"Nagy Kevin "</f>
        <v xml:space="preserve">Nagy Kevin </v>
      </c>
      <c r="K213" s="156" t="str">
        <f>"KKE - Spartacus"</f>
        <v>KKE - Spartacus</v>
      </c>
      <c r="L213" s="156" t="str">
        <f t="shared" si="74"/>
        <v>HUN</v>
      </c>
      <c r="M213" s="163">
        <v>0</v>
      </c>
      <c r="O213" s="154" t="s">
        <v>246</v>
      </c>
      <c r="P213" s="159">
        <v>46081</v>
      </c>
      <c r="Q213" s="154" t="str">
        <f t="shared" si="82"/>
        <v>Nagy Kevin  - KKE - Spartacus</v>
      </c>
      <c r="R213" s="154" t="s">
        <v>636</v>
      </c>
      <c r="S213" s="154" t="str">
        <f t="shared" si="83"/>
        <v>KKE - Spartacus</v>
      </c>
      <c r="T213" s="154" t="s">
        <v>645</v>
      </c>
      <c r="U213" s="154" t="s">
        <v>797</v>
      </c>
      <c r="V213" s="154"/>
    </row>
    <row r="214" spans="1:22" s="158" customFormat="1" x14ac:dyDescent="0.3">
      <c r="A214" s="154" t="s">
        <v>775</v>
      </c>
      <c r="B214" s="155">
        <v>2</v>
      </c>
      <c r="C214" s="154">
        <v>138</v>
      </c>
      <c r="D214" s="156" t="str">
        <f t="shared" ref="D214:D224" si="84">"Kata"</f>
        <v>Kata</v>
      </c>
      <c r="E214" s="156" t="str">
        <f t="shared" ref="E214:E224" si="85">"Kata, -, 0-150 kg, Serdülő (13-14"</f>
        <v>Kata, -, 0-150 kg, Serdülő (13-14</v>
      </c>
      <c r="F214" s="156" t="s">
        <v>537</v>
      </c>
      <c r="G214" s="157" t="str">
        <f t="shared" ref="G214:G224" si="86">"11"</f>
        <v>11</v>
      </c>
      <c r="H214" s="156" t="str">
        <f t="shared" ref="H214:H224" si="87">"16 fős egyenes kiesés"</f>
        <v>16 fős egyenes kiesés</v>
      </c>
      <c r="I214" s="157" t="str">
        <f>"1"</f>
        <v>1</v>
      </c>
      <c r="J214" s="156" t="str">
        <f>"Moosbauer Kevin"</f>
        <v>Moosbauer Kevin</v>
      </c>
      <c r="K214" s="156" t="str">
        <f>"KSE Tarján"</f>
        <v>KSE Tarján</v>
      </c>
      <c r="L214" s="156" t="str">
        <f t="shared" si="74"/>
        <v>HUN</v>
      </c>
      <c r="M214" s="163">
        <v>6</v>
      </c>
      <c r="O214" s="154" t="s">
        <v>246</v>
      </c>
      <c r="P214" s="159">
        <v>46081</v>
      </c>
      <c r="Q214" s="154" t="str">
        <f t="shared" si="82"/>
        <v>Moosbauer Kevin - KSE Tarján</v>
      </c>
      <c r="R214" s="154" t="s">
        <v>636</v>
      </c>
      <c r="S214" s="154" t="str">
        <f t="shared" si="83"/>
        <v>KSE Tarján</v>
      </c>
      <c r="T214" s="154" t="s">
        <v>645</v>
      </c>
      <c r="U214" s="154" t="s">
        <v>797</v>
      </c>
      <c r="V214" s="154"/>
    </row>
    <row r="215" spans="1:22" s="158" customFormat="1" x14ac:dyDescent="0.3">
      <c r="A215" s="154" t="s">
        <v>775</v>
      </c>
      <c r="B215" s="155">
        <v>2</v>
      </c>
      <c r="C215" s="154">
        <v>139</v>
      </c>
      <c r="D215" s="156" t="str">
        <f t="shared" si="84"/>
        <v>Kata</v>
      </c>
      <c r="E215" s="156" t="str">
        <f t="shared" si="85"/>
        <v>Kata, -, 0-150 kg, Serdülő (13-14</v>
      </c>
      <c r="F215" s="156" t="s">
        <v>537</v>
      </c>
      <c r="G215" s="157" t="str">
        <f t="shared" si="86"/>
        <v>11</v>
      </c>
      <c r="H215" s="156" t="str">
        <f t="shared" si="87"/>
        <v>16 fős egyenes kiesés</v>
      </c>
      <c r="I215" s="157" t="str">
        <f>"2"</f>
        <v>2</v>
      </c>
      <c r="J215" s="156" t="str">
        <f>"Kárpáti Bence"</f>
        <v>Kárpáti Bence</v>
      </c>
      <c r="K215" s="156" t="str">
        <f>"Cs.S.E."</f>
        <v>Cs.S.E.</v>
      </c>
      <c r="L215" s="156" t="str">
        <f t="shared" si="74"/>
        <v>HUN</v>
      </c>
      <c r="M215" s="163">
        <v>5</v>
      </c>
      <c r="O215" s="154" t="s">
        <v>246</v>
      </c>
      <c r="P215" s="159">
        <v>46081</v>
      </c>
      <c r="Q215" s="154" t="str">
        <f t="shared" si="82"/>
        <v>Kárpáti Bence - Cs.S.E.</v>
      </c>
      <c r="R215" s="154" t="s">
        <v>636</v>
      </c>
      <c r="S215" s="154" t="str">
        <f t="shared" si="83"/>
        <v>Cs.S.E.</v>
      </c>
      <c r="T215" s="154" t="s">
        <v>645</v>
      </c>
      <c r="U215" s="154" t="s">
        <v>797</v>
      </c>
      <c r="V215" s="154"/>
    </row>
    <row r="216" spans="1:22" s="158" customFormat="1" x14ac:dyDescent="0.3">
      <c r="A216" s="154" t="s">
        <v>775</v>
      </c>
      <c r="B216" s="155">
        <v>2</v>
      </c>
      <c r="C216" s="154">
        <v>140</v>
      </c>
      <c r="D216" s="156" t="str">
        <f t="shared" si="84"/>
        <v>Kata</v>
      </c>
      <c r="E216" s="156" t="str">
        <f t="shared" si="85"/>
        <v>Kata, -, 0-150 kg, Serdülő (13-14</v>
      </c>
      <c r="F216" s="156" t="s">
        <v>537</v>
      </c>
      <c r="G216" s="157" t="str">
        <f t="shared" si="86"/>
        <v>11</v>
      </c>
      <c r="H216" s="156" t="str">
        <f t="shared" si="87"/>
        <v>16 fős egyenes kiesés</v>
      </c>
      <c r="I216" s="157" t="str">
        <f>"3"</f>
        <v>3</v>
      </c>
      <c r="J216" s="156" t="str">
        <f>"Kleé Krisztián"</f>
        <v>Kleé Krisztián</v>
      </c>
      <c r="K216" s="156" t="str">
        <f>"Rakurai"</f>
        <v>Rakurai</v>
      </c>
      <c r="L216" s="156" t="str">
        <f t="shared" si="74"/>
        <v>HUN</v>
      </c>
      <c r="M216" s="163">
        <v>3</v>
      </c>
      <c r="O216" s="154" t="s">
        <v>246</v>
      </c>
      <c r="P216" s="159">
        <v>46081</v>
      </c>
      <c r="Q216" s="154" t="str">
        <f t="shared" si="82"/>
        <v>Kleé Krisztián - Rakurai</v>
      </c>
      <c r="R216" s="154" t="s">
        <v>636</v>
      </c>
      <c r="S216" s="154" t="str">
        <f t="shared" si="83"/>
        <v>Rakurai</v>
      </c>
      <c r="T216" s="154" t="s">
        <v>645</v>
      </c>
      <c r="U216" s="154" t="s">
        <v>797</v>
      </c>
      <c r="V216" s="154"/>
    </row>
    <row r="217" spans="1:22" s="158" customFormat="1" x14ac:dyDescent="0.3">
      <c r="A217" s="154" t="s">
        <v>775</v>
      </c>
      <c r="B217" s="155">
        <v>2</v>
      </c>
      <c r="C217" s="154">
        <v>141</v>
      </c>
      <c r="D217" s="156" t="str">
        <f t="shared" si="84"/>
        <v>Kata</v>
      </c>
      <c r="E217" s="156" t="str">
        <f t="shared" si="85"/>
        <v>Kata, -, 0-150 kg, Serdülő (13-14</v>
      </c>
      <c r="F217" s="156" t="s">
        <v>537</v>
      </c>
      <c r="G217" s="157" t="str">
        <f t="shared" si="86"/>
        <v>11</v>
      </c>
      <c r="H217" s="156" t="str">
        <f t="shared" si="87"/>
        <v>16 fős egyenes kiesés</v>
      </c>
      <c r="I217" s="157" t="str">
        <f>"3"</f>
        <v>3</v>
      </c>
      <c r="J217" s="156" t="str">
        <f>"Tarjányi Zétény Ferenc"</f>
        <v>Tarjányi Zétény Ferenc</v>
      </c>
      <c r="K217" s="156" t="str">
        <f>"ARSC"</f>
        <v>ARSC</v>
      </c>
      <c r="L217" s="156" t="str">
        <f t="shared" si="74"/>
        <v>HUN</v>
      </c>
      <c r="M217" s="163">
        <v>3</v>
      </c>
      <c r="O217" s="154" t="s">
        <v>246</v>
      </c>
      <c r="P217" s="159">
        <v>46081</v>
      </c>
      <c r="Q217" s="154" t="str">
        <f t="shared" si="82"/>
        <v>Tarjányi Zétény Ferenc - ARSC</v>
      </c>
      <c r="R217" s="154" t="s">
        <v>636</v>
      </c>
      <c r="S217" s="154" t="str">
        <f t="shared" si="83"/>
        <v>ARSC</v>
      </c>
      <c r="T217" s="154" t="s">
        <v>645</v>
      </c>
      <c r="U217" s="154" t="s">
        <v>797</v>
      </c>
      <c r="V217" s="154"/>
    </row>
    <row r="218" spans="1:22" s="158" customFormat="1" x14ac:dyDescent="0.3">
      <c r="A218" s="154" t="s">
        <v>775</v>
      </c>
      <c r="B218" s="155">
        <v>2</v>
      </c>
      <c r="C218" s="154">
        <v>142</v>
      </c>
      <c r="D218" s="156" t="str">
        <f t="shared" si="84"/>
        <v>Kata</v>
      </c>
      <c r="E218" s="156" t="str">
        <f t="shared" si="85"/>
        <v>Kata, -, 0-150 kg, Serdülő (13-14</v>
      </c>
      <c r="F218" s="156" t="s">
        <v>537</v>
      </c>
      <c r="G218" s="157" t="str">
        <f t="shared" si="86"/>
        <v>11</v>
      </c>
      <c r="H218" s="156" t="str">
        <f t="shared" si="87"/>
        <v>16 fős egyenes kiesés</v>
      </c>
      <c r="I218" s="157" t="str">
        <f>"5"</f>
        <v>5</v>
      </c>
      <c r="J218" s="156" t="str">
        <f>"Szigeti Boldizsár"</f>
        <v>Szigeti Boldizsár</v>
      </c>
      <c r="K218" s="156" t="str">
        <f>"Siófok KSE"</f>
        <v>Siófok KSE</v>
      </c>
      <c r="L218" s="156" t="str">
        <f t="shared" si="74"/>
        <v>HUN</v>
      </c>
      <c r="M218" s="163">
        <v>0</v>
      </c>
      <c r="N218" s="158" t="s">
        <v>704</v>
      </c>
      <c r="O218" s="154" t="s">
        <v>246</v>
      </c>
      <c r="P218" s="159">
        <v>46081</v>
      </c>
      <c r="Q218" s="154" t="str">
        <f t="shared" si="82"/>
        <v>Szigeti Boldizsár - Siófok KSE</v>
      </c>
      <c r="R218" s="154" t="s">
        <v>636</v>
      </c>
      <c r="S218" s="154" t="str">
        <f t="shared" si="83"/>
        <v>Siófok KSE</v>
      </c>
      <c r="T218" s="154" t="s">
        <v>645</v>
      </c>
      <c r="U218" s="154" t="s">
        <v>797</v>
      </c>
      <c r="V218" s="154"/>
    </row>
    <row r="219" spans="1:22" s="158" customFormat="1" x14ac:dyDescent="0.3">
      <c r="A219" s="154" t="s">
        <v>775</v>
      </c>
      <c r="B219" s="155">
        <v>2</v>
      </c>
      <c r="C219" s="154">
        <v>143</v>
      </c>
      <c r="D219" s="156" t="str">
        <f t="shared" si="84"/>
        <v>Kata</v>
      </c>
      <c r="E219" s="156" t="str">
        <f t="shared" si="85"/>
        <v>Kata, -, 0-150 kg, Serdülő (13-14</v>
      </c>
      <c r="F219" s="156" t="s">
        <v>537</v>
      </c>
      <c r="G219" s="157" t="str">
        <f t="shared" si="86"/>
        <v>11</v>
      </c>
      <c r="H219" s="156" t="str">
        <f t="shared" si="87"/>
        <v>16 fős egyenes kiesés</v>
      </c>
      <c r="I219" s="157" t="str">
        <f>"6"</f>
        <v>6</v>
      </c>
      <c r="J219" s="156" t="str">
        <f>"Sövér Levente"</f>
        <v>Sövér Levente</v>
      </c>
      <c r="K219" s="156" t="str">
        <f>"BHMSE"</f>
        <v>BHMSE</v>
      </c>
      <c r="L219" s="156" t="str">
        <f t="shared" si="74"/>
        <v>HUN</v>
      </c>
      <c r="M219" s="163">
        <v>1</v>
      </c>
      <c r="O219" s="154" t="s">
        <v>246</v>
      </c>
      <c r="P219" s="159">
        <v>46081</v>
      </c>
      <c r="Q219" s="154" t="str">
        <f t="shared" si="82"/>
        <v>Sövér Levente - BHMSE</v>
      </c>
      <c r="R219" s="154" t="s">
        <v>636</v>
      </c>
      <c r="S219" s="154" t="str">
        <f t="shared" si="83"/>
        <v>BHMSE</v>
      </c>
      <c r="T219" s="154" t="s">
        <v>645</v>
      </c>
      <c r="U219" s="154" t="s">
        <v>797</v>
      </c>
      <c r="V219" s="154"/>
    </row>
    <row r="220" spans="1:22" s="158" customFormat="1" x14ac:dyDescent="0.3">
      <c r="A220" s="154" t="s">
        <v>775</v>
      </c>
      <c r="B220" s="155">
        <v>2</v>
      </c>
      <c r="C220" s="154">
        <v>144</v>
      </c>
      <c r="D220" s="156" t="str">
        <f t="shared" si="84"/>
        <v>Kata</v>
      </c>
      <c r="E220" s="156" t="str">
        <f t="shared" si="85"/>
        <v>Kata, -, 0-150 kg, Serdülő (13-14</v>
      </c>
      <c r="F220" s="156" t="s">
        <v>537</v>
      </c>
      <c r="G220" s="157" t="str">
        <f t="shared" si="86"/>
        <v>11</v>
      </c>
      <c r="H220" s="156" t="str">
        <f t="shared" si="87"/>
        <v>16 fős egyenes kiesés</v>
      </c>
      <c r="I220" s="157" t="str">
        <f>"7-8"</f>
        <v>7-8</v>
      </c>
      <c r="J220" s="156" t="str">
        <f>"Nyíri György"</f>
        <v>Nyíri György</v>
      </c>
      <c r="K220" s="156" t="str">
        <f>"Siófok KSE"</f>
        <v>Siófok KSE</v>
      </c>
      <c r="L220" s="156" t="str">
        <f t="shared" si="74"/>
        <v>HUN</v>
      </c>
      <c r="M220" s="163">
        <v>0</v>
      </c>
      <c r="N220" s="158" t="s">
        <v>704</v>
      </c>
      <c r="O220" s="154" t="s">
        <v>246</v>
      </c>
      <c r="P220" s="159">
        <v>46081</v>
      </c>
      <c r="Q220" s="154" t="str">
        <f t="shared" si="82"/>
        <v>Nyíri György - Siófok KSE</v>
      </c>
      <c r="R220" s="154" t="s">
        <v>636</v>
      </c>
      <c r="S220" s="154" t="str">
        <f t="shared" si="83"/>
        <v>Siófok KSE</v>
      </c>
      <c r="T220" s="154" t="s">
        <v>645</v>
      </c>
      <c r="U220" s="154" t="s">
        <v>797</v>
      </c>
      <c r="V220" s="154"/>
    </row>
    <row r="221" spans="1:22" s="158" customFormat="1" x14ac:dyDescent="0.3">
      <c r="A221" s="154" t="s">
        <v>775</v>
      </c>
      <c r="B221" s="155">
        <v>2</v>
      </c>
      <c r="C221" s="154">
        <v>145</v>
      </c>
      <c r="D221" s="156" t="str">
        <f t="shared" si="84"/>
        <v>Kata</v>
      </c>
      <c r="E221" s="156" t="str">
        <f t="shared" si="85"/>
        <v>Kata, -, 0-150 kg, Serdülő (13-14</v>
      </c>
      <c r="F221" s="156" t="s">
        <v>537</v>
      </c>
      <c r="G221" s="157" t="str">
        <f t="shared" si="86"/>
        <v>11</v>
      </c>
      <c r="H221" s="156" t="str">
        <f t="shared" si="87"/>
        <v>16 fős egyenes kiesés</v>
      </c>
      <c r="I221" s="157" t="str">
        <f>"7-8"</f>
        <v>7-8</v>
      </c>
      <c r="J221" s="156" t="str">
        <f>"Jankovics Marcell"</f>
        <v>Jankovics Marcell</v>
      </c>
      <c r="K221" s="156" t="str">
        <f>"Siófok KSE"</f>
        <v>Siófok KSE</v>
      </c>
      <c r="L221" s="156" t="str">
        <f t="shared" si="74"/>
        <v>HUN</v>
      </c>
      <c r="M221" s="163">
        <v>0</v>
      </c>
      <c r="O221" s="154" t="s">
        <v>246</v>
      </c>
      <c r="P221" s="159">
        <v>46081</v>
      </c>
      <c r="Q221" s="154" t="str">
        <f t="shared" si="82"/>
        <v>Jankovics Marcell - Siófok KSE</v>
      </c>
      <c r="R221" s="154" t="s">
        <v>636</v>
      </c>
      <c r="S221" s="154" t="str">
        <f t="shared" si="83"/>
        <v>Siófok KSE</v>
      </c>
      <c r="T221" s="154" t="s">
        <v>645</v>
      </c>
      <c r="U221" s="154" t="s">
        <v>797</v>
      </c>
      <c r="V221" s="154"/>
    </row>
    <row r="222" spans="1:22" s="158" customFormat="1" x14ac:dyDescent="0.3">
      <c r="A222" s="154" t="s">
        <v>775</v>
      </c>
      <c r="B222" s="155">
        <v>2</v>
      </c>
      <c r="C222" s="154">
        <v>146</v>
      </c>
      <c r="D222" s="156" t="str">
        <f t="shared" si="84"/>
        <v>Kata</v>
      </c>
      <c r="E222" s="156" t="str">
        <f t="shared" si="85"/>
        <v>Kata, -, 0-150 kg, Serdülő (13-14</v>
      </c>
      <c r="F222" s="156" t="s">
        <v>537</v>
      </c>
      <c r="G222" s="157" t="str">
        <f t="shared" si="86"/>
        <v>11</v>
      </c>
      <c r="H222" s="156" t="str">
        <f t="shared" si="87"/>
        <v>16 fős egyenes kiesés</v>
      </c>
      <c r="I222" s="157" t="str">
        <f>"9"</f>
        <v>9</v>
      </c>
      <c r="J222" s="156" t="str">
        <f>"Ferenczhalmy Félix"</f>
        <v>Ferenczhalmy Félix</v>
      </c>
      <c r="K222" s="156" t="str">
        <f>"BHMSE"</f>
        <v>BHMSE</v>
      </c>
      <c r="L222" s="156" t="str">
        <f t="shared" si="74"/>
        <v>HUN</v>
      </c>
      <c r="M222" s="163">
        <v>0</v>
      </c>
      <c r="O222" s="154" t="s">
        <v>246</v>
      </c>
      <c r="P222" s="159">
        <v>46081</v>
      </c>
      <c r="Q222" s="154" t="str">
        <f t="shared" si="82"/>
        <v>Ferenczhalmy Félix - BHMSE</v>
      </c>
      <c r="R222" s="154" t="s">
        <v>636</v>
      </c>
      <c r="S222" s="154" t="str">
        <f t="shared" si="83"/>
        <v>BHMSE</v>
      </c>
      <c r="T222" s="154" t="s">
        <v>645</v>
      </c>
      <c r="U222" s="154" t="s">
        <v>797</v>
      </c>
      <c r="V222" s="154"/>
    </row>
    <row r="223" spans="1:22" s="158" customFormat="1" x14ac:dyDescent="0.3">
      <c r="A223" s="154" t="s">
        <v>775</v>
      </c>
      <c r="B223" s="155">
        <v>2</v>
      </c>
      <c r="C223" s="154">
        <v>147</v>
      </c>
      <c r="D223" s="156" t="str">
        <f t="shared" si="84"/>
        <v>Kata</v>
      </c>
      <c r="E223" s="156" t="str">
        <f t="shared" si="85"/>
        <v>Kata, -, 0-150 kg, Serdülő (13-14</v>
      </c>
      <c r="F223" s="156" t="s">
        <v>537</v>
      </c>
      <c r="G223" s="157" t="str">
        <f t="shared" si="86"/>
        <v>11</v>
      </c>
      <c r="H223" s="156" t="str">
        <f t="shared" si="87"/>
        <v>16 fős egyenes kiesés</v>
      </c>
      <c r="I223" s="157" t="str">
        <f>"11-16"</f>
        <v>11-16</v>
      </c>
      <c r="J223" s="156" t="str">
        <f>"Fulló István Dragoljub"</f>
        <v>Fulló István Dragoljub</v>
      </c>
      <c r="K223" s="156" t="str">
        <f>"Ippon KKSE"</f>
        <v>Ippon KKSE</v>
      </c>
      <c r="L223" s="156" t="str">
        <f t="shared" si="74"/>
        <v>HUN</v>
      </c>
      <c r="M223" s="163">
        <v>0</v>
      </c>
      <c r="O223" s="154" t="s">
        <v>246</v>
      </c>
      <c r="P223" s="159">
        <v>46081</v>
      </c>
      <c r="Q223" s="154" t="str">
        <f t="shared" si="82"/>
        <v>Fulló István Dragoljub - Ippon KKSE</v>
      </c>
      <c r="R223" s="154" t="s">
        <v>636</v>
      </c>
      <c r="S223" s="154" t="str">
        <f t="shared" si="83"/>
        <v>Ippon KKSE</v>
      </c>
      <c r="T223" s="154" t="s">
        <v>645</v>
      </c>
      <c r="U223" s="154" t="s">
        <v>797</v>
      </c>
      <c r="V223" s="154"/>
    </row>
    <row r="224" spans="1:22" s="158" customFormat="1" x14ac:dyDescent="0.3">
      <c r="A224" s="154" t="s">
        <v>775</v>
      </c>
      <c r="B224" s="155">
        <v>2</v>
      </c>
      <c r="C224" s="154">
        <v>148</v>
      </c>
      <c r="D224" s="156" t="str">
        <f t="shared" si="84"/>
        <v>Kata</v>
      </c>
      <c r="E224" s="156" t="str">
        <f t="shared" si="85"/>
        <v>Kata, -, 0-150 kg, Serdülő (13-14</v>
      </c>
      <c r="F224" s="156" t="s">
        <v>537</v>
      </c>
      <c r="G224" s="157" t="str">
        <f t="shared" si="86"/>
        <v>11</v>
      </c>
      <c r="H224" s="156" t="str">
        <f t="shared" si="87"/>
        <v>16 fős egyenes kiesés</v>
      </c>
      <c r="I224" s="157" t="str">
        <f>"11-16"</f>
        <v>11-16</v>
      </c>
      <c r="J224" s="156" t="str">
        <f>"KÁDAS DOMINIK"</f>
        <v>KÁDAS DOMINIK</v>
      </c>
      <c r="K224" s="156" t="str">
        <f>"KyoDabas SE."</f>
        <v>KyoDabas SE.</v>
      </c>
      <c r="L224" s="156" t="str">
        <f t="shared" si="74"/>
        <v>HUN</v>
      </c>
      <c r="M224" s="163">
        <v>0</v>
      </c>
      <c r="O224" s="154" t="s">
        <v>246</v>
      </c>
      <c r="P224" s="159">
        <v>46081</v>
      </c>
      <c r="Q224" s="154" t="str">
        <f t="shared" si="82"/>
        <v>KÁDAS DOMINIK - KyoDabas SE.</v>
      </c>
      <c r="R224" s="154" t="s">
        <v>637</v>
      </c>
      <c r="S224" s="154" t="str">
        <f t="shared" si="83"/>
        <v>KyoDabas SE.</v>
      </c>
      <c r="T224" s="154" t="s">
        <v>645</v>
      </c>
      <c r="U224" s="154" t="s">
        <v>797</v>
      </c>
      <c r="V224" s="154"/>
    </row>
    <row r="225" spans="1:22" s="158" customFormat="1" x14ac:dyDescent="0.3">
      <c r="A225" s="154" t="s">
        <v>775</v>
      </c>
      <c r="B225" s="155">
        <v>2</v>
      </c>
      <c r="C225" s="154">
        <v>149</v>
      </c>
      <c r="D225" s="156" t="str">
        <f t="shared" ref="D225:D245" si="88">"Kumite"</f>
        <v>Kumite</v>
      </c>
      <c r="E225" s="156" t="str">
        <f>"Kumite, -, 0-40 kg, Serdülő (13-14"</f>
        <v>Kumite, -, 0-40 kg, Serdülő (13-14</v>
      </c>
      <c r="F225" s="156" t="s">
        <v>781</v>
      </c>
      <c r="G225" s="157" t="str">
        <f>"2"</f>
        <v>2</v>
      </c>
      <c r="H225" s="156" t="str">
        <f>"2 fős egyenes kiesés"</f>
        <v>2 fős egyenes kiesés</v>
      </c>
      <c r="I225" s="157" t="str">
        <f>"1"</f>
        <v>1</v>
      </c>
      <c r="J225" s="156" t="str">
        <f>"Bogdán Szonja Boróka"</f>
        <v>Bogdán Szonja Boróka</v>
      </c>
      <c r="K225" s="156" t="str">
        <f>"Rakurai"</f>
        <v>Rakurai</v>
      </c>
      <c r="L225" s="156" t="str">
        <f t="shared" si="74"/>
        <v>HUN</v>
      </c>
      <c r="M225" s="163">
        <v>3</v>
      </c>
      <c r="O225" s="154" t="s">
        <v>246</v>
      </c>
      <c r="P225" s="159">
        <v>46081</v>
      </c>
      <c r="Q225" s="154" t="str">
        <f t="shared" si="82"/>
        <v>Bogdán Szonja Boróka - Rakurai</v>
      </c>
      <c r="R225" s="154" t="s">
        <v>636</v>
      </c>
      <c r="S225" s="154" t="str">
        <f t="shared" si="83"/>
        <v>Rakurai</v>
      </c>
      <c r="T225" s="154" t="s">
        <v>645</v>
      </c>
      <c r="U225" s="154" t="s">
        <v>797</v>
      </c>
      <c r="V225" s="154"/>
    </row>
    <row r="226" spans="1:22" s="158" customFormat="1" x14ac:dyDescent="0.3">
      <c r="A226" s="154" t="s">
        <v>775</v>
      </c>
      <c r="B226" s="155">
        <v>2</v>
      </c>
      <c r="C226" s="154">
        <v>150</v>
      </c>
      <c r="D226" s="156" t="str">
        <f t="shared" si="88"/>
        <v>Kumite</v>
      </c>
      <c r="E226" s="156" t="str">
        <f>"Kumite, -, 0-40 kg, Serdülő (13-14"</f>
        <v>Kumite, -, 0-40 kg, Serdülő (13-14</v>
      </c>
      <c r="F226" s="156" t="s">
        <v>781</v>
      </c>
      <c r="G226" s="157" t="str">
        <f>"2"</f>
        <v>2</v>
      </c>
      <c r="H226" s="156" t="str">
        <f>"2 fős egyenes kiesés"</f>
        <v>2 fős egyenes kiesés</v>
      </c>
      <c r="I226" s="157" t="str">
        <f>"2"</f>
        <v>2</v>
      </c>
      <c r="J226" s="156" t="str">
        <f>"Rékai Bianka"</f>
        <v>Rékai Bianka</v>
      </c>
      <c r="K226" s="156" t="str">
        <f>"Siófok KSE"</f>
        <v>Siófok KSE</v>
      </c>
      <c r="L226" s="156" t="str">
        <f t="shared" si="74"/>
        <v>HUN</v>
      </c>
      <c r="M226" s="163">
        <v>0</v>
      </c>
      <c r="O226" s="154" t="s">
        <v>246</v>
      </c>
      <c r="P226" s="159">
        <v>46081</v>
      </c>
      <c r="Q226" s="154" t="str">
        <f t="shared" si="82"/>
        <v>Rékai Bianka - Siófok KSE</v>
      </c>
      <c r="R226" s="154" t="s">
        <v>636</v>
      </c>
      <c r="S226" s="154" t="str">
        <f t="shared" si="83"/>
        <v>Siófok KSE</v>
      </c>
      <c r="T226" s="154" t="s">
        <v>645</v>
      </c>
      <c r="U226" s="154" t="s">
        <v>797</v>
      </c>
      <c r="V226" s="154"/>
    </row>
    <row r="227" spans="1:22" s="158" customFormat="1" x14ac:dyDescent="0.3">
      <c r="A227" s="154" t="s">
        <v>775</v>
      </c>
      <c r="B227" s="155">
        <v>2</v>
      </c>
      <c r="C227" s="154">
        <v>151</v>
      </c>
      <c r="D227" s="156" t="str">
        <f t="shared" si="88"/>
        <v>Kumite</v>
      </c>
      <c r="E227" s="156" t="str">
        <f t="shared" ref="E227:E237" si="89">"Kumite, -, 45-55 kg, Serdülő (13-14"</f>
        <v>Kumite, -, 45-55 kg, Serdülő (13-14</v>
      </c>
      <c r="F227" s="156" t="s">
        <v>539</v>
      </c>
      <c r="G227" s="157" t="str">
        <f t="shared" ref="G227:G237" si="90">"11"</f>
        <v>11</v>
      </c>
      <c r="H227" s="156" t="str">
        <f t="shared" ref="H227:H237" si="91">"16 fős egyenes kiesés"</f>
        <v>16 fős egyenes kiesés</v>
      </c>
      <c r="I227" s="157" t="str">
        <f>"1"</f>
        <v>1</v>
      </c>
      <c r="J227" s="156" t="str">
        <f>"Reichert Hanna "</f>
        <v xml:space="preserve">Reichert Hanna </v>
      </c>
      <c r="K227" s="156" t="str">
        <f>"VTSE"</f>
        <v>VTSE</v>
      </c>
      <c r="L227" s="156" t="str">
        <f t="shared" si="74"/>
        <v>HUN</v>
      </c>
      <c r="M227" s="163">
        <v>8</v>
      </c>
      <c r="O227" s="154" t="s">
        <v>246</v>
      </c>
      <c r="P227" s="159">
        <v>46081</v>
      </c>
      <c r="Q227" s="154" t="str">
        <f t="shared" si="82"/>
        <v>Reichert Hanna  - VTSE</v>
      </c>
      <c r="R227" s="154" t="s">
        <v>637</v>
      </c>
      <c r="S227" s="154" t="str">
        <f t="shared" si="83"/>
        <v>VTSE</v>
      </c>
      <c r="T227" s="154" t="s">
        <v>645</v>
      </c>
      <c r="U227" s="154" t="s">
        <v>797</v>
      </c>
      <c r="V227" s="154"/>
    </row>
    <row r="228" spans="1:22" s="158" customFormat="1" x14ac:dyDescent="0.3">
      <c r="A228" s="154" t="s">
        <v>775</v>
      </c>
      <c r="B228" s="155">
        <v>2</v>
      </c>
      <c r="C228" s="154">
        <v>152</v>
      </c>
      <c r="D228" s="156" t="str">
        <f t="shared" si="88"/>
        <v>Kumite</v>
      </c>
      <c r="E228" s="156" t="str">
        <f t="shared" si="89"/>
        <v>Kumite, -, 45-55 kg, Serdülő (13-14</v>
      </c>
      <c r="F228" s="156" t="s">
        <v>539</v>
      </c>
      <c r="G228" s="157" t="str">
        <f t="shared" si="90"/>
        <v>11</v>
      </c>
      <c r="H228" s="156" t="str">
        <f t="shared" si="91"/>
        <v>16 fős egyenes kiesés</v>
      </c>
      <c r="I228" s="157" t="str">
        <f>"2"</f>
        <v>2</v>
      </c>
      <c r="J228" s="156" t="str">
        <f>"Gaál-Vajai Tamara"</f>
        <v>Gaál-Vajai Tamara</v>
      </c>
      <c r="K228" s="156" t="str">
        <f>"Főnix Dojo"</f>
        <v>Főnix Dojo</v>
      </c>
      <c r="L228" s="156" t="str">
        <f t="shared" si="74"/>
        <v>HUN</v>
      </c>
      <c r="M228" s="163">
        <v>6</v>
      </c>
      <c r="O228" s="154" t="s">
        <v>246</v>
      </c>
      <c r="P228" s="159">
        <v>46081</v>
      </c>
      <c r="Q228" s="154" t="str">
        <f t="shared" si="82"/>
        <v>Gaál-Vajai Tamara - Főnix Dojo</v>
      </c>
      <c r="R228" s="154" t="s">
        <v>636</v>
      </c>
      <c r="S228" s="154" t="str">
        <f t="shared" si="83"/>
        <v>Főnix Dojo</v>
      </c>
      <c r="T228" s="154" t="s">
        <v>645</v>
      </c>
      <c r="U228" s="154" t="s">
        <v>797</v>
      </c>
      <c r="V228" s="154"/>
    </row>
    <row r="229" spans="1:22" s="158" customFormat="1" x14ac:dyDescent="0.3">
      <c r="A229" s="154" t="s">
        <v>775</v>
      </c>
      <c r="B229" s="155">
        <v>2</v>
      </c>
      <c r="C229" s="154">
        <v>153</v>
      </c>
      <c r="D229" s="156" t="str">
        <f t="shared" si="88"/>
        <v>Kumite</v>
      </c>
      <c r="E229" s="156" t="str">
        <f t="shared" si="89"/>
        <v>Kumite, -, 45-55 kg, Serdülő (13-14</v>
      </c>
      <c r="F229" s="156" t="s">
        <v>539</v>
      </c>
      <c r="G229" s="157" t="str">
        <f t="shared" si="90"/>
        <v>11</v>
      </c>
      <c r="H229" s="156" t="str">
        <f t="shared" si="91"/>
        <v>16 fős egyenes kiesés</v>
      </c>
      <c r="I229" s="157" t="str">
        <f>"3"</f>
        <v>3</v>
      </c>
      <c r="J229" s="156" t="str">
        <f>"Papp Gréta"</f>
        <v>Papp Gréta</v>
      </c>
      <c r="K229" s="156" t="str">
        <f>"Castrum"</f>
        <v>Castrum</v>
      </c>
      <c r="L229" s="156" t="str">
        <f t="shared" si="74"/>
        <v>HUN</v>
      </c>
      <c r="M229" s="163">
        <v>4</v>
      </c>
      <c r="O229" s="154" t="s">
        <v>246</v>
      </c>
      <c r="P229" s="159">
        <v>46081</v>
      </c>
      <c r="Q229" s="154" t="str">
        <f t="shared" si="82"/>
        <v>Papp Gréta - Castrum</v>
      </c>
      <c r="R229" s="154" t="s">
        <v>636</v>
      </c>
      <c r="S229" s="154" t="str">
        <f t="shared" si="83"/>
        <v>Castrum</v>
      </c>
      <c r="T229" s="154" t="s">
        <v>645</v>
      </c>
      <c r="U229" s="154" t="s">
        <v>797</v>
      </c>
      <c r="V229" s="154"/>
    </row>
    <row r="230" spans="1:22" s="158" customFormat="1" x14ac:dyDescent="0.3">
      <c r="A230" s="154" t="s">
        <v>775</v>
      </c>
      <c r="B230" s="155">
        <v>2</v>
      </c>
      <c r="C230" s="154">
        <v>154</v>
      </c>
      <c r="D230" s="156" t="str">
        <f t="shared" si="88"/>
        <v>Kumite</v>
      </c>
      <c r="E230" s="156" t="str">
        <f t="shared" si="89"/>
        <v>Kumite, -, 45-55 kg, Serdülő (13-14</v>
      </c>
      <c r="F230" s="156" t="s">
        <v>539</v>
      </c>
      <c r="G230" s="157" t="str">
        <f t="shared" si="90"/>
        <v>11</v>
      </c>
      <c r="H230" s="156" t="str">
        <f t="shared" si="91"/>
        <v>16 fős egyenes kiesés</v>
      </c>
      <c r="I230" s="157" t="str">
        <f>"3"</f>
        <v>3</v>
      </c>
      <c r="J230" s="156" t="str">
        <f>"Radnóti Lilla"</f>
        <v>Radnóti Lilla</v>
      </c>
      <c r="K230" s="156" t="str">
        <f>"POWER SE."</f>
        <v>POWER SE.</v>
      </c>
      <c r="L230" s="156" t="str">
        <f t="shared" si="74"/>
        <v>HUN</v>
      </c>
      <c r="M230" s="163">
        <v>4</v>
      </c>
      <c r="O230" s="154" t="s">
        <v>246</v>
      </c>
      <c r="P230" s="159">
        <v>46081</v>
      </c>
      <c r="Q230" s="154" t="str">
        <f t="shared" si="82"/>
        <v>Radnóti Lilla - POWER SE.</v>
      </c>
      <c r="R230" s="154" t="s">
        <v>636</v>
      </c>
      <c r="S230" s="154" t="str">
        <f t="shared" si="83"/>
        <v>POWER SE.</v>
      </c>
      <c r="T230" s="154" t="s">
        <v>645</v>
      </c>
      <c r="U230" s="154" t="s">
        <v>797</v>
      </c>
      <c r="V230" s="154"/>
    </row>
    <row r="231" spans="1:22" s="158" customFormat="1" x14ac:dyDescent="0.3">
      <c r="A231" s="154" t="s">
        <v>775</v>
      </c>
      <c r="B231" s="155">
        <v>2</v>
      </c>
      <c r="C231" s="154">
        <v>155</v>
      </c>
      <c r="D231" s="156" t="str">
        <f t="shared" si="88"/>
        <v>Kumite</v>
      </c>
      <c r="E231" s="156" t="str">
        <f t="shared" si="89"/>
        <v>Kumite, -, 45-55 kg, Serdülő (13-14</v>
      </c>
      <c r="F231" s="156" t="s">
        <v>539</v>
      </c>
      <c r="G231" s="157" t="str">
        <f t="shared" si="90"/>
        <v>11</v>
      </c>
      <c r="H231" s="156" t="str">
        <f t="shared" si="91"/>
        <v>16 fős egyenes kiesés</v>
      </c>
      <c r="I231" s="157" t="str">
        <f>"5"</f>
        <v>5</v>
      </c>
      <c r="J231" s="156" t="str">
        <f>"Villasenor Babos Natália "</f>
        <v xml:space="preserve">Villasenor Babos Natália </v>
      </c>
      <c r="K231" s="156" t="str">
        <f>"Rakurai"</f>
        <v>Rakurai</v>
      </c>
      <c r="L231" s="156" t="str">
        <f t="shared" si="74"/>
        <v>HUN</v>
      </c>
      <c r="M231" s="163">
        <v>0</v>
      </c>
      <c r="N231" s="158" t="s">
        <v>704</v>
      </c>
      <c r="O231" s="154" t="s">
        <v>246</v>
      </c>
      <c r="P231" s="159">
        <v>46081</v>
      </c>
      <c r="Q231" s="154" t="str">
        <f t="shared" si="82"/>
        <v>Villasenor Babos Natália  - Rakurai</v>
      </c>
      <c r="R231" s="154" t="s">
        <v>636</v>
      </c>
      <c r="S231" s="154" t="str">
        <f t="shared" si="83"/>
        <v>Rakurai</v>
      </c>
      <c r="T231" s="154" t="s">
        <v>645</v>
      </c>
      <c r="U231" s="154" t="s">
        <v>797</v>
      </c>
      <c r="V231" s="154"/>
    </row>
    <row r="232" spans="1:22" s="158" customFormat="1" x14ac:dyDescent="0.3">
      <c r="A232" s="154" t="s">
        <v>775</v>
      </c>
      <c r="B232" s="155">
        <v>2</v>
      </c>
      <c r="C232" s="154">
        <v>156</v>
      </c>
      <c r="D232" s="156" t="str">
        <f t="shared" si="88"/>
        <v>Kumite</v>
      </c>
      <c r="E232" s="156" t="str">
        <f t="shared" si="89"/>
        <v>Kumite, -, 45-55 kg, Serdülő (13-14</v>
      </c>
      <c r="F232" s="156" t="s">
        <v>539</v>
      </c>
      <c r="G232" s="157" t="str">
        <f t="shared" si="90"/>
        <v>11</v>
      </c>
      <c r="H232" s="156" t="str">
        <f t="shared" si="91"/>
        <v>16 fős egyenes kiesés</v>
      </c>
      <c r="I232" s="157" t="str">
        <f>"6"</f>
        <v>6</v>
      </c>
      <c r="J232" s="156" t="str">
        <f>"Ványi Amira"</f>
        <v>Ványi Amira</v>
      </c>
      <c r="K232" s="156" t="str">
        <f>"POWER SE."</f>
        <v>POWER SE.</v>
      </c>
      <c r="L232" s="156" t="str">
        <f t="shared" si="74"/>
        <v>HUN</v>
      </c>
      <c r="M232" s="163">
        <v>2</v>
      </c>
      <c r="O232" s="154" t="s">
        <v>246</v>
      </c>
      <c r="P232" s="159">
        <v>46081</v>
      </c>
      <c r="Q232" s="154" t="str">
        <f t="shared" si="82"/>
        <v>Ványi Amira - POWER SE.</v>
      </c>
      <c r="R232" s="154" t="s">
        <v>636</v>
      </c>
      <c r="S232" s="154" t="str">
        <f t="shared" si="83"/>
        <v>POWER SE.</v>
      </c>
      <c r="T232" s="154" t="s">
        <v>645</v>
      </c>
      <c r="U232" s="154" t="s">
        <v>797</v>
      </c>
      <c r="V232" s="154"/>
    </row>
    <row r="233" spans="1:22" s="158" customFormat="1" x14ac:dyDescent="0.3">
      <c r="A233" s="154" t="s">
        <v>775</v>
      </c>
      <c r="B233" s="155">
        <v>2</v>
      </c>
      <c r="C233" s="154">
        <v>157</v>
      </c>
      <c r="D233" s="156" t="str">
        <f t="shared" si="88"/>
        <v>Kumite</v>
      </c>
      <c r="E233" s="156" t="str">
        <f t="shared" si="89"/>
        <v>Kumite, -, 45-55 kg, Serdülő (13-14</v>
      </c>
      <c r="F233" s="156" t="s">
        <v>539</v>
      </c>
      <c r="G233" s="157" t="str">
        <f t="shared" si="90"/>
        <v>11</v>
      </c>
      <c r="H233" s="156" t="str">
        <f t="shared" si="91"/>
        <v>16 fős egyenes kiesés</v>
      </c>
      <c r="I233" s="157" t="str">
        <f>"7-8"</f>
        <v>7-8</v>
      </c>
      <c r="J233" s="156" t="str">
        <f>"Gazdag Csinszka"</f>
        <v>Gazdag Csinszka</v>
      </c>
      <c r="K233" s="156" t="str">
        <f>"ASE Bulldog KKSZCS"</f>
        <v>ASE Bulldog KKSZCS</v>
      </c>
      <c r="L233" s="156" t="str">
        <f t="shared" si="74"/>
        <v>HUN</v>
      </c>
      <c r="M233" s="163">
        <v>0</v>
      </c>
      <c r="N233" s="158" t="s">
        <v>704</v>
      </c>
      <c r="O233" s="154" t="s">
        <v>246</v>
      </c>
      <c r="P233" s="159">
        <v>46081</v>
      </c>
      <c r="Q233" s="154" t="str">
        <f t="shared" si="82"/>
        <v>Gazdag Csinszka - ASE Bulldog KKSZCS</v>
      </c>
      <c r="R233" s="154" t="s">
        <v>636</v>
      </c>
      <c r="S233" s="154" t="str">
        <f t="shared" si="83"/>
        <v>ASE Bulldog KKSZCS</v>
      </c>
      <c r="T233" s="154" t="s">
        <v>645</v>
      </c>
      <c r="U233" s="154" t="s">
        <v>797</v>
      </c>
      <c r="V233" s="154"/>
    </row>
    <row r="234" spans="1:22" s="158" customFormat="1" x14ac:dyDescent="0.3">
      <c r="A234" s="154" t="s">
        <v>775</v>
      </c>
      <c r="B234" s="155">
        <v>2</v>
      </c>
      <c r="C234" s="154">
        <v>158</v>
      </c>
      <c r="D234" s="156" t="str">
        <f t="shared" si="88"/>
        <v>Kumite</v>
      </c>
      <c r="E234" s="156" t="str">
        <f t="shared" si="89"/>
        <v>Kumite, -, 45-55 kg, Serdülő (13-14</v>
      </c>
      <c r="F234" s="156" t="s">
        <v>539</v>
      </c>
      <c r="G234" s="157" t="str">
        <f t="shared" si="90"/>
        <v>11</v>
      </c>
      <c r="H234" s="156" t="str">
        <f t="shared" si="91"/>
        <v>16 fős egyenes kiesés</v>
      </c>
      <c r="I234" s="157" t="str">
        <f>"7-8"</f>
        <v>7-8</v>
      </c>
      <c r="J234" s="156" t="str">
        <f>"Nagy Anna"</f>
        <v>Nagy Anna</v>
      </c>
      <c r="K234" s="156" t="str">
        <f>"Főnix Dojo"</f>
        <v>Főnix Dojo</v>
      </c>
      <c r="L234" s="156" t="str">
        <f t="shared" si="74"/>
        <v>HUN</v>
      </c>
      <c r="M234" s="163">
        <v>0</v>
      </c>
      <c r="N234" s="158" t="s">
        <v>704</v>
      </c>
      <c r="O234" s="154" t="s">
        <v>246</v>
      </c>
      <c r="P234" s="159">
        <v>46081</v>
      </c>
      <c r="Q234" s="154" t="str">
        <f t="shared" si="82"/>
        <v>Nagy Anna - Főnix Dojo</v>
      </c>
      <c r="R234" s="154" t="s">
        <v>636</v>
      </c>
      <c r="S234" s="154" t="str">
        <f t="shared" si="83"/>
        <v>Főnix Dojo</v>
      </c>
      <c r="T234" s="154" t="s">
        <v>645</v>
      </c>
      <c r="U234" s="154" t="s">
        <v>797</v>
      </c>
      <c r="V234" s="154"/>
    </row>
    <row r="235" spans="1:22" s="158" customFormat="1" x14ac:dyDescent="0.3">
      <c r="A235" s="154" t="s">
        <v>775</v>
      </c>
      <c r="B235" s="155">
        <v>2</v>
      </c>
      <c r="C235" s="154">
        <v>159</v>
      </c>
      <c r="D235" s="156" t="str">
        <f t="shared" si="88"/>
        <v>Kumite</v>
      </c>
      <c r="E235" s="156" t="str">
        <f t="shared" si="89"/>
        <v>Kumite, -, 45-55 kg, Serdülő (13-14</v>
      </c>
      <c r="F235" s="156" t="s">
        <v>539</v>
      </c>
      <c r="G235" s="157" t="str">
        <f t="shared" si="90"/>
        <v>11</v>
      </c>
      <c r="H235" s="156" t="str">
        <f t="shared" si="91"/>
        <v>16 fős egyenes kiesés</v>
      </c>
      <c r="I235" s="157" t="str">
        <f>"11-16"</f>
        <v>11-16</v>
      </c>
      <c r="J235" s="156" t="str">
        <f>"Volenszki Mira"</f>
        <v>Volenszki Mira</v>
      </c>
      <c r="K235" s="156" t="str">
        <f>"WARRIORS TEAM"</f>
        <v>WARRIORS TEAM</v>
      </c>
      <c r="L235" s="156" t="str">
        <f t="shared" si="74"/>
        <v>HUN</v>
      </c>
      <c r="M235" s="163">
        <v>0</v>
      </c>
      <c r="O235" s="154" t="s">
        <v>246</v>
      </c>
      <c r="P235" s="159">
        <v>46081</v>
      </c>
      <c r="Q235" s="154" t="str">
        <f t="shared" si="82"/>
        <v>Volenszki Mira - WARRIORS TEAM</v>
      </c>
      <c r="R235" s="154" t="s">
        <v>636</v>
      </c>
      <c r="S235" s="154" t="str">
        <f t="shared" si="83"/>
        <v>WARRIORS TEAM</v>
      </c>
      <c r="T235" s="154" t="s">
        <v>645</v>
      </c>
      <c r="U235" s="154" t="s">
        <v>797</v>
      </c>
      <c r="V235" s="154"/>
    </row>
    <row r="236" spans="1:22" s="158" customFormat="1" x14ac:dyDescent="0.3">
      <c r="A236" s="154" t="s">
        <v>775</v>
      </c>
      <c r="B236" s="155">
        <v>2</v>
      </c>
      <c r="C236" s="154">
        <v>160</v>
      </c>
      <c r="D236" s="156" t="str">
        <f t="shared" si="88"/>
        <v>Kumite</v>
      </c>
      <c r="E236" s="156" t="str">
        <f t="shared" si="89"/>
        <v>Kumite, -, 45-55 kg, Serdülő (13-14</v>
      </c>
      <c r="F236" s="156" t="s">
        <v>539</v>
      </c>
      <c r="G236" s="157" t="str">
        <f t="shared" si="90"/>
        <v>11</v>
      </c>
      <c r="H236" s="156" t="str">
        <f t="shared" si="91"/>
        <v>16 fős egyenes kiesés</v>
      </c>
      <c r="I236" s="157" t="str">
        <f>"11-16"</f>
        <v>11-16</v>
      </c>
      <c r="J236" s="156" t="str">
        <f>"Solymári Orsolya Dalma"</f>
        <v>Solymári Orsolya Dalma</v>
      </c>
      <c r="K236" s="156" t="str">
        <f>"WARRIORS TEAM"</f>
        <v>WARRIORS TEAM</v>
      </c>
      <c r="L236" s="156" t="str">
        <f t="shared" si="74"/>
        <v>HUN</v>
      </c>
      <c r="M236" s="163">
        <v>0</v>
      </c>
      <c r="O236" s="154" t="s">
        <v>246</v>
      </c>
      <c r="P236" s="159">
        <v>46081</v>
      </c>
      <c r="Q236" s="154" t="str">
        <f t="shared" si="82"/>
        <v>Solymári Orsolya Dalma - WARRIORS TEAM</v>
      </c>
      <c r="R236" s="154" t="s">
        <v>636</v>
      </c>
      <c r="S236" s="154" t="str">
        <f t="shared" si="83"/>
        <v>WARRIORS TEAM</v>
      </c>
      <c r="T236" s="154" t="s">
        <v>645</v>
      </c>
      <c r="U236" s="154" t="s">
        <v>797</v>
      </c>
      <c r="V236" s="154"/>
    </row>
    <row r="237" spans="1:22" s="158" customFormat="1" x14ac:dyDescent="0.3">
      <c r="A237" s="154" t="s">
        <v>775</v>
      </c>
      <c r="B237" s="155">
        <v>2</v>
      </c>
      <c r="C237" s="154">
        <v>161</v>
      </c>
      <c r="D237" s="156" t="str">
        <f t="shared" si="88"/>
        <v>Kumite</v>
      </c>
      <c r="E237" s="156" t="str">
        <f t="shared" si="89"/>
        <v>Kumite, -, 45-55 kg, Serdülő (13-14</v>
      </c>
      <c r="F237" s="156" t="s">
        <v>539</v>
      </c>
      <c r="G237" s="157" t="str">
        <f t="shared" si="90"/>
        <v>11</v>
      </c>
      <c r="H237" s="156" t="str">
        <f t="shared" si="91"/>
        <v>16 fős egyenes kiesés</v>
      </c>
      <c r="I237" s="157" t="str">
        <f>"11-16"</f>
        <v>11-16</v>
      </c>
      <c r="J237" s="156" t="str">
        <f>"Volenszki Adél"</f>
        <v>Volenszki Adél</v>
      </c>
      <c r="K237" s="156" t="str">
        <f>"WARRIORS TEAM"</f>
        <v>WARRIORS TEAM</v>
      </c>
      <c r="L237" s="156" t="str">
        <f t="shared" si="74"/>
        <v>HUN</v>
      </c>
      <c r="M237" s="163">
        <v>0</v>
      </c>
      <c r="O237" s="154" t="s">
        <v>246</v>
      </c>
      <c r="P237" s="159">
        <v>46081</v>
      </c>
      <c r="Q237" s="154" t="str">
        <f t="shared" si="82"/>
        <v>Volenszki Adél - WARRIORS TEAM</v>
      </c>
      <c r="R237" s="154" t="s">
        <v>636</v>
      </c>
      <c r="S237" s="154" t="str">
        <f t="shared" si="83"/>
        <v>WARRIORS TEAM</v>
      </c>
      <c r="T237" s="154" t="s">
        <v>645</v>
      </c>
      <c r="U237" s="154" t="s">
        <v>797</v>
      </c>
      <c r="V237" s="154"/>
    </row>
    <row r="238" spans="1:22" s="158" customFormat="1" x14ac:dyDescent="0.3">
      <c r="A238" s="154" t="s">
        <v>775</v>
      </c>
      <c r="B238" s="155">
        <v>2</v>
      </c>
      <c r="C238" s="154">
        <v>162</v>
      </c>
      <c r="D238" s="156" t="str">
        <f t="shared" si="88"/>
        <v>Kumite</v>
      </c>
      <c r="E238" s="156" t="str">
        <f>"Kumite, -, 55-65 kg, Serdülő (13-14"</f>
        <v>Kumite, -, 55-65 kg, Serdülő (13-14</v>
      </c>
      <c r="F238" s="156" t="s">
        <v>540</v>
      </c>
      <c r="G238" s="157" t="str">
        <f>"6"</f>
        <v>6</v>
      </c>
      <c r="H238" s="156" t="str">
        <f>"6 fős vegyes"</f>
        <v>6 fős vegyes</v>
      </c>
      <c r="I238" s="157" t="str">
        <f>"1"</f>
        <v>1</v>
      </c>
      <c r="J238" s="156" t="str">
        <f>"Bennárik Bella"</f>
        <v>Bennárik Bella</v>
      </c>
      <c r="K238" s="156" t="str">
        <f>"WARRIORS TEAM"</f>
        <v>WARRIORS TEAM</v>
      </c>
      <c r="L238" s="156" t="str">
        <f t="shared" si="74"/>
        <v>HUN</v>
      </c>
      <c r="M238" s="163">
        <v>6</v>
      </c>
      <c r="O238" s="154" t="s">
        <v>246</v>
      </c>
      <c r="P238" s="159">
        <v>46081</v>
      </c>
      <c r="Q238" s="154" t="str">
        <f t="shared" si="82"/>
        <v>Bennárik Bella - WARRIORS TEAM</v>
      </c>
      <c r="R238" s="154" t="s">
        <v>636</v>
      </c>
      <c r="S238" s="154" t="str">
        <f t="shared" si="83"/>
        <v>WARRIORS TEAM</v>
      </c>
      <c r="T238" s="154" t="s">
        <v>645</v>
      </c>
      <c r="U238" s="154" t="s">
        <v>797</v>
      </c>
      <c r="V238" s="154"/>
    </row>
    <row r="239" spans="1:22" s="158" customFormat="1" x14ac:dyDescent="0.3">
      <c r="A239" s="154" t="s">
        <v>775</v>
      </c>
      <c r="B239" s="155">
        <v>2</v>
      </c>
      <c r="C239" s="154">
        <v>163</v>
      </c>
      <c r="D239" s="156" t="str">
        <f t="shared" si="88"/>
        <v>Kumite</v>
      </c>
      <c r="E239" s="156" t="str">
        <f>"Kumite, -, 55-65 kg, Serdülő (13-14"</f>
        <v>Kumite, -, 55-65 kg, Serdülő (13-14</v>
      </c>
      <c r="F239" s="156" t="s">
        <v>540</v>
      </c>
      <c r="G239" s="157" t="str">
        <f>"6"</f>
        <v>6</v>
      </c>
      <c r="H239" s="156" t="str">
        <f>"6 fős vegyes"</f>
        <v>6 fős vegyes</v>
      </c>
      <c r="I239" s="157" t="str">
        <f>"2"</f>
        <v>2</v>
      </c>
      <c r="J239" s="156" t="str">
        <f>"Szabó Anna Tímea"</f>
        <v>Szabó Anna Tímea</v>
      </c>
      <c r="K239" s="156" t="str">
        <f>"Katana SE"</f>
        <v>Katana SE</v>
      </c>
      <c r="L239" s="156" t="str">
        <f t="shared" si="74"/>
        <v>HUN</v>
      </c>
      <c r="M239" s="163">
        <v>5</v>
      </c>
      <c r="O239" s="154" t="s">
        <v>246</v>
      </c>
      <c r="P239" s="159">
        <v>46081</v>
      </c>
      <c r="Q239" s="154" t="str">
        <f t="shared" si="82"/>
        <v>Szabó Anna Tímea - Katana SE</v>
      </c>
      <c r="R239" s="154" t="s">
        <v>636</v>
      </c>
      <c r="S239" s="154" t="str">
        <f t="shared" si="83"/>
        <v>Katana SE</v>
      </c>
      <c r="T239" s="154" t="s">
        <v>645</v>
      </c>
      <c r="U239" s="154" t="s">
        <v>797</v>
      </c>
      <c r="V239" s="154"/>
    </row>
    <row r="240" spans="1:22" s="158" customFormat="1" x14ac:dyDescent="0.3">
      <c r="A240" s="154" t="s">
        <v>775</v>
      </c>
      <c r="B240" s="155">
        <v>2</v>
      </c>
      <c r="C240" s="154">
        <v>164</v>
      </c>
      <c r="D240" s="156" t="str">
        <f t="shared" si="88"/>
        <v>Kumite</v>
      </c>
      <c r="E240" s="156" t="str">
        <f>"Kumite, -, 55-65 kg, Serdülő (13-14"</f>
        <v>Kumite, -, 55-65 kg, Serdülő (13-14</v>
      </c>
      <c r="F240" s="156" t="s">
        <v>540</v>
      </c>
      <c r="G240" s="157" t="str">
        <f>"6"</f>
        <v>6</v>
      </c>
      <c r="H240" s="156" t="str">
        <f>"6 fős vegyes"</f>
        <v>6 fős vegyes</v>
      </c>
      <c r="I240" s="157" t="str">
        <f>"3"</f>
        <v>3</v>
      </c>
      <c r="J240" s="156" t="str">
        <f>"Abou Hussein Maya"</f>
        <v>Abou Hussein Maya</v>
      </c>
      <c r="K240" s="156" t="str">
        <f>"Ippon KKSE"</f>
        <v>Ippon KKSE</v>
      </c>
      <c r="L240" s="156" t="str">
        <f t="shared" si="74"/>
        <v>HUN</v>
      </c>
      <c r="M240" s="163">
        <v>3</v>
      </c>
      <c r="O240" s="154" t="s">
        <v>246</v>
      </c>
      <c r="P240" s="159">
        <v>46081</v>
      </c>
      <c r="Q240" s="154" t="str">
        <f t="shared" si="82"/>
        <v>Abou Hussein Maya - Ippon KKSE</v>
      </c>
      <c r="R240" s="154" t="s">
        <v>636</v>
      </c>
      <c r="S240" s="154" t="str">
        <f t="shared" si="83"/>
        <v>Ippon KKSE</v>
      </c>
      <c r="T240" s="154" t="s">
        <v>645</v>
      </c>
      <c r="U240" s="154" t="s">
        <v>797</v>
      </c>
      <c r="V240" s="154"/>
    </row>
    <row r="241" spans="1:22" s="158" customFormat="1" x14ac:dyDescent="0.3">
      <c r="A241" s="154" t="s">
        <v>775</v>
      </c>
      <c r="B241" s="155">
        <v>2</v>
      </c>
      <c r="C241" s="154">
        <v>165</v>
      </c>
      <c r="D241" s="156" t="str">
        <f t="shared" si="88"/>
        <v>Kumite</v>
      </c>
      <c r="E241" s="156" t="str">
        <f>"Kumite, -, 65-150 kg, Serdülő (13-14"</f>
        <v>Kumite, -, 65-150 kg, Serdülő (13-14</v>
      </c>
      <c r="F241" s="156" t="s">
        <v>543</v>
      </c>
      <c r="G241" s="157" t="str">
        <f>"3"</f>
        <v>3</v>
      </c>
      <c r="H241" s="156" t="str">
        <f>"3 fős körmérkőzés"</f>
        <v>3 fős körmérkőzés</v>
      </c>
      <c r="I241" s="157" t="str">
        <f>"1"</f>
        <v>1</v>
      </c>
      <c r="J241" s="156" t="str">
        <f>"Szente Beatrix"</f>
        <v>Szente Beatrix</v>
      </c>
      <c r="K241" s="156" t="str">
        <f>"VTSE"</f>
        <v>VTSE</v>
      </c>
      <c r="L241" s="156" t="str">
        <f t="shared" si="74"/>
        <v>HUN</v>
      </c>
      <c r="M241" s="163">
        <v>4</v>
      </c>
      <c r="O241" s="154" t="s">
        <v>246</v>
      </c>
      <c r="P241" s="159">
        <v>46081</v>
      </c>
      <c r="Q241" s="154" t="str">
        <f t="shared" si="82"/>
        <v>Szente Beatrix - VTSE</v>
      </c>
      <c r="R241" s="154" t="s">
        <v>637</v>
      </c>
      <c r="S241" s="154" t="str">
        <f t="shared" si="83"/>
        <v>VTSE</v>
      </c>
      <c r="T241" s="154" t="s">
        <v>645</v>
      </c>
      <c r="U241" s="154" t="s">
        <v>797</v>
      </c>
      <c r="V241" s="154"/>
    </row>
    <row r="242" spans="1:22" s="158" customFormat="1" x14ac:dyDescent="0.3">
      <c r="A242" s="154" t="s">
        <v>775</v>
      </c>
      <c r="B242" s="155">
        <v>2</v>
      </c>
      <c r="C242" s="154">
        <v>166</v>
      </c>
      <c r="D242" s="156" t="str">
        <f t="shared" si="88"/>
        <v>Kumite</v>
      </c>
      <c r="E242" s="156" t="str">
        <f>"Kumite, -, 65-150 kg, Serdülő (13-14"</f>
        <v>Kumite, -, 65-150 kg, Serdülő (13-14</v>
      </c>
      <c r="F242" s="156" t="s">
        <v>543</v>
      </c>
      <c r="G242" s="157" t="str">
        <f>"3"</f>
        <v>3</v>
      </c>
      <c r="H242" s="156" t="str">
        <f>"3 fős körmérkőzés"</f>
        <v>3 fős körmérkőzés</v>
      </c>
      <c r="I242" s="157" t="str">
        <f>"2"</f>
        <v>2</v>
      </c>
      <c r="J242" s="156" t="str">
        <f>"Lukácsi Réka"</f>
        <v>Lukácsi Réka</v>
      </c>
      <c r="K242" s="156" t="str">
        <f>"Ippon KKSE"</f>
        <v>Ippon KKSE</v>
      </c>
      <c r="L242" s="156" t="str">
        <f t="shared" si="74"/>
        <v>HUN</v>
      </c>
      <c r="M242" s="163">
        <v>3</v>
      </c>
      <c r="O242" s="154" t="s">
        <v>246</v>
      </c>
      <c r="P242" s="159">
        <v>46081</v>
      </c>
      <c r="Q242" s="154" t="str">
        <f t="shared" si="82"/>
        <v>Lukácsi Réka - Ippon KKSE</v>
      </c>
      <c r="R242" s="154" t="s">
        <v>636</v>
      </c>
      <c r="S242" s="154" t="str">
        <f t="shared" si="83"/>
        <v>Ippon KKSE</v>
      </c>
      <c r="T242" s="154" t="s">
        <v>645</v>
      </c>
      <c r="U242" s="154" t="s">
        <v>797</v>
      </c>
      <c r="V242" s="154"/>
    </row>
    <row r="243" spans="1:22" s="158" customFormat="1" x14ac:dyDescent="0.3">
      <c r="A243" s="154" t="s">
        <v>775</v>
      </c>
      <c r="B243" s="155">
        <v>2</v>
      </c>
      <c r="C243" s="154">
        <v>167</v>
      </c>
      <c r="D243" s="156" t="str">
        <f t="shared" si="88"/>
        <v>Kumite</v>
      </c>
      <c r="E243" s="156" t="str">
        <f>"Kumite, -, 65-150 kg, Serdülő (13-14"</f>
        <v>Kumite, -, 65-150 kg, Serdülő (13-14</v>
      </c>
      <c r="F243" s="156" t="s">
        <v>543</v>
      </c>
      <c r="G243" s="157" t="str">
        <f>"3"</f>
        <v>3</v>
      </c>
      <c r="H243" s="156" t="str">
        <f>"3 fős körmérkőzés"</f>
        <v>3 fős körmérkőzés</v>
      </c>
      <c r="I243" s="157" t="str">
        <f>"3"</f>
        <v>3</v>
      </c>
      <c r="J243" s="156" t="str">
        <f>"Bota Sára"</f>
        <v>Bota Sára</v>
      </c>
      <c r="K243" s="156" t="str">
        <f>"Rakurai"</f>
        <v>Rakurai</v>
      </c>
      <c r="L243" s="156" t="str">
        <f t="shared" si="74"/>
        <v>HUN</v>
      </c>
      <c r="M243" s="163">
        <v>2</v>
      </c>
      <c r="O243" s="154" t="s">
        <v>246</v>
      </c>
      <c r="P243" s="159">
        <v>46081</v>
      </c>
      <c r="Q243" s="154" t="str">
        <f t="shared" si="82"/>
        <v>Bota Sára - Rakurai</v>
      </c>
      <c r="R243" s="154" t="s">
        <v>636</v>
      </c>
      <c r="S243" s="154" t="str">
        <f t="shared" si="83"/>
        <v>Rakurai</v>
      </c>
      <c r="T243" s="154" t="s">
        <v>645</v>
      </c>
      <c r="U243" s="154" t="s">
        <v>797</v>
      </c>
      <c r="V243" s="154"/>
    </row>
    <row r="244" spans="1:22" s="158" customFormat="1" x14ac:dyDescent="0.3">
      <c r="A244" s="154" t="s">
        <v>775</v>
      </c>
      <c r="B244" s="155">
        <v>2</v>
      </c>
      <c r="C244" s="154">
        <v>168</v>
      </c>
      <c r="D244" s="156" t="str">
        <f t="shared" si="88"/>
        <v>Kumite</v>
      </c>
      <c r="E244" s="156" t="str">
        <f>"Kumite, -, 40-45 kg, Serdülő (13-14"</f>
        <v>Kumite, -, 40-45 kg, Serdülő (13-14</v>
      </c>
      <c r="F244" s="156" t="s">
        <v>536</v>
      </c>
      <c r="G244" s="157" t="str">
        <f>"2"</f>
        <v>2</v>
      </c>
      <c r="H244" s="156" t="str">
        <f>"2 fős egyenes kiesés"</f>
        <v>2 fős egyenes kiesés</v>
      </c>
      <c r="I244" s="157" t="str">
        <f>"1"</f>
        <v>1</v>
      </c>
      <c r="J244" s="156" t="str">
        <f>"Horváth Liliána"</f>
        <v>Horváth Liliána</v>
      </c>
      <c r="K244" s="156" t="str">
        <f>"Kamikaze S"</f>
        <v>Kamikaze S</v>
      </c>
      <c r="L244" s="156" t="str">
        <f t="shared" si="74"/>
        <v>HUN</v>
      </c>
      <c r="M244" s="163">
        <v>3</v>
      </c>
      <c r="O244" s="154" t="s">
        <v>246</v>
      </c>
      <c r="P244" s="159">
        <v>46081</v>
      </c>
      <c r="Q244" s="154" t="str">
        <f t="shared" si="82"/>
        <v>Horváth Liliána - Kamikaze S</v>
      </c>
      <c r="R244" s="154" t="s">
        <v>636</v>
      </c>
      <c r="S244" s="154" t="str">
        <f t="shared" si="83"/>
        <v>Kamikaze S</v>
      </c>
      <c r="T244" s="154" t="s">
        <v>645</v>
      </c>
      <c r="U244" s="154" t="s">
        <v>797</v>
      </c>
      <c r="V244" s="154"/>
    </row>
    <row r="245" spans="1:22" s="158" customFormat="1" x14ac:dyDescent="0.3">
      <c r="A245" s="154" t="s">
        <v>775</v>
      </c>
      <c r="B245" s="155">
        <v>2</v>
      </c>
      <c r="C245" s="154">
        <v>169</v>
      </c>
      <c r="D245" s="156" t="str">
        <f t="shared" si="88"/>
        <v>Kumite</v>
      </c>
      <c r="E245" s="156" t="str">
        <f>"Kumite, -, 40-45 kg, Serdülő (13-14"</f>
        <v>Kumite, -, 40-45 kg, Serdülő (13-14</v>
      </c>
      <c r="F245" s="156" t="s">
        <v>536</v>
      </c>
      <c r="G245" s="157" t="str">
        <f>"2"</f>
        <v>2</v>
      </c>
      <c r="H245" s="156" t="str">
        <f>"2 fős egyenes kiesés"</f>
        <v>2 fős egyenes kiesés</v>
      </c>
      <c r="I245" s="157" t="str">
        <f>"2"</f>
        <v>2</v>
      </c>
      <c r="J245" s="156" t="str">
        <f>"Mihályi Tünde"</f>
        <v>Mihályi Tünde</v>
      </c>
      <c r="K245" s="156" t="str">
        <f>"BHMSE"</f>
        <v>BHMSE</v>
      </c>
      <c r="L245" s="156" t="str">
        <f t="shared" si="74"/>
        <v>HUN</v>
      </c>
      <c r="M245" s="163">
        <v>0</v>
      </c>
      <c r="O245" s="154" t="s">
        <v>246</v>
      </c>
      <c r="P245" s="159">
        <v>46081</v>
      </c>
      <c r="Q245" s="154" t="str">
        <f t="shared" si="82"/>
        <v>Mihályi Tünde - BHMSE</v>
      </c>
      <c r="R245" s="154" t="s">
        <v>636</v>
      </c>
      <c r="S245" s="154" t="str">
        <f t="shared" si="83"/>
        <v>BHMSE</v>
      </c>
      <c r="T245" s="154" t="s">
        <v>645</v>
      </c>
      <c r="U245" s="154" t="s">
        <v>797</v>
      </c>
      <c r="V245" s="154"/>
    </row>
    <row r="246" spans="1:22" s="158" customFormat="1" x14ac:dyDescent="0.3">
      <c r="A246" s="154" t="s">
        <v>775</v>
      </c>
      <c r="B246" s="155">
        <v>2</v>
      </c>
      <c r="C246" s="154">
        <v>170</v>
      </c>
      <c r="D246" s="156" t="str">
        <f t="shared" ref="D246:D261" si="92">"Kata"</f>
        <v>Kata</v>
      </c>
      <c r="E246" s="156" t="str">
        <f t="shared" ref="E246:E261" si="93">"Kata, -, 0-150 kg, Serdülő (13-14"</f>
        <v>Kata, -, 0-150 kg, Serdülő (13-14</v>
      </c>
      <c r="F246" s="156" t="s">
        <v>538</v>
      </c>
      <c r="G246" s="157" t="str">
        <f t="shared" ref="G246:G261" si="94">"20"</f>
        <v>20</v>
      </c>
      <c r="H246" s="156" t="str">
        <f t="shared" ref="H246:H261" si="95">"32 fős egyenes kiesés"</f>
        <v>32 fős egyenes kiesés</v>
      </c>
      <c r="I246" s="157" t="str">
        <f>"1"</f>
        <v>1</v>
      </c>
      <c r="J246" s="156" t="str">
        <f>"Szabó Anna Tímea"</f>
        <v>Szabó Anna Tímea</v>
      </c>
      <c r="K246" s="156" t="str">
        <f>"Katana SE"</f>
        <v>Katana SE</v>
      </c>
      <c r="L246" s="156" t="str">
        <f t="shared" si="74"/>
        <v>HUN</v>
      </c>
      <c r="M246" s="163">
        <v>8</v>
      </c>
      <c r="O246" s="154" t="s">
        <v>246</v>
      </c>
      <c r="P246" s="159">
        <v>46081</v>
      </c>
      <c r="Q246" s="154" t="str">
        <f t="shared" si="82"/>
        <v>Szabó Anna Tímea - Katana SE</v>
      </c>
      <c r="R246" s="154" t="s">
        <v>636</v>
      </c>
      <c r="S246" s="154" t="str">
        <f t="shared" si="83"/>
        <v>Katana SE</v>
      </c>
      <c r="T246" s="154" t="s">
        <v>645</v>
      </c>
      <c r="U246" s="154" t="s">
        <v>797</v>
      </c>
      <c r="V246" s="154"/>
    </row>
    <row r="247" spans="1:22" s="158" customFormat="1" x14ac:dyDescent="0.3">
      <c r="A247" s="154" t="s">
        <v>775</v>
      </c>
      <c r="B247" s="155">
        <v>2</v>
      </c>
      <c r="C247" s="154">
        <v>171</v>
      </c>
      <c r="D247" s="156" t="str">
        <f t="shared" si="92"/>
        <v>Kata</v>
      </c>
      <c r="E247" s="156" t="str">
        <f t="shared" si="93"/>
        <v>Kata, -, 0-150 kg, Serdülő (13-14</v>
      </c>
      <c r="F247" s="156" t="s">
        <v>538</v>
      </c>
      <c r="G247" s="157" t="str">
        <f t="shared" si="94"/>
        <v>20</v>
      </c>
      <c r="H247" s="156" t="str">
        <f t="shared" si="95"/>
        <v>32 fős egyenes kiesés</v>
      </c>
      <c r="I247" s="157" t="str">
        <f>"2"</f>
        <v>2</v>
      </c>
      <c r="J247" s="156" t="str">
        <f>"Tóth-Krisó Míra"</f>
        <v>Tóth-Krisó Míra</v>
      </c>
      <c r="K247" s="156" t="str">
        <f>"Katana SE"</f>
        <v>Katana SE</v>
      </c>
      <c r="L247" s="156" t="str">
        <f t="shared" si="74"/>
        <v>HUN</v>
      </c>
      <c r="M247" s="163">
        <v>6</v>
      </c>
      <c r="O247" s="154" t="s">
        <v>246</v>
      </c>
      <c r="P247" s="159">
        <v>46081</v>
      </c>
      <c r="Q247" s="154" t="str">
        <f t="shared" si="82"/>
        <v>Tóth-Krisó Míra - Katana SE</v>
      </c>
      <c r="R247" s="154" t="s">
        <v>636</v>
      </c>
      <c r="S247" s="154" t="str">
        <f t="shared" si="83"/>
        <v>Katana SE</v>
      </c>
      <c r="T247" s="154" t="s">
        <v>645</v>
      </c>
      <c r="U247" s="154" t="s">
        <v>797</v>
      </c>
      <c r="V247" s="154"/>
    </row>
    <row r="248" spans="1:22" s="158" customFormat="1" x14ac:dyDescent="0.3">
      <c r="A248" s="154" t="s">
        <v>775</v>
      </c>
      <c r="B248" s="155">
        <v>2</v>
      </c>
      <c r="C248" s="154">
        <v>172</v>
      </c>
      <c r="D248" s="156" t="str">
        <f t="shared" si="92"/>
        <v>Kata</v>
      </c>
      <c r="E248" s="156" t="str">
        <f t="shared" si="93"/>
        <v>Kata, -, 0-150 kg, Serdülő (13-14</v>
      </c>
      <c r="F248" s="156" t="s">
        <v>538</v>
      </c>
      <c r="G248" s="157" t="str">
        <f t="shared" si="94"/>
        <v>20</v>
      </c>
      <c r="H248" s="156" t="str">
        <f t="shared" si="95"/>
        <v>32 fős egyenes kiesés</v>
      </c>
      <c r="I248" s="157" t="str">
        <f>"3"</f>
        <v>3</v>
      </c>
      <c r="J248" s="156" t="str">
        <f>"Horváth Dóra Lili"</f>
        <v>Horváth Dóra Lili</v>
      </c>
      <c r="K248" s="156" t="str">
        <f>"BHMSE"</f>
        <v>BHMSE</v>
      </c>
      <c r="L248" s="156" t="str">
        <f t="shared" si="74"/>
        <v>HUN</v>
      </c>
      <c r="M248" s="163">
        <v>4</v>
      </c>
      <c r="O248" s="154" t="s">
        <v>246</v>
      </c>
      <c r="P248" s="159">
        <v>46081</v>
      </c>
      <c r="Q248" s="154" t="str">
        <f t="shared" si="82"/>
        <v>Horváth Dóra Lili - BHMSE</v>
      </c>
      <c r="R248" s="154" t="s">
        <v>636</v>
      </c>
      <c r="S248" s="154" t="str">
        <f t="shared" si="83"/>
        <v>BHMSE</v>
      </c>
      <c r="T248" s="154" t="s">
        <v>645</v>
      </c>
      <c r="U248" s="154" t="s">
        <v>797</v>
      </c>
      <c r="V248" s="154"/>
    </row>
    <row r="249" spans="1:22" s="158" customFormat="1" x14ac:dyDescent="0.3">
      <c r="A249" s="154" t="s">
        <v>775</v>
      </c>
      <c r="B249" s="155">
        <v>2</v>
      </c>
      <c r="C249" s="154">
        <v>173</v>
      </c>
      <c r="D249" s="156" t="str">
        <f t="shared" si="92"/>
        <v>Kata</v>
      </c>
      <c r="E249" s="156" t="str">
        <f t="shared" si="93"/>
        <v>Kata, -, 0-150 kg, Serdülő (13-14</v>
      </c>
      <c r="F249" s="156" t="s">
        <v>538</v>
      </c>
      <c r="G249" s="157" t="str">
        <f t="shared" si="94"/>
        <v>20</v>
      </c>
      <c r="H249" s="156" t="str">
        <f t="shared" si="95"/>
        <v>32 fős egyenes kiesés</v>
      </c>
      <c r="I249" s="157" t="str">
        <f>"3"</f>
        <v>3</v>
      </c>
      <c r="J249" s="156" t="str">
        <f>"Mészáros Lili Dóra"</f>
        <v>Mészáros Lili Dóra</v>
      </c>
      <c r="K249" s="156" t="str">
        <f>"KSE Tarján"</f>
        <v>KSE Tarján</v>
      </c>
      <c r="L249" s="156" t="str">
        <f t="shared" si="74"/>
        <v>HUN</v>
      </c>
      <c r="M249" s="163">
        <v>4</v>
      </c>
      <c r="O249" s="154" t="s">
        <v>246</v>
      </c>
      <c r="P249" s="159">
        <v>46081</v>
      </c>
      <c r="Q249" s="154" t="str">
        <f t="shared" si="82"/>
        <v>Mészáros Lili Dóra - KSE Tarján</v>
      </c>
      <c r="R249" s="154" t="s">
        <v>636</v>
      </c>
      <c r="S249" s="154" t="str">
        <f t="shared" si="83"/>
        <v>KSE Tarján</v>
      </c>
      <c r="T249" s="154" t="s">
        <v>645</v>
      </c>
      <c r="U249" s="154" t="s">
        <v>797</v>
      </c>
      <c r="V249" s="154"/>
    </row>
    <row r="250" spans="1:22" s="158" customFormat="1" x14ac:dyDescent="0.3">
      <c r="A250" s="154" t="s">
        <v>775</v>
      </c>
      <c r="B250" s="155">
        <v>2</v>
      </c>
      <c r="C250" s="154">
        <v>174</v>
      </c>
      <c r="D250" s="156" t="str">
        <f t="shared" si="92"/>
        <v>Kata</v>
      </c>
      <c r="E250" s="156" t="str">
        <f t="shared" si="93"/>
        <v>Kata, -, 0-150 kg, Serdülő (13-14</v>
      </c>
      <c r="F250" s="156" t="s">
        <v>538</v>
      </c>
      <c r="G250" s="157" t="str">
        <f t="shared" si="94"/>
        <v>20</v>
      </c>
      <c r="H250" s="156" t="str">
        <f t="shared" si="95"/>
        <v>32 fős egyenes kiesés</v>
      </c>
      <c r="I250" s="157" t="str">
        <f>"5"</f>
        <v>5</v>
      </c>
      <c r="J250" s="156" t="str">
        <f>"Szűcs Anna"</f>
        <v>Szűcs Anna</v>
      </c>
      <c r="K250" s="156" t="str">
        <f>"Ichiro Dojo"</f>
        <v>Ichiro Dojo</v>
      </c>
      <c r="L250" s="156" t="str">
        <f t="shared" si="74"/>
        <v>HUN</v>
      </c>
      <c r="M250" s="163">
        <v>2</v>
      </c>
      <c r="O250" s="154" t="s">
        <v>246</v>
      </c>
      <c r="P250" s="159">
        <v>46081</v>
      </c>
      <c r="Q250" s="154" t="str">
        <f t="shared" si="82"/>
        <v>Szűcs Anna - Ichiro Dojo</v>
      </c>
      <c r="R250" s="154" t="s">
        <v>637</v>
      </c>
      <c r="S250" s="154" t="str">
        <f t="shared" si="83"/>
        <v>Ichiro Dojo</v>
      </c>
      <c r="T250" s="154" t="s">
        <v>645</v>
      </c>
      <c r="U250" s="154" t="s">
        <v>797</v>
      </c>
      <c r="V250" s="154"/>
    </row>
    <row r="251" spans="1:22" s="158" customFormat="1" x14ac:dyDescent="0.3">
      <c r="A251" s="154" t="s">
        <v>775</v>
      </c>
      <c r="B251" s="155">
        <v>2</v>
      </c>
      <c r="C251" s="154">
        <v>175</v>
      </c>
      <c r="D251" s="156" t="str">
        <f t="shared" si="92"/>
        <v>Kata</v>
      </c>
      <c r="E251" s="156" t="str">
        <f t="shared" si="93"/>
        <v>Kata, -, 0-150 kg, Serdülő (13-14</v>
      </c>
      <c r="F251" s="156" t="s">
        <v>538</v>
      </c>
      <c r="G251" s="157" t="str">
        <f t="shared" si="94"/>
        <v>20</v>
      </c>
      <c r="H251" s="156" t="str">
        <f t="shared" si="95"/>
        <v>32 fős egyenes kiesés</v>
      </c>
      <c r="I251" s="157" t="str">
        <f>"6"</f>
        <v>6</v>
      </c>
      <c r="J251" s="156" t="str">
        <f>"Mihályi Tünde"</f>
        <v>Mihályi Tünde</v>
      </c>
      <c r="K251" s="156" t="str">
        <f>"BHMSE"</f>
        <v>BHMSE</v>
      </c>
      <c r="L251" s="156" t="str">
        <f t="shared" si="74"/>
        <v>HUN</v>
      </c>
      <c r="M251" s="163">
        <v>2</v>
      </c>
      <c r="O251" s="154" t="s">
        <v>246</v>
      </c>
      <c r="P251" s="159">
        <v>46081</v>
      </c>
      <c r="Q251" s="154" t="str">
        <f t="shared" si="82"/>
        <v>Mihályi Tünde - BHMSE</v>
      </c>
      <c r="R251" s="154" t="s">
        <v>636</v>
      </c>
      <c r="S251" s="154" t="str">
        <f t="shared" si="83"/>
        <v>BHMSE</v>
      </c>
      <c r="T251" s="154" t="s">
        <v>645</v>
      </c>
      <c r="U251" s="154" t="s">
        <v>797</v>
      </c>
      <c r="V251" s="154"/>
    </row>
    <row r="252" spans="1:22" s="158" customFormat="1" x14ac:dyDescent="0.3">
      <c r="A252" s="154" t="s">
        <v>775</v>
      </c>
      <c r="B252" s="155">
        <v>2</v>
      </c>
      <c r="C252" s="154">
        <v>176</v>
      </c>
      <c r="D252" s="156" t="str">
        <f t="shared" si="92"/>
        <v>Kata</v>
      </c>
      <c r="E252" s="156" t="str">
        <f t="shared" si="93"/>
        <v>Kata, -, 0-150 kg, Serdülő (13-14</v>
      </c>
      <c r="F252" s="156" t="s">
        <v>538</v>
      </c>
      <c r="G252" s="157" t="str">
        <f t="shared" si="94"/>
        <v>20</v>
      </c>
      <c r="H252" s="156" t="str">
        <f t="shared" si="95"/>
        <v>32 fős egyenes kiesés</v>
      </c>
      <c r="I252" s="157" t="str">
        <f>"7-8"</f>
        <v>7-8</v>
      </c>
      <c r="J252" s="156" t="str">
        <f>"Gazdag Csinszka"</f>
        <v>Gazdag Csinszka</v>
      </c>
      <c r="K252" s="156" t="str">
        <f>"ASE Bulldog KKSZCS"</f>
        <v>ASE Bulldog KKSZCS</v>
      </c>
      <c r="L252" s="156" t="str">
        <f t="shared" si="74"/>
        <v>HUN</v>
      </c>
      <c r="M252" s="163">
        <v>2</v>
      </c>
      <c r="O252" s="154" t="s">
        <v>246</v>
      </c>
      <c r="P252" s="159">
        <v>46081</v>
      </c>
      <c r="Q252" s="154" t="str">
        <f t="shared" si="82"/>
        <v>Gazdag Csinszka - ASE Bulldog KKSZCS</v>
      </c>
      <c r="R252" s="154" t="s">
        <v>636</v>
      </c>
      <c r="S252" s="154" t="str">
        <f t="shared" si="83"/>
        <v>ASE Bulldog KKSZCS</v>
      </c>
      <c r="T252" s="154" t="s">
        <v>645</v>
      </c>
      <c r="U252" s="154" t="s">
        <v>797</v>
      </c>
      <c r="V252" s="154"/>
    </row>
    <row r="253" spans="1:22" s="158" customFormat="1" x14ac:dyDescent="0.3">
      <c r="A253" s="154" t="s">
        <v>775</v>
      </c>
      <c r="B253" s="155">
        <v>2</v>
      </c>
      <c r="C253" s="154">
        <v>177</v>
      </c>
      <c r="D253" s="156" t="str">
        <f t="shared" si="92"/>
        <v>Kata</v>
      </c>
      <c r="E253" s="156" t="str">
        <f t="shared" si="93"/>
        <v>Kata, -, 0-150 kg, Serdülő (13-14</v>
      </c>
      <c r="F253" s="156" t="s">
        <v>538</v>
      </c>
      <c r="G253" s="157" t="str">
        <f t="shared" si="94"/>
        <v>20</v>
      </c>
      <c r="H253" s="156" t="str">
        <f t="shared" si="95"/>
        <v>32 fős egyenes kiesés</v>
      </c>
      <c r="I253" s="157" t="str">
        <f>"7-8"</f>
        <v>7-8</v>
      </c>
      <c r="J253" s="156" t="str">
        <f>"Radnóti Lilla"</f>
        <v>Radnóti Lilla</v>
      </c>
      <c r="K253" s="156" t="str">
        <f>"POWER SE."</f>
        <v>POWER SE.</v>
      </c>
      <c r="L253" s="156" t="str">
        <f t="shared" si="74"/>
        <v>HUN</v>
      </c>
      <c r="M253" s="163">
        <v>2</v>
      </c>
      <c r="O253" s="154" t="s">
        <v>246</v>
      </c>
      <c r="P253" s="159">
        <v>46081</v>
      </c>
      <c r="Q253" s="154" t="str">
        <f t="shared" si="82"/>
        <v>Radnóti Lilla - POWER SE.</v>
      </c>
      <c r="R253" s="154" t="s">
        <v>636</v>
      </c>
      <c r="S253" s="154" t="str">
        <f t="shared" si="83"/>
        <v>POWER SE.</v>
      </c>
      <c r="T253" s="154" t="s">
        <v>645</v>
      </c>
      <c r="U253" s="154" t="s">
        <v>797</v>
      </c>
      <c r="V253" s="154"/>
    </row>
    <row r="254" spans="1:22" s="158" customFormat="1" x14ac:dyDescent="0.3">
      <c r="A254" s="154" t="s">
        <v>775</v>
      </c>
      <c r="B254" s="155">
        <v>2</v>
      </c>
      <c r="C254" s="154">
        <v>178</v>
      </c>
      <c r="D254" s="156" t="str">
        <f t="shared" si="92"/>
        <v>Kata</v>
      </c>
      <c r="E254" s="156" t="str">
        <f t="shared" si="93"/>
        <v>Kata, -, 0-150 kg, Serdülő (13-14</v>
      </c>
      <c r="F254" s="156" t="s">
        <v>538</v>
      </c>
      <c r="G254" s="157" t="str">
        <f t="shared" si="94"/>
        <v>20</v>
      </c>
      <c r="H254" s="156" t="str">
        <f t="shared" si="95"/>
        <v>32 fős egyenes kiesés</v>
      </c>
      <c r="I254" s="157" t="str">
        <f>"9"</f>
        <v>9</v>
      </c>
      <c r="J254" s="156" t="str">
        <f>"Kovács Linett"</f>
        <v>Kovács Linett</v>
      </c>
      <c r="K254" s="156" t="str">
        <f>"RDKKSE"</f>
        <v>RDKKSE</v>
      </c>
      <c r="L254" s="156" t="str">
        <f t="shared" si="74"/>
        <v>HUN</v>
      </c>
      <c r="M254" s="163">
        <v>0</v>
      </c>
      <c r="O254" s="154" t="s">
        <v>246</v>
      </c>
      <c r="P254" s="159">
        <v>46081</v>
      </c>
      <c r="Q254" s="154" t="str">
        <f t="shared" si="82"/>
        <v>Kovács Linett - RDKKSE</v>
      </c>
      <c r="R254" s="154" t="s">
        <v>636</v>
      </c>
      <c r="S254" s="154" t="str">
        <f t="shared" si="83"/>
        <v>RDKKSE</v>
      </c>
      <c r="T254" s="154" t="s">
        <v>645</v>
      </c>
      <c r="U254" s="154" t="s">
        <v>797</v>
      </c>
      <c r="V254" s="154"/>
    </row>
    <row r="255" spans="1:22" s="158" customFormat="1" x14ac:dyDescent="0.3">
      <c r="A255" s="154" t="s">
        <v>775</v>
      </c>
      <c r="B255" s="155">
        <v>2</v>
      </c>
      <c r="C255" s="154">
        <v>179</v>
      </c>
      <c r="D255" s="156" t="str">
        <f t="shared" si="92"/>
        <v>Kata</v>
      </c>
      <c r="E255" s="156" t="str">
        <f t="shared" si="93"/>
        <v>Kata, -, 0-150 kg, Serdülő (13-14</v>
      </c>
      <c r="F255" s="156" t="s">
        <v>538</v>
      </c>
      <c r="G255" s="157" t="str">
        <f t="shared" si="94"/>
        <v>20</v>
      </c>
      <c r="H255" s="156" t="str">
        <f t="shared" si="95"/>
        <v>32 fős egyenes kiesés</v>
      </c>
      <c r="I255" s="157" t="str">
        <f>"10"</f>
        <v>10</v>
      </c>
      <c r="J255" s="156" t="str">
        <f>"Gál Petra Andrea"</f>
        <v>Gál Petra Andrea</v>
      </c>
      <c r="K255" s="156" t="str">
        <f>"Fitt KKSE"</f>
        <v>Fitt KKSE</v>
      </c>
      <c r="L255" s="156" t="str">
        <f t="shared" si="74"/>
        <v>HUN</v>
      </c>
      <c r="M255" s="163">
        <v>0</v>
      </c>
      <c r="O255" s="154" t="s">
        <v>246</v>
      </c>
      <c r="P255" s="159">
        <v>46081</v>
      </c>
      <c r="Q255" s="154" t="str">
        <f t="shared" si="82"/>
        <v>Gál Petra Andrea - Fitt KKSE</v>
      </c>
      <c r="R255" s="154" t="s">
        <v>636</v>
      </c>
      <c r="S255" s="154" t="str">
        <f t="shared" si="83"/>
        <v>Fitt KKSE</v>
      </c>
      <c r="T255" s="154" t="s">
        <v>645</v>
      </c>
      <c r="U255" s="154" t="s">
        <v>797</v>
      </c>
      <c r="V255" s="154"/>
    </row>
    <row r="256" spans="1:22" s="158" customFormat="1" x14ac:dyDescent="0.3">
      <c r="A256" s="154" t="s">
        <v>775</v>
      </c>
      <c r="B256" s="155">
        <v>2</v>
      </c>
      <c r="C256" s="154">
        <v>180</v>
      </c>
      <c r="D256" s="156" t="str">
        <f t="shared" si="92"/>
        <v>Kata</v>
      </c>
      <c r="E256" s="156" t="str">
        <f t="shared" si="93"/>
        <v>Kata, -, 0-150 kg, Serdülő (13-14</v>
      </c>
      <c r="F256" s="156" t="s">
        <v>538</v>
      </c>
      <c r="G256" s="157" t="str">
        <f t="shared" si="94"/>
        <v>20</v>
      </c>
      <c r="H256" s="156" t="str">
        <f t="shared" si="95"/>
        <v>32 fős egyenes kiesés</v>
      </c>
      <c r="I256" s="157" t="str">
        <f t="shared" ref="I256:I261" si="96">"11-16"</f>
        <v>11-16</v>
      </c>
      <c r="J256" s="156" t="str">
        <f>"Orosz Elizabett"</f>
        <v>Orosz Elizabett</v>
      </c>
      <c r="K256" s="156" t="str">
        <f>"KSE Tarján"</f>
        <v>KSE Tarján</v>
      </c>
      <c r="L256" s="156" t="str">
        <f t="shared" si="74"/>
        <v>HUN</v>
      </c>
      <c r="M256" s="163">
        <v>0</v>
      </c>
      <c r="O256" s="154" t="s">
        <v>246</v>
      </c>
      <c r="P256" s="159">
        <v>46081</v>
      </c>
      <c r="Q256" s="154" t="str">
        <f t="shared" si="82"/>
        <v>Orosz Elizabett - KSE Tarján</v>
      </c>
      <c r="R256" s="154" t="s">
        <v>636</v>
      </c>
      <c r="S256" s="154" t="str">
        <f t="shared" si="83"/>
        <v>KSE Tarján</v>
      </c>
      <c r="T256" s="154" t="s">
        <v>645</v>
      </c>
      <c r="U256" s="154" t="s">
        <v>797</v>
      </c>
      <c r="V256" s="154"/>
    </row>
    <row r="257" spans="1:22" s="158" customFormat="1" x14ac:dyDescent="0.3">
      <c r="A257" s="154" t="s">
        <v>775</v>
      </c>
      <c r="B257" s="155">
        <v>2</v>
      </c>
      <c r="C257" s="154">
        <v>181</v>
      </c>
      <c r="D257" s="156" t="str">
        <f t="shared" si="92"/>
        <v>Kata</v>
      </c>
      <c r="E257" s="156" t="str">
        <f t="shared" si="93"/>
        <v>Kata, -, 0-150 kg, Serdülő (13-14</v>
      </c>
      <c r="F257" s="156" t="s">
        <v>538</v>
      </c>
      <c r="G257" s="157" t="str">
        <f t="shared" si="94"/>
        <v>20</v>
      </c>
      <c r="H257" s="156" t="str">
        <f t="shared" si="95"/>
        <v>32 fős egyenes kiesés</v>
      </c>
      <c r="I257" s="157" t="str">
        <f t="shared" si="96"/>
        <v>11-16</v>
      </c>
      <c r="J257" s="156" t="str">
        <f>"Gaál-Vajai Tamara"</f>
        <v>Gaál-Vajai Tamara</v>
      </c>
      <c r="K257" s="156" t="str">
        <f>"Főnix Dojo"</f>
        <v>Főnix Dojo</v>
      </c>
      <c r="L257" s="156" t="str">
        <f t="shared" si="74"/>
        <v>HUN</v>
      </c>
      <c r="M257" s="163">
        <v>0</v>
      </c>
      <c r="O257" s="154" t="s">
        <v>246</v>
      </c>
      <c r="P257" s="159">
        <v>46081</v>
      </c>
      <c r="Q257" s="154" t="str">
        <f t="shared" si="82"/>
        <v>Gaál-Vajai Tamara - Főnix Dojo</v>
      </c>
      <c r="R257" s="154" t="s">
        <v>636</v>
      </c>
      <c r="S257" s="154" t="str">
        <f t="shared" si="83"/>
        <v>Főnix Dojo</v>
      </c>
      <c r="T257" s="154" t="s">
        <v>645</v>
      </c>
      <c r="U257" s="154" t="s">
        <v>797</v>
      </c>
      <c r="V257" s="154"/>
    </row>
    <row r="258" spans="1:22" s="158" customFormat="1" x14ac:dyDescent="0.3">
      <c r="A258" s="154" t="s">
        <v>775</v>
      </c>
      <c r="B258" s="155">
        <v>2</v>
      </c>
      <c r="C258" s="154">
        <v>182</v>
      </c>
      <c r="D258" s="156" t="str">
        <f t="shared" si="92"/>
        <v>Kata</v>
      </c>
      <c r="E258" s="156" t="str">
        <f t="shared" si="93"/>
        <v>Kata, -, 0-150 kg, Serdülő (13-14</v>
      </c>
      <c r="F258" s="156" t="s">
        <v>538</v>
      </c>
      <c r="G258" s="157" t="str">
        <f t="shared" si="94"/>
        <v>20</v>
      </c>
      <c r="H258" s="156" t="str">
        <f t="shared" si="95"/>
        <v>32 fős egyenes kiesés</v>
      </c>
      <c r="I258" s="157" t="str">
        <f t="shared" si="96"/>
        <v>11-16</v>
      </c>
      <c r="J258" s="156" t="str">
        <f>"Nagy Anna"</f>
        <v>Nagy Anna</v>
      </c>
      <c r="K258" s="156" t="str">
        <f>"Főnix Dojo"</f>
        <v>Főnix Dojo</v>
      </c>
      <c r="L258" s="156" t="str">
        <f t="shared" si="74"/>
        <v>HUN</v>
      </c>
      <c r="M258" s="163">
        <v>0</v>
      </c>
      <c r="O258" s="154" t="s">
        <v>246</v>
      </c>
      <c r="P258" s="159">
        <v>46081</v>
      </c>
      <c r="Q258" s="154" t="str">
        <f t="shared" si="82"/>
        <v>Nagy Anna - Főnix Dojo</v>
      </c>
      <c r="R258" s="154" t="s">
        <v>636</v>
      </c>
      <c r="S258" s="154" t="str">
        <f t="shared" si="83"/>
        <v>Főnix Dojo</v>
      </c>
      <c r="T258" s="154" t="s">
        <v>645</v>
      </c>
      <c r="U258" s="154" t="s">
        <v>797</v>
      </c>
      <c r="V258" s="154"/>
    </row>
    <row r="259" spans="1:22" s="158" customFormat="1" x14ac:dyDescent="0.3">
      <c r="A259" s="154" t="s">
        <v>775</v>
      </c>
      <c r="B259" s="155">
        <v>2</v>
      </c>
      <c r="C259" s="154">
        <v>183</v>
      </c>
      <c r="D259" s="156" t="str">
        <f t="shared" si="92"/>
        <v>Kata</v>
      </c>
      <c r="E259" s="156" t="str">
        <f t="shared" si="93"/>
        <v>Kata, -, 0-150 kg, Serdülő (13-14</v>
      </c>
      <c r="F259" s="156" t="s">
        <v>538</v>
      </c>
      <c r="G259" s="157" t="str">
        <f t="shared" si="94"/>
        <v>20</v>
      </c>
      <c r="H259" s="156" t="str">
        <f t="shared" si="95"/>
        <v>32 fős egyenes kiesés</v>
      </c>
      <c r="I259" s="157" t="str">
        <f t="shared" si="96"/>
        <v>11-16</v>
      </c>
      <c r="J259" s="156" t="str">
        <f>"Kovács Maja"</f>
        <v>Kovács Maja</v>
      </c>
      <c r="K259" s="156" t="str">
        <f>"Katana SE"</f>
        <v>Katana SE</v>
      </c>
      <c r="L259" s="156" t="str">
        <f t="shared" ref="L259:L324" si="97">"HUN"</f>
        <v>HUN</v>
      </c>
      <c r="M259" s="163">
        <v>0</v>
      </c>
      <c r="O259" s="154" t="s">
        <v>246</v>
      </c>
      <c r="P259" s="159">
        <v>46081</v>
      </c>
      <c r="Q259" s="154" t="str">
        <f t="shared" si="82"/>
        <v>Kovács Maja - Katana SE</v>
      </c>
      <c r="R259" s="154" t="s">
        <v>636</v>
      </c>
      <c r="S259" s="154" t="str">
        <f t="shared" si="83"/>
        <v>Katana SE</v>
      </c>
      <c r="T259" s="154" t="s">
        <v>645</v>
      </c>
      <c r="U259" s="154" t="s">
        <v>797</v>
      </c>
      <c r="V259" s="154"/>
    </row>
    <row r="260" spans="1:22" s="158" customFormat="1" x14ac:dyDescent="0.3">
      <c r="A260" s="154" t="s">
        <v>775</v>
      </c>
      <c r="B260" s="155">
        <v>2</v>
      </c>
      <c r="C260" s="154">
        <v>184</v>
      </c>
      <c r="D260" s="156" t="str">
        <f t="shared" si="92"/>
        <v>Kata</v>
      </c>
      <c r="E260" s="156" t="str">
        <f t="shared" si="93"/>
        <v>Kata, -, 0-150 kg, Serdülő (13-14</v>
      </c>
      <c r="F260" s="156" t="s">
        <v>538</v>
      </c>
      <c r="G260" s="157" t="str">
        <f t="shared" si="94"/>
        <v>20</v>
      </c>
      <c r="H260" s="156" t="str">
        <f t="shared" si="95"/>
        <v>32 fős egyenes kiesés</v>
      </c>
      <c r="I260" s="157" t="str">
        <f t="shared" si="96"/>
        <v>11-16</v>
      </c>
      <c r="J260" s="156" t="str">
        <f>"Lukácsi Réka"</f>
        <v>Lukácsi Réka</v>
      </c>
      <c r="K260" s="156" t="str">
        <f>"Ippon KKSE"</f>
        <v>Ippon KKSE</v>
      </c>
      <c r="L260" s="156" t="str">
        <f t="shared" si="97"/>
        <v>HUN</v>
      </c>
      <c r="M260" s="163">
        <v>0</v>
      </c>
      <c r="O260" s="154" t="s">
        <v>246</v>
      </c>
      <c r="P260" s="159">
        <v>46081</v>
      </c>
      <c r="Q260" s="154" t="str">
        <f t="shared" si="82"/>
        <v>Lukácsi Réka - Ippon KKSE</v>
      </c>
      <c r="R260" s="154" t="s">
        <v>636</v>
      </c>
      <c r="S260" s="154" t="str">
        <f t="shared" si="83"/>
        <v>Ippon KKSE</v>
      </c>
      <c r="T260" s="154" t="s">
        <v>645</v>
      </c>
      <c r="U260" s="154" t="s">
        <v>797</v>
      </c>
      <c r="V260" s="154"/>
    </row>
    <row r="261" spans="1:22" s="158" customFormat="1" x14ac:dyDescent="0.3">
      <c r="A261" s="154" t="s">
        <v>775</v>
      </c>
      <c r="B261" s="155">
        <v>2</v>
      </c>
      <c r="C261" s="154">
        <v>185</v>
      </c>
      <c r="D261" s="156" t="str">
        <f t="shared" si="92"/>
        <v>Kata</v>
      </c>
      <c r="E261" s="156" t="str">
        <f t="shared" si="93"/>
        <v>Kata, -, 0-150 kg, Serdülő (13-14</v>
      </c>
      <c r="F261" s="156" t="s">
        <v>538</v>
      </c>
      <c r="G261" s="157" t="str">
        <f t="shared" si="94"/>
        <v>20</v>
      </c>
      <c r="H261" s="156" t="str">
        <f t="shared" si="95"/>
        <v>32 fős egyenes kiesés</v>
      </c>
      <c r="I261" s="157" t="str">
        <f t="shared" si="96"/>
        <v>11-16</v>
      </c>
      <c r="J261" s="156" t="str">
        <f>"Szatmári Nóra Hanna"</f>
        <v>Szatmári Nóra Hanna</v>
      </c>
      <c r="K261" s="156" t="str">
        <f>"WARRIORS TEAM"</f>
        <v>WARRIORS TEAM</v>
      </c>
      <c r="L261" s="156" t="str">
        <f t="shared" si="97"/>
        <v>HUN</v>
      </c>
      <c r="M261" s="163">
        <v>0</v>
      </c>
      <c r="O261" s="154" t="s">
        <v>246</v>
      </c>
      <c r="P261" s="159">
        <v>46081</v>
      </c>
      <c r="Q261" s="154" t="str">
        <f t="shared" si="82"/>
        <v>Szatmári Nóra Hanna - WARRIORS TEAM</v>
      </c>
      <c r="R261" s="154" t="s">
        <v>636</v>
      </c>
      <c r="S261" s="154" t="str">
        <f t="shared" si="83"/>
        <v>WARRIORS TEAM</v>
      </c>
      <c r="T261" s="154" t="s">
        <v>645</v>
      </c>
      <c r="U261" s="154" t="s">
        <v>797</v>
      </c>
      <c r="V261" s="154"/>
    </row>
    <row r="262" spans="1:22" s="158" customFormat="1" x14ac:dyDescent="0.3">
      <c r="A262" s="154" t="s">
        <v>775</v>
      </c>
      <c r="B262" s="155">
        <v>2</v>
      </c>
      <c r="C262" s="154">
        <v>186</v>
      </c>
      <c r="D262" s="156" t="str">
        <f t="shared" ref="D262:D282" si="98">"Kumite"</f>
        <v>Kumite</v>
      </c>
      <c r="E262" s="156" t="str">
        <f>"Kumite, -, 0-50 kg, Ifjúsági (15-16"</f>
        <v>Kumite, -, 0-50 kg, Ifjúsági (15-16</v>
      </c>
      <c r="F262" s="156" t="s">
        <v>541</v>
      </c>
      <c r="G262" s="157" t="str">
        <f>"4"</f>
        <v>4</v>
      </c>
      <c r="H262" s="156" t="str">
        <f>"4 fős körmérkőzés"</f>
        <v>4 fős körmérkőzés</v>
      </c>
      <c r="I262" s="157" t="str">
        <f>"1"</f>
        <v>1</v>
      </c>
      <c r="J262" s="156" t="str">
        <f>"Gombos-Weidinger Barnabás"</f>
        <v>Gombos-Weidinger Barnabás</v>
      </c>
      <c r="K262" s="156" t="str">
        <f>"BHMSE"</f>
        <v>BHMSE</v>
      </c>
      <c r="L262" s="156" t="str">
        <f t="shared" si="97"/>
        <v>HUN</v>
      </c>
      <c r="M262" s="163">
        <v>6</v>
      </c>
      <c r="O262" s="154" t="s">
        <v>246</v>
      </c>
      <c r="P262" s="159">
        <v>46081</v>
      </c>
      <c r="Q262" s="154" t="str">
        <f t="shared" si="82"/>
        <v>Gombos-Weidinger Barnabás - BHMSE</v>
      </c>
      <c r="R262" s="154" t="s">
        <v>636</v>
      </c>
      <c r="S262" s="154" t="str">
        <f t="shared" si="83"/>
        <v>BHMSE</v>
      </c>
      <c r="T262" s="154" t="s">
        <v>645</v>
      </c>
      <c r="U262" s="154" t="s">
        <v>798</v>
      </c>
      <c r="V262" s="154"/>
    </row>
    <row r="263" spans="1:22" s="158" customFormat="1" x14ac:dyDescent="0.3">
      <c r="A263" s="154" t="s">
        <v>775</v>
      </c>
      <c r="B263" s="155">
        <v>2</v>
      </c>
      <c r="C263" s="154">
        <v>187</v>
      </c>
      <c r="D263" s="156" t="str">
        <f t="shared" si="98"/>
        <v>Kumite</v>
      </c>
      <c r="E263" s="156" t="str">
        <f>"Kumite, -, 0-50 kg, Ifjúsági (15-16"</f>
        <v>Kumite, -, 0-50 kg, Ifjúsági (15-16</v>
      </c>
      <c r="F263" s="156" t="s">
        <v>541</v>
      </c>
      <c r="G263" s="157" t="str">
        <f>"4"</f>
        <v>4</v>
      </c>
      <c r="H263" s="156" t="str">
        <f>"4 fős körmérkőzés"</f>
        <v>4 fős körmérkőzés</v>
      </c>
      <c r="I263" s="157" t="str">
        <f>"2"</f>
        <v>2</v>
      </c>
      <c r="J263" s="156" t="str">
        <f>"Bollók Zalán"</f>
        <v>Bollók Zalán</v>
      </c>
      <c r="K263" s="156" t="str">
        <f>"VTSE"</f>
        <v>VTSE</v>
      </c>
      <c r="L263" s="156" t="str">
        <f t="shared" si="97"/>
        <v>HUN</v>
      </c>
      <c r="M263" s="163">
        <v>5</v>
      </c>
      <c r="O263" s="154" t="s">
        <v>246</v>
      </c>
      <c r="P263" s="159">
        <v>46081</v>
      </c>
      <c r="Q263" s="154" t="str">
        <f t="shared" si="82"/>
        <v>Bollók Zalán - VTSE</v>
      </c>
      <c r="R263" s="154" t="s">
        <v>637</v>
      </c>
      <c r="S263" s="154" t="str">
        <f t="shared" si="83"/>
        <v>VTSE</v>
      </c>
      <c r="T263" s="154" t="s">
        <v>645</v>
      </c>
      <c r="U263" s="154" t="s">
        <v>798</v>
      </c>
      <c r="V263" s="154"/>
    </row>
    <row r="264" spans="1:22" s="158" customFormat="1" x14ac:dyDescent="0.3">
      <c r="A264" s="154" t="s">
        <v>775</v>
      </c>
      <c r="B264" s="155">
        <v>2</v>
      </c>
      <c r="C264" s="154">
        <v>188</v>
      </c>
      <c r="D264" s="156" t="str">
        <f t="shared" si="98"/>
        <v>Kumite</v>
      </c>
      <c r="E264" s="156" t="str">
        <f>"Kumite, -, 0-50 kg, Ifjúsági (15-16"</f>
        <v>Kumite, -, 0-50 kg, Ifjúsági (15-16</v>
      </c>
      <c r="F264" s="156" t="s">
        <v>541</v>
      </c>
      <c r="G264" s="157" t="str">
        <f>"4"</f>
        <v>4</v>
      </c>
      <c r="H264" s="156" t="str">
        <f>"4 fős körmérkőzés"</f>
        <v>4 fős körmérkőzés</v>
      </c>
      <c r="I264" s="157" t="str">
        <f>"3"</f>
        <v>3</v>
      </c>
      <c r="J264" s="156" t="str">
        <f>"Lukács Filip"</f>
        <v>Lukács Filip</v>
      </c>
      <c r="K264" s="156" t="str">
        <f>"BHMSE"</f>
        <v>BHMSE</v>
      </c>
      <c r="L264" s="156" t="str">
        <f t="shared" si="97"/>
        <v>HUN</v>
      </c>
      <c r="M264" s="163">
        <v>3</v>
      </c>
      <c r="O264" s="154" t="s">
        <v>246</v>
      </c>
      <c r="P264" s="159">
        <v>46081</v>
      </c>
      <c r="Q264" s="154" t="str">
        <f t="shared" si="82"/>
        <v>Lukács Filip - BHMSE</v>
      </c>
      <c r="R264" s="154" t="s">
        <v>636</v>
      </c>
      <c r="S264" s="154" t="str">
        <f t="shared" si="83"/>
        <v>BHMSE</v>
      </c>
      <c r="T264" s="154" t="s">
        <v>645</v>
      </c>
      <c r="U264" s="154" t="s">
        <v>798</v>
      </c>
      <c r="V264" s="154"/>
    </row>
    <row r="265" spans="1:22" s="158" customFormat="1" x14ac:dyDescent="0.3">
      <c r="A265" s="154" t="s">
        <v>775</v>
      </c>
      <c r="B265" s="155">
        <v>2</v>
      </c>
      <c r="C265" s="154">
        <v>189</v>
      </c>
      <c r="D265" s="156" t="str">
        <f t="shared" si="98"/>
        <v>Kumite</v>
      </c>
      <c r="E265" s="156" t="str">
        <f>"Kumite, -, 50-55 kg, Ifjúsági (15-16"</f>
        <v>Kumite, -, 50-55 kg, Ifjúsági (15-16</v>
      </c>
      <c r="F265" s="156" t="s">
        <v>542</v>
      </c>
      <c r="G265" s="157" t="str">
        <f>"2"</f>
        <v>2</v>
      </c>
      <c r="H265" s="156" t="str">
        <f>"2 fős egyenes kiesés"</f>
        <v>2 fős egyenes kiesés</v>
      </c>
      <c r="I265" s="157" t="str">
        <f>"1"</f>
        <v>1</v>
      </c>
      <c r="J265" s="156" t="str">
        <f>"Szőke Zalán"</f>
        <v>Szőke Zalán</v>
      </c>
      <c r="K265" s="156" t="str">
        <f>"VTSE"</f>
        <v>VTSE</v>
      </c>
      <c r="L265" s="156" t="str">
        <f t="shared" si="97"/>
        <v>HUN</v>
      </c>
      <c r="M265" s="163">
        <v>3</v>
      </c>
      <c r="O265" s="154" t="s">
        <v>246</v>
      </c>
      <c r="P265" s="159">
        <v>46081</v>
      </c>
      <c r="Q265" s="154" t="str">
        <f t="shared" si="82"/>
        <v>Szőke Zalán - VTSE</v>
      </c>
      <c r="R265" s="154" t="s">
        <v>637</v>
      </c>
      <c r="S265" s="154" t="str">
        <f t="shared" si="83"/>
        <v>VTSE</v>
      </c>
      <c r="T265" s="154" t="s">
        <v>645</v>
      </c>
      <c r="U265" s="154" t="s">
        <v>798</v>
      </c>
      <c r="V265" s="154"/>
    </row>
    <row r="266" spans="1:22" s="158" customFormat="1" x14ac:dyDescent="0.3">
      <c r="A266" s="154" t="s">
        <v>775</v>
      </c>
      <c r="B266" s="155">
        <v>2</v>
      </c>
      <c r="C266" s="154">
        <v>190</v>
      </c>
      <c r="D266" s="156" t="str">
        <f t="shared" si="98"/>
        <v>Kumite</v>
      </c>
      <c r="E266" s="156" t="str">
        <f>"Kumite, -, 50-55 kg, Ifjúsági (15-16"</f>
        <v>Kumite, -, 50-55 kg, Ifjúsági (15-16</v>
      </c>
      <c r="F266" s="156" t="s">
        <v>542</v>
      </c>
      <c r="G266" s="157" t="str">
        <f>"2"</f>
        <v>2</v>
      </c>
      <c r="H266" s="156" t="str">
        <f>"2 fős egyenes kiesés"</f>
        <v>2 fős egyenes kiesés</v>
      </c>
      <c r="I266" s="157" t="str">
        <f>"2"</f>
        <v>2</v>
      </c>
      <c r="J266" s="156" t="str">
        <f>"Sztojka Norbert Kevin"</f>
        <v>Sztojka Norbert Kevin</v>
      </c>
      <c r="K266" s="156" t="str">
        <f>"Ippon KKSE"</f>
        <v>Ippon KKSE</v>
      </c>
      <c r="L266" s="156" t="str">
        <f t="shared" si="97"/>
        <v>HUN</v>
      </c>
      <c r="M266" s="163">
        <v>0</v>
      </c>
      <c r="O266" s="154" t="s">
        <v>246</v>
      </c>
      <c r="P266" s="159">
        <v>46081</v>
      </c>
      <c r="Q266" s="154" t="str">
        <f t="shared" si="82"/>
        <v>Sztojka Norbert Kevin - Ippon KKSE</v>
      </c>
      <c r="R266" s="154" t="s">
        <v>636</v>
      </c>
      <c r="S266" s="154" t="str">
        <f t="shared" si="83"/>
        <v>Ippon KKSE</v>
      </c>
      <c r="T266" s="154" t="s">
        <v>645</v>
      </c>
      <c r="U266" s="154" t="s">
        <v>798</v>
      </c>
      <c r="V266" s="154"/>
    </row>
    <row r="267" spans="1:22" s="158" customFormat="1" x14ac:dyDescent="0.3">
      <c r="A267" s="154" t="s">
        <v>775</v>
      </c>
      <c r="B267" s="155">
        <v>2</v>
      </c>
      <c r="C267" s="154">
        <v>191</v>
      </c>
      <c r="D267" s="156" t="str">
        <f t="shared" si="98"/>
        <v>Kumite</v>
      </c>
      <c r="E267" s="156" t="str">
        <f>"Kumite, -, 55-60 kg, Ifjúsági (15-16"</f>
        <v>Kumite, -, 55-60 kg, Ifjúsági (15-16</v>
      </c>
      <c r="F267" s="156" t="s">
        <v>544</v>
      </c>
      <c r="G267" s="157" t="str">
        <f>"2"</f>
        <v>2</v>
      </c>
      <c r="H267" s="156" t="str">
        <f>"2 fős egyenes kiesés"</f>
        <v>2 fős egyenes kiesés</v>
      </c>
      <c r="I267" s="157" t="str">
        <f>"1"</f>
        <v>1</v>
      </c>
      <c r="J267" s="156" t="str">
        <f>"Tóth Gergely"</f>
        <v>Tóth Gergely</v>
      </c>
      <c r="K267" s="156" t="str">
        <f>"Ichiro Dojo"</f>
        <v>Ichiro Dojo</v>
      </c>
      <c r="L267" s="156" t="str">
        <f t="shared" si="97"/>
        <v>HUN</v>
      </c>
      <c r="M267" s="163">
        <v>3</v>
      </c>
      <c r="O267" s="154" t="s">
        <v>246</v>
      </c>
      <c r="P267" s="159">
        <v>46081</v>
      </c>
      <c r="Q267" s="154" t="str">
        <f t="shared" si="82"/>
        <v>Tóth Gergely - Ichiro Dojo</v>
      </c>
      <c r="R267" s="154" t="s">
        <v>637</v>
      </c>
      <c r="S267" s="154" t="str">
        <f t="shared" si="83"/>
        <v>Ichiro Dojo</v>
      </c>
      <c r="T267" s="154" t="s">
        <v>645</v>
      </c>
      <c r="U267" s="154" t="s">
        <v>798</v>
      </c>
      <c r="V267" s="154"/>
    </row>
    <row r="268" spans="1:22" s="158" customFormat="1" x14ac:dyDescent="0.3">
      <c r="A268" s="154" t="s">
        <v>775</v>
      </c>
      <c r="B268" s="155">
        <v>2</v>
      </c>
      <c r="C268" s="154">
        <v>192</v>
      </c>
      <c r="D268" s="156" t="str">
        <f t="shared" si="98"/>
        <v>Kumite</v>
      </c>
      <c r="E268" s="156" t="str">
        <f>"Kumite, -, 55-60 kg, Ifjúsági (15-16"</f>
        <v>Kumite, -, 55-60 kg, Ifjúsági (15-16</v>
      </c>
      <c r="F268" s="156" t="s">
        <v>544</v>
      </c>
      <c r="G268" s="157" t="str">
        <f>"2"</f>
        <v>2</v>
      </c>
      <c r="H268" s="156" t="str">
        <f>"2 fős egyenes kiesés"</f>
        <v>2 fős egyenes kiesés</v>
      </c>
      <c r="I268" s="157" t="str">
        <f>"2"</f>
        <v>2</v>
      </c>
      <c r="J268" s="156" t="str">
        <f>"Kovács Vajk Zoltán"</f>
        <v>Kovács Vajk Zoltán</v>
      </c>
      <c r="K268" s="156" t="str">
        <f>"Katana SE"</f>
        <v>Katana SE</v>
      </c>
      <c r="L268" s="156" t="str">
        <f t="shared" si="97"/>
        <v>HUN</v>
      </c>
      <c r="M268" s="163">
        <v>0</v>
      </c>
      <c r="O268" s="154" t="s">
        <v>246</v>
      </c>
      <c r="P268" s="159">
        <v>46081</v>
      </c>
      <c r="Q268" s="154" t="str">
        <f t="shared" si="82"/>
        <v>Kovács Vajk Zoltán - Katana SE</v>
      </c>
      <c r="R268" s="154" t="s">
        <v>636</v>
      </c>
      <c r="S268" s="154" t="str">
        <f t="shared" si="83"/>
        <v>Katana SE</v>
      </c>
      <c r="T268" s="154" t="s">
        <v>645</v>
      </c>
      <c r="U268" s="154" t="s">
        <v>798</v>
      </c>
      <c r="V268" s="154"/>
    </row>
    <row r="269" spans="1:22" s="158" customFormat="1" x14ac:dyDescent="0.3">
      <c r="A269" s="154" t="s">
        <v>775</v>
      </c>
      <c r="B269" s="155">
        <v>2</v>
      </c>
      <c r="C269" s="154">
        <v>193</v>
      </c>
      <c r="D269" s="156" t="str">
        <f t="shared" si="98"/>
        <v>Kumite</v>
      </c>
      <c r="E269" s="156" t="str">
        <f t="shared" ref="E269:E275" si="99">"Kumite, -, 60-65 kg, Ifjúsági (15-16"</f>
        <v>Kumite, -, 60-65 kg, Ifjúsági (15-16</v>
      </c>
      <c r="F269" s="156" t="s">
        <v>555</v>
      </c>
      <c r="G269" s="157" t="str">
        <f t="shared" ref="G269:G275" si="100">"7"</f>
        <v>7</v>
      </c>
      <c r="H269" s="156" t="str">
        <f t="shared" ref="H269:H275" si="101">"8 fős egyenes kiesés"</f>
        <v>8 fős egyenes kiesés</v>
      </c>
      <c r="I269" s="157" t="str">
        <f>"1"</f>
        <v>1</v>
      </c>
      <c r="J269" s="156" t="str">
        <f>"Magasi Attila"</f>
        <v>Magasi Attila</v>
      </c>
      <c r="K269" s="156" t="str">
        <f>"Főnix Dojo"</f>
        <v>Főnix Dojo</v>
      </c>
      <c r="L269" s="156" t="str">
        <f t="shared" si="97"/>
        <v>HUN</v>
      </c>
      <c r="M269" s="163">
        <v>6</v>
      </c>
      <c r="O269" s="154" t="s">
        <v>246</v>
      </c>
      <c r="P269" s="159">
        <v>46081</v>
      </c>
      <c r="Q269" s="154" t="str">
        <f t="shared" si="82"/>
        <v>Magasi Attila - Főnix Dojo</v>
      </c>
      <c r="R269" s="154" t="s">
        <v>636</v>
      </c>
      <c r="S269" s="154" t="str">
        <f t="shared" si="83"/>
        <v>Főnix Dojo</v>
      </c>
      <c r="T269" s="154" t="s">
        <v>645</v>
      </c>
      <c r="U269" s="154" t="s">
        <v>798</v>
      </c>
      <c r="V269" s="154"/>
    </row>
    <row r="270" spans="1:22" s="158" customFormat="1" x14ac:dyDescent="0.3">
      <c r="A270" s="154" t="s">
        <v>775</v>
      </c>
      <c r="B270" s="155">
        <v>2</v>
      </c>
      <c r="C270" s="154">
        <v>194</v>
      </c>
      <c r="D270" s="156" t="str">
        <f t="shared" si="98"/>
        <v>Kumite</v>
      </c>
      <c r="E270" s="156" t="str">
        <f t="shared" si="99"/>
        <v>Kumite, -, 60-65 kg, Ifjúsági (15-16</v>
      </c>
      <c r="F270" s="156" t="s">
        <v>555</v>
      </c>
      <c r="G270" s="157" t="str">
        <f t="shared" si="100"/>
        <v>7</v>
      </c>
      <c r="H270" s="156" t="str">
        <f t="shared" si="101"/>
        <v>8 fős egyenes kiesés</v>
      </c>
      <c r="I270" s="157" t="str">
        <f>"2"</f>
        <v>2</v>
      </c>
      <c r="J270" s="156" t="str">
        <f>"Farkas Áron Péter"</f>
        <v>Farkas Áron Péter</v>
      </c>
      <c r="K270" s="156" t="str">
        <f>"Ichiro Dojo"</f>
        <v>Ichiro Dojo</v>
      </c>
      <c r="L270" s="156" t="str">
        <f t="shared" si="97"/>
        <v>HUN</v>
      </c>
      <c r="M270" s="163">
        <v>5</v>
      </c>
      <c r="O270" s="154" t="s">
        <v>246</v>
      </c>
      <c r="P270" s="159">
        <v>46081</v>
      </c>
      <c r="Q270" s="154" t="str">
        <f t="shared" ref="Q270:Q340" si="102">J270&amp;" - "&amp;K270</f>
        <v>Farkas Áron Péter - Ichiro Dojo</v>
      </c>
      <c r="R270" s="154" t="s">
        <v>637</v>
      </c>
      <c r="S270" s="154" t="str">
        <f t="shared" ref="S270:S340" si="103">K270</f>
        <v>Ichiro Dojo</v>
      </c>
      <c r="T270" s="154" t="s">
        <v>645</v>
      </c>
      <c r="U270" s="154" t="s">
        <v>798</v>
      </c>
      <c r="V270" s="154"/>
    </row>
    <row r="271" spans="1:22" s="158" customFormat="1" x14ac:dyDescent="0.3">
      <c r="A271" s="154" t="s">
        <v>775</v>
      </c>
      <c r="B271" s="155">
        <v>2</v>
      </c>
      <c r="C271" s="154">
        <v>195</v>
      </c>
      <c r="D271" s="156" t="str">
        <f t="shared" si="98"/>
        <v>Kumite</v>
      </c>
      <c r="E271" s="156" t="str">
        <f t="shared" si="99"/>
        <v>Kumite, -, 60-65 kg, Ifjúsági (15-16</v>
      </c>
      <c r="F271" s="156" t="s">
        <v>555</v>
      </c>
      <c r="G271" s="157" t="str">
        <f t="shared" si="100"/>
        <v>7</v>
      </c>
      <c r="H271" s="156" t="str">
        <f t="shared" si="101"/>
        <v>8 fős egyenes kiesés</v>
      </c>
      <c r="I271" s="157" t="str">
        <f>"3"</f>
        <v>3</v>
      </c>
      <c r="J271" s="156" t="str">
        <f>"Molnár Bence Noel"</f>
        <v>Molnár Bence Noel</v>
      </c>
      <c r="K271" s="156" t="str">
        <f>"WARRIORS TEAM"</f>
        <v>WARRIORS TEAM</v>
      </c>
      <c r="L271" s="156" t="str">
        <f t="shared" si="97"/>
        <v>HUN</v>
      </c>
      <c r="M271" s="163">
        <v>3</v>
      </c>
      <c r="O271" s="154" t="s">
        <v>246</v>
      </c>
      <c r="P271" s="159">
        <v>46081</v>
      </c>
      <c r="Q271" s="154" t="str">
        <f t="shared" si="102"/>
        <v>Molnár Bence Noel - WARRIORS TEAM</v>
      </c>
      <c r="R271" s="154" t="s">
        <v>636</v>
      </c>
      <c r="S271" s="154" t="str">
        <f t="shared" si="103"/>
        <v>WARRIORS TEAM</v>
      </c>
      <c r="T271" s="154" t="s">
        <v>645</v>
      </c>
      <c r="U271" s="154" t="s">
        <v>798</v>
      </c>
      <c r="V271" s="154"/>
    </row>
    <row r="272" spans="1:22" s="158" customFormat="1" x14ac:dyDescent="0.3">
      <c r="A272" s="154" t="s">
        <v>775</v>
      </c>
      <c r="B272" s="155">
        <v>2</v>
      </c>
      <c r="C272" s="154">
        <v>196</v>
      </c>
      <c r="D272" s="156" t="str">
        <f t="shared" si="98"/>
        <v>Kumite</v>
      </c>
      <c r="E272" s="156" t="str">
        <f t="shared" si="99"/>
        <v>Kumite, -, 60-65 kg, Ifjúsági (15-16</v>
      </c>
      <c r="F272" s="156" t="s">
        <v>555</v>
      </c>
      <c r="G272" s="157" t="str">
        <f t="shared" si="100"/>
        <v>7</v>
      </c>
      <c r="H272" s="156" t="str">
        <f t="shared" si="101"/>
        <v>8 fős egyenes kiesés</v>
      </c>
      <c r="I272" s="157" t="str">
        <f>"3"</f>
        <v>3</v>
      </c>
      <c r="J272" s="156" t="str">
        <f>"Bagó Balázs"</f>
        <v>Bagó Balázs</v>
      </c>
      <c r="K272" s="156" t="str">
        <f>"VTSE"</f>
        <v>VTSE</v>
      </c>
      <c r="L272" s="156" t="str">
        <f t="shared" si="97"/>
        <v>HUN</v>
      </c>
      <c r="M272" s="163">
        <v>3</v>
      </c>
      <c r="O272" s="154" t="s">
        <v>246</v>
      </c>
      <c r="P272" s="159">
        <v>46081</v>
      </c>
      <c r="Q272" s="154" t="str">
        <f t="shared" si="102"/>
        <v>Bagó Balázs - VTSE</v>
      </c>
      <c r="R272" s="154" t="s">
        <v>637</v>
      </c>
      <c r="S272" s="154" t="str">
        <f t="shared" si="103"/>
        <v>VTSE</v>
      </c>
      <c r="T272" s="154" t="s">
        <v>645</v>
      </c>
      <c r="U272" s="154" t="s">
        <v>798</v>
      </c>
      <c r="V272" s="154"/>
    </row>
    <row r="273" spans="1:22" s="158" customFormat="1" x14ac:dyDescent="0.3">
      <c r="A273" s="154" t="s">
        <v>775</v>
      </c>
      <c r="B273" s="155">
        <v>2</v>
      </c>
      <c r="C273" s="154">
        <v>197</v>
      </c>
      <c r="D273" s="156" t="str">
        <f t="shared" si="98"/>
        <v>Kumite</v>
      </c>
      <c r="E273" s="156" t="str">
        <f t="shared" si="99"/>
        <v>Kumite, -, 60-65 kg, Ifjúsági (15-16</v>
      </c>
      <c r="F273" s="156" t="s">
        <v>555</v>
      </c>
      <c r="G273" s="157" t="str">
        <f t="shared" si="100"/>
        <v>7</v>
      </c>
      <c r="H273" s="156" t="str">
        <f t="shared" si="101"/>
        <v>8 fős egyenes kiesés</v>
      </c>
      <c r="I273" s="157" t="str">
        <f>"6"</f>
        <v>6</v>
      </c>
      <c r="J273" s="156" t="str">
        <f>"Alkaddour Ali Áron"</f>
        <v>Alkaddour Ali Áron</v>
      </c>
      <c r="K273" s="156" t="str">
        <f>"BHMSE"</f>
        <v>BHMSE</v>
      </c>
      <c r="L273" s="156" t="str">
        <f t="shared" si="97"/>
        <v>HUN</v>
      </c>
      <c r="M273" s="163">
        <v>0</v>
      </c>
      <c r="O273" s="154" t="s">
        <v>246</v>
      </c>
      <c r="P273" s="159">
        <v>46081</v>
      </c>
      <c r="Q273" s="154" t="str">
        <f t="shared" si="102"/>
        <v>Alkaddour Ali Áron - BHMSE</v>
      </c>
      <c r="R273" s="154" t="s">
        <v>636</v>
      </c>
      <c r="S273" s="154" t="str">
        <f t="shared" si="103"/>
        <v>BHMSE</v>
      </c>
      <c r="T273" s="154" t="s">
        <v>645</v>
      </c>
      <c r="U273" s="154" t="s">
        <v>798</v>
      </c>
      <c r="V273" s="154"/>
    </row>
    <row r="274" spans="1:22" s="158" customFormat="1" x14ac:dyDescent="0.3">
      <c r="A274" s="154" t="s">
        <v>775</v>
      </c>
      <c r="B274" s="155">
        <v>2</v>
      </c>
      <c r="C274" s="154">
        <v>198</v>
      </c>
      <c r="D274" s="156" t="str">
        <f t="shared" si="98"/>
        <v>Kumite</v>
      </c>
      <c r="E274" s="156" t="str">
        <f t="shared" si="99"/>
        <v>Kumite, -, 60-65 kg, Ifjúsági (15-16</v>
      </c>
      <c r="F274" s="156" t="s">
        <v>555</v>
      </c>
      <c r="G274" s="157" t="str">
        <f t="shared" si="100"/>
        <v>7</v>
      </c>
      <c r="H274" s="156" t="str">
        <f t="shared" si="101"/>
        <v>8 fős egyenes kiesés</v>
      </c>
      <c r="I274" s="157" t="str">
        <f>"7-8"</f>
        <v>7-8</v>
      </c>
      <c r="J274" s="156" t="str">
        <f>"Fekete Szilárd"</f>
        <v>Fekete Szilárd</v>
      </c>
      <c r="K274" s="156" t="str">
        <f>"POWER SE."</f>
        <v>POWER SE.</v>
      </c>
      <c r="L274" s="156" t="str">
        <f t="shared" si="97"/>
        <v>HUN</v>
      </c>
      <c r="M274" s="163">
        <v>0</v>
      </c>
      <c r="O274" s="154" t="s">
        <v>246</v>
      </c>
      <c r="P274" s="159">
        <v>46081</v>
      </c>
      <c r="Q274" s="154" t="str">
        <f t="shared" si="102"/>
        <v>Fekete Szilárd - POWER SE.</v>
      </c>
      <c r="R274" s="154" t="s">
        <v>636</v>
      </c>
      <c r="S274" s="154" t="str">
        <f t="shared" si="103"/>
        <v>POWER SE.</v>
      </c>
      <c r="T274" s="154" t="s">
        <v>645</v>
      </c>
      <c r="U274" s="154" t="s">
        <v>798</v>
      </c>
      <c r="V274" s="154"/>
    </row>
    <row r="275" spans="1:22" s="158" customFormat="1" x14ac:dyDescent="0.3">
      <c r="A275" s="154" t="s">
        <v>775</v>
      </c>
      <c r="B275" s="155">
        <v>2</v>
      </c>
      <c r="C275" s="154">
        <v>199</v>
      </c>
      <c r="D275" s="156" t="str">
        <f t="shared" si="98"/>
        <v>Kumite</v>
      </c>
      <c r="E275" s="156" t="str">
        <f t="shared" si="99"/>
        <v>Kumite, -, 60-65 kg, Ifjúsági (15-16</v>
      </c>
      <c r="F275" s="156" t="s">
        <v>555</v>
      </c>
      <c r="G275" s="157" t="str">
        <f t="shared" si="100"/>
        <v>7</v>
      </c>
      <c r="H275" s="156" t="str">
        <f t="shared" si="101"/>
        <v>8 fős egyenes kiesés</v>
      </c>
      <c r="I275" s="157" t="str">
        <f>"7-8"</f>
        <v>7-8</v>
      </c>
      <c r="J275" s="156" t="str">
        <f>"Baranyi Tibor"</f>
        <v>Baranyi Tibor</v>
      </c>
      <c r="K275" s="156" t="str">
        <f>"POWER SE."</f>
        <v>POWER SE.</v>
      </c>
      <c r="L275" s="156" t="str">
        <f t="shared" si="97"/>
        <v>HUN</v>
      </c>
      <c r="M275" s="163">
        <v>0</v>
      </c>
      <c r="O275" s="154" t="s">
        <v>246</v>
      </c>
      <c r="P275" s="159">
        <v>46081</v>
      </c>
      <c r="Q275" s="154" t="str">
        <f t="shared" si="102"/>
        <v>Baranyi Tibor - POWER SE.</v>
      </c>
      <c r="R275" s="154" t="s">
        <v>636</v>
      </c>
      <c r="S275" s="154" t="str">
        <f t="shared" si="103"/>
        <v>POWER SE.</v>
      </c>
      <c r="T275" s="154" t="s">
        <v>645</v>
      </c>
      <c r="U275" s="154" t="s">
        <v>798</v>
      </c>
      <c r="V275" s="154"/>
    </row>
    <row r="276" spans="1:22" s="158" customFormat="1" x14ac:dyDescent="0.3">
      <c r="A276" s="154" t="s">
        <v>775</v>
      </c>
      <c r="B276" s="155">
        <v>2</v>
      </c>
      <c r="C276" s="154">
        <v>200</v>
      </c>
      <c r="D276" s="156" t="str">
        <f t="shared" si="98"/>
        <v>Kumite</v>
      </c>
      <c r="E276" s="156" t="str">
        <f>"Kumite, -, 70-75 kg, Ifjúsági (15-16"</f>
        <v>Kumite, -, 70-75 kg, Ifjúsági (15-16</v>
      </c>
      <c r="F276" s="156" t="s">
        <v>556</v>
      </c>
      <c r="G276" s="157" t="str">
        <f>"3"</f>
        <v>3</v>
      </c>
      <c r="H276" s="156" t="str">
        <f>"3 fős körmérkőzés"</f>
        <v>3 fős körmérkőzés</v>
      </c>
      <c r="I276" s="157" t="str">
        <f>"1"</f>
        <v>1</v>
      </c>
      <c r="J276" s="156" t="str">
        <f>"Csonka Máté"</f>
        <v>Csonka Máté</v>
      </c>
      <c r="K276" s="156" t="str">
        <f>"Kamikaze S"</f>
        <v>Kamikaze S</v>
      </c>
      <c r="L276" s="156" t="str">
        <f t="shared" si="97"/>
        <v>HUN</v>
      </c>
      <c r="M276" s="163">
        <v>4</v>
      </c>
      <c r="O276" s="154" t="s">
        <v>246</v>
      </c>
      <c r="P276" s="159">
        <v>46081</v>
      </c>
      <c r="Q276" s="154" t="str">
        <f t="shared" si="102"/>
        <v>Csonka Máté - Kamikaze S</v>
      </c>
      <c r="R276" s="154" t="s">
        <v>636</v>
      </c>
      <c r="S276" s="154" t="str">
        <f t="shared" si="103"/>
        <v>Kamikaze S</v>
      </c>
      <c r="T276" s="154" t="s">
        <v>645</v>
      </c>
      <c r="U276" s="154" t="s">
        <v>798</v>
      </c>
      <c r="V276" s="154"/>
    </row>
    <row r="277" spans="1:22" s="158" customFormat="1" x14ac:dyDescent="0.3">
      <c r="A277" s="154" t="s">
        <v>775</v>
      </c>
      <c r="B277" s="155">
        <v>2</v>
      </c>
      <c r="C277" s="154">
        <v>201</v>
      </c>
      <c r="D277" s="156" t="str">
        <f t="shared" si="98"/>
        <v>Kumite</v>
      </c>
      <c r="E277" s="156" t="str">
        <f>"Kumite, -, 70-75 kg, Ifjúsági (15-16"</f>
        <v>Kumite, -, 70-75 kg, Ifjúsági (15-16</v>
      </c>
      <c r="F277" s="156" t="s">
        <v>556</v>
      </c>
      <c r="G277" s="157" t="str">
        <f>"3"</f>
        <v>3</v>
      </c>
      <c r="H277" s="156" t="str">
        <f>"3 fős körmérkőzés"</f>
        <v>3 fős körmérkőzés</v>
      </c>
      <c r="I277" s="157" t="str">
        <f>"2"</f>
        <v>2</v>
      </c>
      <c r="J277" s="156" t="str">
        <f>"Szabó Levente"</f>
        <v>Szabó Levente</v>
      </c>
      <c r="K277" s="156" t="str">
        <f>"WARRIORS TEAM"</f>
        <v>WARRIORS TEAM</v>
      </c>
      <c r="L277" s="156" t="str">
        <f t="shared" si="97"/>
        <v>HUN</v>
      </c>
      <c r="M277" s="163">
        <v>3</v>
      </c>
      <c r="O277" s="154" t="s">
        <v>246</v>
      </c>
      <c r="P277" s="159">
        <v>46081</v>
      </c>
      <c r="Q277" s="154" t="str">
        <f t="shared" si="102"/>
        <v>Szabó Levente - WARRIORS TEAM</v>
      </c>
      <c r="R277" s="154" t="s">
        <v>636</v>
      </c>
      <c r="S277" s="154" t="str">
        <f t="shared" si="103"/>
        <v>WARRIORS TEAM</v>
      </c>
      <c r="T277" s="154" t="s">
        <v>645</v>
      </c>
      <c r="U277" s="154" t="s">
        <v>798</v>
      </c>
      <c r="V277" s="154"/>
    </row>
    <row r="278" spans="1:22" s="158" customFormat="1" x14ac:dyDescent="0.3">
      <c r="A278" s="154" t="s">
        <v>775</v>
      </c>
      <c r="B278" s="155">
        <v>2</v>
      </c>
      <c r="C278" s="154">
        <v>202</v>
      </c>
      <c r="D278" s="156" t="str">
        <f t="shared" si="98"/>
        <v>Kumite</v>
      </c>
      <c r="E278" s="156" t="str">
        <f>"Kumite, -, 70-75 kg, Ifjúsági (15-16"</f>
        <v>Kumite, -, 70-75 kg, Ifjúsági (15-16</v>
      </c>
      <c r="F278" s="156" t="s">
        <v>556</v>
      </c>
      <c r="G278" s="157" t="str">
        <f>"3"</f>
        <v>3</v>
      </c>
      <c r="H278" s="156" t="str">
        <f>"3 fős körmérkőzés"</f>
        <v>3 fős körmérkőzés</v>
      </c>
      <c r="I278" s="157" t="str">
        <f>"3"</f>
        <v>3</v>
      </c>
      <c r="J278" s="156" t="str">
        <f>"Németh Adrián"</f>
        <v>Németh Adrián</v>
      </c>
      <c r="K278" s="156" t="str">
        <f>"Cs.S.E."</f>
        <v>Cs.S.E.</v>
      </c>
      <c r="L278" s="156" t="str">
        <f t="shared" si="97"/>
        <v>HUN</v>
      </c>
      <c r="M278" s="163">
        <v>0</v>
      </c>
      <c r="N278" s="158" t="s">
        <v>704</v>
      </c>
      <c r="O278" s="154" t="s">
        <v>246</v>
      </c>
      <c r="P278" s="159">
        <v>46081</v>
      </c>
      <c r="Q278" s="154" t="str">
        <f t="shared" si="102"/>
        <v>Németh Adrián - Cs.S.E.</v>
      </c>
      <c r="R278" s="154" t="s">
        <v>636</v>
      </c>
      <c r="S278" s="154" t="str">
        <f t="shared" si="103"/>
        <v>Cs.S.E.</v>
      </c>
      <c r="T278" s="154" t="s">
        <v>645</v>
      </c>
      <c r="U278" s="154" t="s">
        <v>798</v>
      </c>
      <c r="V278" s="154"/>
    </row>
    <row r="279" spans="1:22" s="158" customFormat="1" x14ac:dyDescent="0.3">
      <c r="A279" s="154" t="s">
        <v>775</v>
      </c>
      <c r="B279" s="155">
        <v>2</v>
      </c>
      <c r="C279" s="154">
        <v>203</v>
      </c>
      <c r="D279" s="156" t="str">
        <f t="shared" si="98"/>
        <v>Kumite</v>
      </c>
      <c r="E279" s="156" t="str">
        <f>"Kumite, -, 75-999 kg, Ifjúsági (15-16"</f>
        <v>Kumite, -, 75-999 kg, Ifjúsági (15-16</v>
      </c>
      <c r="F279" s="156" t="s">
        <v>547</v>
      </c>
      <c r="G279" s="157" t="str">
        <f>"5"</f>
        <v>5</v>
      </c>
      <c r="H279" s="156" t="str">
        <f>"5 fős körmérkőzés"</f>
        <v>5 fős körmérkőzés</v>
      </c>
      <c r="I279" s="157" t="str">
        <f>"1"</f>
        <v>1</v>
      </c>
      <c r="J279" s="156" t="str">
        <f>"Garamszegi Zente"</f>
        <v>Garamszegi Zente</v>
      </c>
      <c r="K279" s="156" t="str">
        <f>"WARRIORS TEAM"</f>
        <v>WARRIORS TEAM</v>
      </c>
      <c r="L279" s="156" t="str">
        <f t="shared" si="97"/>
        <v>HUN</v>
      </c>
      <c r="M279" s="163">
        <v>8</v>
      </c>
      <c r="O279" s="154" t="s">
        <v>246</v>
      </c>
      <c r="P279" s="159">
        <v>46081</v>
      </c>
      <c r="Q279" s="154" t="str">
        <f t="shared" si="102"/>
        <v>Garamszegi Zente - WARRIORS TEAM</v>
      </c>
      <c r="R279" s="154" t="s">
        <v>636</v>
      </c>
      <c r="S279" s="154" t="str">
        <f t="shared" si="103"/>
        <v>WARRIORS TEAM</v>
      </c>
      <c r="T279" s="154" t="s">
        <v>645</v>
      </c>
      <c r="U279" s="154" t="s">
        <v>798</v>
      </c>
      <c r="V279" s="154"/>
    </row>
    <row r="280" spans="1:22" s="158" customFormat="1" x14ac:dyDescent="0.3">
      <c r="A280" s="154" t="s">
        <v>775</v>
      </c>
      <c r="B280" s="155">
        <v>2</v>
      </c>
      <c r="C280" s="154">
        <v>204</v>
      </c>
      <c r="D280" s="156" t="str">
        <f t="shared" si="98"/>
        <v>Kumite</v>
      </c>
      <c r="E280" s="156" t="str">
        <f>"Kumite, -, 75-999 kg, Ifjúsági (15-16"</f>
        <v>Kumite, -, 75-999 kg, Ifjúsági (15-16</v>
      </c>
      <c r="F280" s="156" t="s">
        <v>547</v>
      </c>
      <c r="G280" s="157" t="str">
        <f>"5"</f>
        <v>5</v>
      </c>
      <c r="H280" s="156" t="str">
        <f>"5 fős körmérkőzés"</f>
        <v>5 fős körmérkőzés</v>
      </c>
      <c r="I280" s="157" t="str">
        <f>"2"</f>
        <v>2</v>
      </c>
      <c r="J280" s="156" t="str">
        <f>"Szabó Lóránt"</f>
        <v>Szabó Lóránt</v>
      </c>
      <c r="K280" s="156" t="str">
        <f>"Kamikaze S"</f>
        <v>Kamikaze S</v>
      </c>
      <c r="L280" s="156" t="str">
        <f t="shared" si="97"/>
        <v>HUN</v>
      </c>
      <c r="M280" s="163">
        <v>6</v>
      </c>
      <c r="O280" s="154" t="s">
        <v>246</v>
      </c>
      <c r="P280" s="159">
        <v>46081</v>
      </c>
      <c r="Q280" s="154" t="str">
        <f t="shared" si="102"/>
        <v>Szabó Lóránt - Kamikaze S</v>
      </c>
      <c r="R280" s="154" t="s">
        <v>636</v>
      </c>
      <c r="S280" s="154" t="str">
        <f t="shared" si="103"/>
        <v>Kamikaze S</v>
      </c>
      <c r="T280" s="154" t="s">
        <v>645</v>
      </c>
      <c r="U280" s="154" t="s">
        <v>798</v>
      </c>
      <c r="V280" s="154"/>
    </row>
    <row r="281" spans="1:22" s="158" customFormat="1" x14ac:dyDescent="0.3">
      <c r="A281" s="154" t="s">
        <v>775</v>
      </c>
      <c r="B281" s="155">
        <v>2</v>
      </c>
      <c r="C281" s="154">
        <v>205</v>
      </c>
      <c r="D281" s="156" t="str">
        <f t="shared" si="98"/>
        <v>Kumite</v>
      </c>
      <c r="E281" s="156" t="str">
        <f>"Kumite, -, 75-999 kg, Ifjúsági (15-16"</f>
        <v>Kumite, -, 75-999 kg, Ifjúsági (15-16</v>
      </c>
      <c r="F281" s="156" t="s">
        <v>547</v>
      </c>
      <c r="G281" s="157" t="str">
        <f>"5"</f>
        <v>5</v>
      </c>
      <c r="H281" s="156" t="str">
        <f>"5 fős körmérkőzés"</f>
        <v>5 fős körmérkőzés</v>
      </c>
      <c r="I281" s="157" t="str">
        <f>"3"</f>
        <v>3</v>
      </c>
      <c r="J281" s="156" t="str">
        <f>"Vörös Tibor"</f>
        <v>Vörös Tibor</v>
      </c>
      <c r="K281" s="156" t="str">
        <f>"RDKKSE"</f>
        <v>RDKKSE</v>
      </c>
      <c r="L281" s="156" t="str">
        <f t="shared" si="97"/>
        <v>HUN</v>
      </c>
      <c r="M281" s="163">
        <v>4</v>
      </c>
      <c r="O281" s="154" t="s">
        <v>246</v>
      </c>
      <c r="P281" s="159">
        <v>46081</v>
      </c>
      <c r="Q281" s="154" t="str">
        <f t="shared" ref="Q281" si="104">J281&amp;" - "&amp;K281</f>
        <v>Vörös Tibor - RDKKSE</v>
      </c>
      <c r="R281" s="154" t="s">
        <v>636</v>
      </c>
      <c r="S281" s="154" t="str">
        <f t="shared" ref="S281" si="105">K281</f>
        <v>RDKKSE</v>
      </c>
      <c r="T281" s="154" t="s">
        <v>645</v>
      </c>
      <c r="U281" s="154" t="s">
        <v>798</v>
      </c>
      <c r="V281" s="154"/>
    </row>
    <row r="282" spans="1:22" s="158" customFormat="1" x14ac:dyDescent="0.3">
      <c r="A282" s="154" t="s">
        <v>775</v>
      </c>
      <c r="B282" s="155">
        <v>2</v>
      </c>
      <c r="C282" s="154">
        <v>205</v>
      </c>
      <c r="D282" s="156" t="str">
        <f t="shared" si="98"/>
        <v>Kumite</v>
      </c>
      <c r="E282" s="156" t="str">
        <f>"Kumite, -, 75-999 kg, Ifjúsági (15-16"</f>
        <v>Kumite, -, 75-999 kg, Ifjúsági (15-16</v>
      </c>
      <c r="F282" s="156" t="s">
        <v>547</v>
      </c>
      <c r="G282" s="157" t="str">
        <f>"5"</f>
        <v>5</v>
      </c>
      <c r="H282" s="156" t="str">
        <f>"5 fős körmérkőzés"</f>
        <v>5 fős körmérkőzés</v>
      </c>
      <c r="I282" s="157">
        <v>4</v>
      </c>
      <c r="J282" s="156" t="s">
        <v>788</v>
      </c>
      <c r="K282" s="156" t="s">
        <v>47</v>
      </c>
      <c r="L282" s="156" t="str">
        <f t="shared" si="97"/>
        <v>HUN</v>
      </c>
      <c r="M282" s="163">
        <v>3</v>
      </c>
      <c r="O282" s="154" t="s">
        <v>246</v>
      </c>
      <c r="P282" s="159">
        <v>46081</v>
      </c>
      <c r="Q282" s="154" t="str">
        <f t="shared" si="102"/>
        <v>Kalamár László Thien - BHMSE</v>
      </c>
      <c r="R282" s="154" t="s">
        <v>636</v>
      </c>
      <c r="S282" s="154" t="str">
        <f t="shared" si="103"/>
        <v>BHMSE</v>
      </c>
      <c r="T282" s="154" t="s">
        <v>645</v>
      </c>
      <c r="U282" s="154" t="s">
        <v>798</v>
      </c>
      <c r="V282" s="154"/>
    </row>
    <row r="283" spans="1:22" s="158" customFormat="1" x14ac:dyDescent="0.3">
      <c r="A283" s="154" t="s">
        <v>775</v>
      </c>
      <c r="B283" s="155">
        <v>2</v>
      </c>
      <c r="C283" s="154">
        <v>206</v>
      </c>
      <c r="D283" s="156" t="str">
        <f t="shared" ref="D283:D288" si="106">"Kata"</f>
        <v>Kata</v>
      </c>
      <c r="E283" s="156" t="str">
        <f t="shared" ref="E283:E288" si="107">"Kata, -, 0-160 kg, Ifjúsági (15-16"</f>
        <v>Kata, -, 0-160 kg, Ifjúsági (15-16</v>
      </c>
      <c r="F283" s="156" t="s">
        <v>548</v>
      </c>
      <c r="G283" s="157" t="str">
        <f t="shared" ref="G283:G288" si="108">"6"</f>
        <v>6</v>
      </c>
      <c r="H283" s="156" t="str">
        <f t="shared" ref="H283:H288" si="109">"8 fős egyenes kiesés + 3. hely"</f>
        <v>8 fős egyenes kiesés + 3. hely</v>
      </c>
      <c r="I283" s="157" t="str">
        <f>"1"</f>
        <v>1</v>
      </c>
      <c r="J283" s="156" t="str">
        <f>"Németh Adrián"</f>
        <v>Németh Adrián</v>
      </c>
      <c r="K283" s="156" t="str">
        <f>"Cs.S.E."</f>
        <v>Cs.S.E.</v>
      </c>
      <c r="L283" s="156" t="str">
        <f t="shared" si="97"/>
        <v>HUN</v>
      </c>
      <c r="M283" s="163">
        <v>5</v>
      </c>
      <c r="N283" s="158" t="s">
        <v>792</v>
      </c>
      <c r="O283" s="154" t="s">
        <v>246</v>
      </c>
      <c r="P283" s="159">
        <v>46081</v>
      </c>
      <c r="Q283" s="154" t="str">
        <f t="shared" si="102"/>
        <v>Németh Adrián - Cs.S.E.</v>
      </c>
      <c r="R283" s="154" t="s">
        <v>636</v>
      </c>
      <c r="S283" s="154" t="str">
        <f t="shared" si="103"/>
        <v>Cs.S.E.</v>
      </c>
      <c r="T283" s="154" t="s">
        <v>645</v>
      </c>
      <c r="U283" s="154" t="s">
        <v>798</v>
      </c>
      <c r="V283" s="154"/>
    </row>
    <row r="284" spans="1:22" s="158" customFormat="1" x14ac:dyDescent="0.3">
      <c r="A284" s="154" t="s">
        <v>775</v>
      </c>
      <c r="B284" s="155">
        <v>2</v>
      </c>
      <c r="C284" s="154">
        <v>207</v>
      </c>
      <c r="D284" s="156" t="str">
        <f t="shared" si="106"/>
        <v>Kata</v>
      </c>
      <c r="E284" s="156" t="str">
        <f t="shared" si="107"/>
        <v>Kata, -, 0-160 kg, Ifjúsági (15-16</v>
      </c>
      <c r="F284" s="156" t="s">
        <v>548</v>
      </c>
      <c r="G284" s="157" t="str">
        <f t="shared" si="108"/>
        <v>6</v>
      </c>
      <c r="H284" s="156" t="str">
        <f t="shared" si="109"/>
        <v>8 fős egyenes kiesés + 3. hely</v>
      </c>
      <c r="I284" s="157" t="str">
        <f>"2"</f>
        <v>2</v>
      </c>
      <c r="J284" s="156" t="str">
        <f>"Szalontai Levente"</f>
        <v>Szalontai Levente</v>
      </c>
      <c r="K284" s="156" t="str">
        <f>"KSE Tarján"</f>
        <v>KSE Tarján</v>
      </c>
      <c r="L284" s="156" t="str">
        <f t="shared" si="97"/>
        <v>HUN</v>
      </c>
      <c r="M284" s="163">
        <v>4</v>
      </c>
      <c r="N284" s="158" t="s">
        <v>792</v>
      </c>
      <c r="O284" s="154" t="s">
        <v>246</v>
      </c>
      <c r="P284" s="159">
        <v>46081</v>
      </c>
      <c r="Q284" s="154" t="str">
        <f t="shared" si="102"/>
        <v>Szalontai Levente - KSE Tarján</v>
      </c>
      <c r="R284" s="154" t="s">
        <v>636</v>
      </c>
      <c r="S284" s="154" t="str">
        <f t="shared" si="103"/>
        <v>KSE Tarján</v>
      </c>
      <c r="T284" s="154" t="s">
        <v>645</v>
      </c>
      <c r="U284" s="154" t="s">
        <v>798</v>
      </c>
      <c r="V284" s="154"/>
    </row>
    <row r="285" spans="1:22" s="158" customFormat="1" x14ac:dyDescent="0.3">
      <c r="A285" s="154" t="s">
        <v>775</v>
      </c>
      <c r="B285" s="155">
        <v>2</v>
      </c>
      <c r="C285" s="154">
        <v>208</v>
      </c>
      <c r="D285" s="156" t="str">
        <f t="shared" si="106"/>
        <v>Kata</v>
      </c>
      <c r="E285" s="156" t="str">
        <f t="shared" si="107"/>
        <v>Kata, -, 0-160 kg, Ifjúsági (15-16</v>
      </c>
      <c r="F285" s="156" t="s">
        <v>548</v>
      </c>
      <c r="G285" s="157" t="str">
        <f t="shared" si="108"/>
        <v>6</v>
      </c>
      <c r="H285" s="156" t="str">
        <f t="shared" si="109"/>
        <v>8 fős egyenes kiesés + 3. hely</v>
      </c>
      <c r="I285" s="157" t="str">
        <f>"3"</f>
        <v>3</v>
      </c>
      <c r="J285" s="156" t="str">
        <f>"Gyarmati Viktor"</f>
        <v>Gyarmati Viktor</v>
      </c>
      <c r="K285" s="156" t="str">
        <f>"BHMSE"</f>
        <v>BHMSE</v>
      </c>
      <c r="L285" s="156" t="str">
        <f t="shared" si="97"/>
        <v>HUN</v>
      </c>
      <c r="M285" s="163">
        <v>2</v>
      </c>
      <c r="N285" s="158" t="s">
        <v>792</v>
      </c>
      <c r="O285" s="154" t="s">
        <v>246</v>
      </c>
      <c r="P285" s="159">
        <v>46081</v>
      </c>
      <c r="Q285" s="154" t="str">
        <f t="shared" si="102"/>
        <v>Gyarmati Viktor - BHMSE</v>
      </c>
      <c r="R285" s="154" t="s">
        <v>636</v>
      </c>
      <c r="S285" s="154" t="str">
        <f t="shared" si="103"/>
        <v>BHMSE</v>
      </c>
      <c r="T285" s="154" t="s">
        <v>645</v>
      </c>
      <c r="U285" s="154" t="s">
        <v>798</v>
      </c>
      <c r="V285" s="154"/>
    </row>
    <row r="286" spans="1:22" s="158" customFormat="1" x14ac:dyDescent="0.3">
      <c r="A286" s="154" t="s">
        <v>775</v>
      </c>
      <c r="B286" s="155">
        <v>2</v>
      </c>
      <c r="C286" s="154">
        <v>209</v>
      </c>
      <c r="D286" s="156" t="str">
        <f t="shared" si="106"/>
        <v>Kata</v>
      </c>
      <c r="E286" s="156" t="str">
        <f t="shared" si="107"/>
        <v>Kata, -, 0-160 kg, Ifjúsági (15-16</v>
      </c>
      <c r="F286" s="156" t="s">
        <v>548</v>
      </c>
      <c r="G286" s="157" t="str">
        <f t="shared" si="108"/>
        <v>6</v>
      </c>
      <c r="H286" s="156" t="str">
        <f t="shared" si="109"/>
        <v>8 fős egyenes kiesés + 3. hely</v>
      </c>
      <c r="I286" s="157" t="str">
        <f>"4"</f>
        <v>4</v>
      </c>
      <c r="J286" s="156" t="str">
        <f>"Baranyai Áron"</f>
        <v>Baranyai Áron</v>
      </c>
      <c r="K286" s="156" t="str">
        <f>"BHMSE"</f>
        <v>BHMSE</v>
      </c>
      <c r="L286" s="156" t="str">
        <f t="shared" si="97"/>
        <v>HUN</v>
      </c>
      <c r="M286" s="163">
        <v>0</v>
      </c>
      <c r="N286" s="158" t="s">
        <v>792</v>
      </c>
      <c r="O286" s="154" t="s">
        <v>246</v>
      </c>
      <c r="P286" s="159">
        <v>46081</v>
      </c>
      <c r="Q286" s="154" t="str">
        <f t="shared" si="102"/>
        <v>Baranyai Áron - BHMSE</v>
      </c>
      <c r="R286" s="154" t="s">
        <v>636</v>
      </c>
      <c r="S286" s="154" t="str">
        <f t="shared" si="103"/>
        <v>BHMSE</v>
      </c>
      <c r="T286" s="154" t="s">
        <v>645</v>
      </c>
      <c r="U286" s="154" t="s">
        <v>798</v>
      </c>
      <c r="V286" s="154"/>
    </row>
    <row r="287" spans="1:22" s="158" customFormat="1" x14ac:dyDescent="0.3">
      <c r="A287" s="154" t="s">
        <v>775</v>
      </c>
      <c r="B287" s="155">
        <v>2</v>
      </c>
      <c r="C287" s="154">
        <v>210</v>
      </c>
      <c r="D287" s="156" t="str">
        <f t="shared" si="106"/>
        <v>Kata</v>
      </c>
      <c r="E287" s="156" t="str">
        <f t="shared" si="107"/>
        <v>Kata, -, 0-160 kg, Ifjúsági (15-16</v>
      </c>
      <c r="F287" s="156" t="s">
        <v>548</v>
      </c>
      <c r="G287" s="157" t="str">
        <f t="shared" si="108"/>
        <v>6</v>
      </c>
      <c r="H287" s="156" t="str">
        <f t="shared" si="109"/>
        <v>8 fős egyenes kiesés + 3. hely</v>
      </c>
      <c r="I287" s="157" t="str">
        <f>"5"</f>
        <v>5</v>
      </c>
      <c r="J287" s="156" t="str">
        <f>"Lukács Filip"</f>
        <v>Lukács Filip</v>
      </c>
      <c r="K287" s="156" t="str">
        <f>"BHMSE"</f>
        <v>BHMSE</v>
      </c>
      <c r="L287" s="156" t="str">
        <f t="shared" si="97"/>
        <v>HUN</v>
      </c>
      <c r="M287" s="163">
        <v>0</v>
      </c>
      <c r="N287" s="158" t="s">
        <v>792</v>
      </c>
      <c r="O287" s="154" t="s">
        <v>246</v>
      </c>
      <c r="P287" s="159">
        <v>46081</v>
      </c>
      <c r="Q287" s="154" t="str">
        <f t="shared" si="102"/>
        <v>Lukács Filip - BHMSE</v>
      </c>
      <c r="R287" s="154" t="s">
        <v>636</v>
      </c>
      <c r="S287" s="154" t="str">
        <f t="shared" si="103"/>
        <v>BHMSE</v>
      </c>
      <c r="T287" s="154" t="s">
        <v>645</v>
      </c>
      <c r="U287" s="154" t="s">
        <v>798</v>
      </c>
      <c r="V287" s="154"/>
    </row>
    <row r="288" spans="1:22" s="158" customFormat="1" x14ac:dyDescent="0.3">
      <c r="A288" s="154" t="s">
        <v>775</v>
      </c>
      <c r="B288" s="155">
        <v>2</v>
      </c>
      <c r="C288" s="154">
        <v>211</v>
      </c>
      <c r="D288" s="156" t="str">
        <f t="shared" si="106"/>
        <v>Kata</v>
      </c>
      <c r="E288" s="156" t="str">
        <f t="shared" si="107"/>
        <v>Kata, -, 0-160 kg, Ifjúsági (15-16</v>
      </c>
      <c r="F288" s="156" t="s">
        <v>548</v>
      </c>
      <c r="G288" s="157" t="str">
        <f t="shared" si="108"/>
        <v>6</v>
      </c>
      <c r="H288" s="156" t="str">
        <f t="shared" si="109"/>
        <v>8 fős egyenes kiesés + 3. hely</v>
      </c>
      <c r="I288" s="157" t="str">
        <f>"7-8"</f>
        <v>7-8</v>
      </c>
      <c r="J288" s="156" t="str">
        <f>"Varga Bálint Norbert"</f>
        <v>Varga Bálint Norbert</v>
      </c>
      <c r="K288" s="156" t="str">
        <f>"ARSC"</f>
        <v>ARSC</v>
      </c>
      <c r="L288" s="156" t="str">
        <f t="shared" si="97"/>
        <v>HUN</v>
      </c>
      <c r="M288" s="163">
        <v>0</v>
      </c>
      <c r="N288" s="158" t="s">
        <v>792</v>
      </c>
      <c r="O288" s="154" t="s">
        <v>246</v>
      </c>
      <c r="P288" s="159">
        <v>46081</v>
      </c>
      <c r="Q288" s="154" t="str">
        <f t="shared" si="102"/>
        <v>Varga Bálint Norbert - ARSC</v>
      </c>
      <c r="R288" s="154" t="s">
        <v>636</v>
      </c>
      <c r="S288" s="154" t="str">
        <f t="shared" si="103"/>
        <v>ARSC</v>
      </c>
      <c r="T288" s="154" t="s">
        <v>645</v>
      </c>
      <c r="U288" s="154" t="s">
        <v>798</v>
      </c>
      <c r="V288" s="154"/>
    </row>
    <row r="289" spans="1:22" s="158" customFormat="1" x14ac:dyDescent="0.3">
      <c r="A289" s="154" t="s">
        <v>775</v>
      </c>
      <c r="B289" s="155">
        <v>2</v>
      </c>
      <c r="C289" s="154">
        <v>212</v>
      </c>
      <c r="D289" s="156" t="str">
        <f t="shared" ref="D289:D301" si="110">"Kumite"</f>
        <v>Kumite</v>
      </c>
      <c r="E289" s="156" t="str">
        <f>"Kumite, -, 0-50 kg, Ifjúsági (15-16"</f>
        <v>Kumite, -, 0-50 kg, Ifjúsági (15-16</v>
      </c>
      <c r="F289" s="156" t="s">
        <v>546</v>
      </c>
      <c r="G289" s="157" t="str">
        <f t="shared" ref="G289:G294" si="111">"3"</f>
        <v>3</v>
      </c>
      <c r="H289" s="156" t="str">
        <f t="shared" ref="H289:H294" si="112">"3 fős körmérkőzés"</f>
        <v>3 fős körmérkőzés</v>
      </c>
      <c r="I289" s="157" t="str">
        <f>"1"</f>
        <v>1</v>
      </c>
      <c r="J289" s="156" t="str">
        <f>"Böcskey Emese "</f>
        <v xml:space="preserve">Böcskey Emese </v>
      </c>
      <c r="K289" s="156" t="str">
        <f>"Nagy Sándor Dojo"</f>
        <v>Nagy Sándor Dojo</v>
      </c>
      <c r="L289" s="156" t="str">
        <f t="shared" si="97"/>
        <v>HUN</v>
      </c>
      <c r="M289" s="163">
        <v>4</v>
      </c>
      <c r="O289" s="154" t="s">
        <v>246</v>
      </c>
      <c r="P289" s="159">
        <v>46081</v>
      </c>
      <c r="Q289" s="154" t="str">
        <f t="shared" si="102"/>
        <v>Böcskey Emese  - Nagy Sándor Dojo</v>
      </c>
      <c r="R289" s="154" t="s">
        <v>637</v>
      </c>
      <c r="S289" s="154" t="str">
        <f t="shared" si="103"/>
        <v>Nagy Sándor Dojo</v>
      </c>
      <c r="T289" s="154" t="s">
        <v>645</v>
      </c>
      <c r="U289" s="154" t="s">
        <v>798</v>
      </c>
      <c r="V289" s="154"/>
    </row>
    <row r="290" spans="1:22" s="158" customFormat="1" x14ac:dyDescent="0.3">
      <c r="A290" s="154" t="s">
        <v>775</v>
      </c>
      <c r="B290" s="155">
        <v>2</v>
      </c>
      <c r="C290" s="154">
        <v>213</v>
      </c>
      <c r="D290" s="156" t="str">
        <f t="shared" si="110"/>
        <v>Kumite</v>
      </c>
      <c r="E290" s="156" t="str">
        <f>"Kumite, -, 0-50 kg, Ifjúsági (15-16"</f>
        <v>Kumite, -, 0-50 kg, Ifjúsági (15-16</v>
      </c>
      <c r="F290" s="156" t="s">
        <v>546</v>
      </c>
      <c r="G290" s="157" t="str">
        <f t="shared" si="111"/>
        <v>3</v>
      </c>
      <c r="H290" s="156" t="str">
        <f t="shared" si="112"/>
        <v>3 fős körmérkőzés</v>
      </c>
      <c r="I290" s="157" t="str">
        <f>"2"</f>
        <v>2</v>
      </c>
      <c r="J290" s="156" t="str">
        <f>"Sülyi Luca"</f>
        <v>Sülyi Luca</v>
      </c>
      <c r="K290" s="156" t="str">
        <f>"Főnix Dojo"</f>
        <v>Főnix Dojo</v>
      </c>
      <c r="L290" s="156" t="str">
        <f t="shared" si="97"/>
        <v>HUN</v>
      </c>
      <c r="M290" s="163">
        <v>3</v>
      </c>
      <c r="O290" s="154" t="s">
        <v>246</v>
      </c>
      <c r="P290" s="159">
        <v>46081</v>
      </c>
      <c r="Q290" s="154" t="str">
        <f t="shared" si="102"/>
        <v>Sülyi Luca - Főnix Dojo</v>
      </c>
      <c r="R290" s="154" t="s">
        <v>636</v>
      </c>
      <c r="S290" s="154" t="str">
        <f t="shared" si="103"/>
        <v>Főnix Dojo</v>
      </c>
      <c r="T290" s="154" t="s">
        <v>645</v>
      </c>
      <c r="U290" s="154" t="s">
        <v>798</v>
      </c>
      <c r="V290" s="154"/>
    </row>
    <row r="291" spans="1:22" s="158" customFormat="1" x14ac:dyDescent="0.3">
      <c r="A291" s="154" t="s">
        <v>775</v>
      </c>
      <c r="B291" s="155">
        <v>2</v>
      </c>
      <c r="C291" s="154">
        <v>214</v>
      </c>
      <c r="D291" s="156" t="str">
        <f t="shared" si="110"/>
        <v>Kumite</v>
      </c>
      <c r="E291" s="156" t="str">
        <f>"Kumite, -, 0-50 kg, Ifjúsági (15-16"</f>
        <v>Kumite, -, 0-50 kg, Ifjúsági (15-16</v>
      </c>
      <c r="F291" s="156" t="s">
        <v>546</v>
      </c>
      <c r="G291" s="157" t="str">
        <f t="shared" si="111"/>
        <v>3</v>
      </c>
      <c r="H291" s="156" t="str">
        <f t="shared" si="112"/>
        <v>3 fős körmérkőzés</v>
      </c>
      <c r="I291" s="157" t="str">
        <f>"3"</f>
        <v>3</v>
      </c>
      <c r="J291" s="156" t="str">
        <f>"Aranyosi Nikolett"</f>
        <v>Aranyosi Nikolett</v>
      </c>
      <c r="K291" s="156" t="str">
        <f>"KSE Tarján"</f>
        <v>KSE Tarján</v>
      </c>
      <c r="L291" s="156" t="str">
        <f t="shared" si="97"/>
        <v>HUN</v>
      </c>
      <c r="M291" s="163">
        <v>0</v>
      </c>
      <c r="N291" s="158" t="s">
        <v>704</v>
      </c>
      <c r="O291" s="154" t="s">
        <v>246</v>
      </c>
      <c r="P291" s="159">
        <v>46081</v>
      </c>
      <c r="Q291" s="154" t="str">
        <f t="shared" si="102"/>
        <v>Aranyosi Nikolett - KSE Tarján</v>
      </c>
      <c r="R291" s="154" t="s">
        <v>636</v>
      </c>
      <c r="S291" s="154" t="str">
        <f t="shared" si="103"/>
        <v>KSE Tarján</v>
      </c>
      <c r="T291" s="154" t="s">
        <v>645</v>
      </c>
      <c r="U291" s="154" t="s">
        <v>798</v>
      </c>
      <c r="V291" s="154"/>
    </row>
    <row r="292" spans="1:22" s="158" customFormat="1" x14ac:dyDescent="0.3">
      <c r="A292" s="154" t="s">
        <v>775</v>
      </c>
      <c r="B292" s="155">
        <v>2</v>
      </c>
      <c r="C292" s="154">
        <v>215</v>
      </c>
      <c r="D292" s="156" t="str">
        <f t="shared" si="110"/>
        <v>Kumite</v>
      </c>
      <c r="E292" s="156" t="str">
        <f>"Kumite, -, 50-55 kg, Ifjúsági (15-16"</f>
        <v>Kumite, -, 50-55 kg, Ifjúsági (15-16</v>
      </c>
      <c r="F292" s="156" t="s">
        <v>550</v>
      </c>
      <c r="G292" s="157" t="str">
        <f t="shared" si="111"/>
        <v>3</v>
      </c>
      <c r="H292" s="156" t="str">
        <f t="shared" si="112"/>
        <v>3 fős körmérkőzés</v>
      </c>
      <c r="I292" s="157" t="str">
        <f>"1"</f>
        <v>1</v>
      </c>
      <c r="J292" s="156" t="str">
        <f>"Serfőző Lia Zoé"</f>
        <v>Serfőző Lia Zoé</v>
      </c>
      <c r="K292" s="156" t="str">
        <f>"Castrum"</f>
        <v>Castrum</v>
      </c>
      <c r="L292" s="156" t="str">
        <f t="shared" si="97"/>
        <v>HUN</v>
      </c>
      <c r="M292" s="163">
        <v>4</v>
      </c>
      <c r="O292" s="154" t="s">
        <v>246</v>
      </c>
      <c r="P292" s="159">
        <v>46081</v>
      </c>
      <c r="Q292" s="154" t="str">
        <f t="shared" si="102"/>
        <v>Serfőző Lia Zoé - Castrum</v>
      </c>
      <c r="R292" s="154" t="s">
        <v>636</v>
      </c>
      <c r="S292" s="154" t="str">
        <f t="shared" si="103"/>
        <v>Castrum</v>
      </c>
      <c r="T292" s="154" t="s">
        <v>645</v>
      </c>
      <c r="U292" s="154" t="s">
        <v>798</v>
      </c>
      <c r="V292" s="154"/>
    </row>
    <row r="293" spans="1:22" s="158" customFormat="1" x14ac:dyDescent="0.3">
      <c r="A293" s="154" t="s">
        <v>775</v>
      </c>
      <c r="B293" s="155">
        <v>2</v>
      </c>
      <c r="C293" s="154">
        <v>216</v>
      </c>
      <c r="D293" s="156" t="str">
        <f t="shared" si="110"/>
        <v>Kumite</v>
      </c>
      <c r="E293" s="156" t="str">
        <f>"Kumite, -, 50-55 kg, Ifjúsági (15-16"</f>
        <v>Kumite, -, 50-55 kg, Ifjúsági (15-16</v>
      </c>
      <c r="F293" s="156" t="s">
        <v>550</v>
      </c>
      <c r="G293" s="157" t="str">
        <f t="shared" si="111"/>
        <v>3</v>
      </c>
      <c r="H293" s="156" t="str">
        <f t="shared" si="112"/>
        <v>3 fős körmérkőzés</v>
      </c>
      <c r="I293" s="157" t="str">
        <f>"2"</f>
        <v>2</v>
      </c>
      <c r="J293" s="156" t="str">
        <f>"Bognár Judit"</f>
        <v>Bognár Judit</v>
      </c>
      <c r="K293" s="156" t="str">
        <f>"Castrum"</f>
        <v>Castrum</v>
      </c>
      <c r="L293" s="156" t="str">
        <f t="shared" si="97"/>
        <v>HUN</v>
      </c>
      <c r="M293" s="163">
        <v>3</v>
      </c>
      <c r="O293" s="154" t="s">
        <v>246</v>
      </c>
      <c r="P293" s="159">
        <v>46081</v>
      </c>
      <c r="Q293" s="154" t="str">
        <f t="shared" si="102"/>
        <v>Bognár Judit - Castrum</v>
      </c>
      <c r="R293" s="154" t="s">
        <v>636</v>
      </c>
      <c r="S293" s="154" t="str">
        <f t="shared" si="103"/>
        <v>Castrum</v>
      </c>
      <c r="T293" s="154" t="s">
        <v>645</v>
      </c>
      <c r="U293" s="154" t="s">
        <v>798</v>
      </c>
      <c r="V293" s="154"/>
    </row>
    <row r="294" spans="1:22" s="158" customFormat="1" x14ac:dyDescent="0.3">
      <c r="A294" s="154" t="s">
        <v>775</v>
      </c>
      <c r="B294" s="155">
        <v>2</v>
      </c>
      <c r="C294" s="154">
        <v>217</v>
      </c>
      <c r="D294" s="156" t="str">
        <f t="shared" si="110"/>
        <v>Kumite</v>
      </c>
      <c r="E294" s="156" t="str">
        <f>"Kumite, -, 50-55 kg, Ifjúsági (15-16"</f>
        <v>Kumite, -, 50-55 kg, Ifjúsági (15-16</v>
      </c>
      <c r="F294" s="156" t="s">
        <v>550</v>
      </c>
      <c r="G294" s="157" t="str">
        <f t="shared" si="111"/>
        <v>3</v>
      </c>
      <c r="H294" s="156" t="str">
        <f t="shared" si="112"/>
        <v>3 fős körmérkőzés</v>
      </c>
      <c r="I294" s="157" t="str">
        <f>"3"</f>
        <v>3</v>
      </c>
      <c r="J294" s="156" t="str">
        <f>"Ható Amanda"</f>
        <v>Ható Amanda</v>
      </c>
      <c r="K294" s="156" t="str">
        <f>"Rakurai"</f>
        <v>Rakurai</v>
      </c>
      <c r="L294" s="156" t="str">
        <f t="shared" si="97"/>
        <v>HUN</v>
      </c>
      <c r="M294" s="163">
        <v>0</v>
      </c>
      <c r="N294" s="158" t="s">
        <v>704</v>
      </c>
      <c r="O294" s="154" t="s">
        <v>246</v>
      </c>
      <c r="P294" s="159">
        <v>46081</v>
      </c>
      <c r="Q294" s="154" t="str">
        <f t="shared" si="102"/>
        <v>Ható Amanda - Rakurai</v>
      </c>
      <c r="R294" s="154" t="s">
        <v>636</v>
      </c>
      <c r="S294" s="154" t="str">
        <f t="shared" si="103"/>
        <v>Rakurai</v>
      </c>
      <c r="T294" s="154" t="s">
        <v>645</v>
      </c>
      <c r="U294" s="154" t="s">
        <v>798</v>
      </c>
      <c r="V294" s="154"/>
    </row>
    <row r="295" spans="1:22" s="158" customFormat="1" x14ac:dyDescent="0.3">
      <c r="A295" s="154" t="s">
        <v>775</v>
      </c>
      <c r="B295" s="155">
        <v>2</v>
      </c>
      <c r="C295" s="154">
        <v>218</v>
      </c>
      <c r="D295" s="156" t="str">
        <f t="shared" si="110"/>
        <v>Kumite</v>
      </c>
      <c r="E295" s="156" t="str">
        <f>"Kumite, -, 55-60 kg, Ifjúsági (15-16"</f>
        <v>Kumite, -, 55-60 kg, Ifjúsági (15-16</v>
      </c>
      <c r="F295" s="156" t="s">
        <v>551</v>
      </c>
      <c r="G295" s="157" t="str">
        <f>"6"</f>
        <v>6</v>
      </c>
      <c r="H295" s="156" t="str">
        <f>"6 fős vegyes"</f>
        <v>6 fős vegyes</v>
      </c>
      <c r="I295" s="157" t="str">
        <f>"1"</f>
        <v>1</v>
      </c>
      <c r="J295" s="156" t="str">
        <f>"Lukács Éva"</f>
        <v>Lukács Éva</v>
      </c>
      <c r="K295" s="156" t="str">
        <f>"VTSE"</f>
        <v>VTSE</v>
      </c>
      <c r="L295" s="156" t="str">
        <f t="shared" si="97"/>
        <v>HUN</v>
      </c>
      <c r="M295" s="163">
        <v>6</v>
      </c>
      <c r="O295" s="154" t="s">
        <v>246</v>
      </c>
      <c r="P295" s="159">
        <v>46081</v>
      </c>
      <c r="Q295" s="154" t="str">
        <f t="shared" si="102"/>
        <v>Lukács Éva - VTSE</v>
      </c>
      <c r="R295" s="154" t="s">
        <v>637</v>
      </c>
      <c r="S295" s="154" t="str">
        <f t="shared" si="103"/>
        <v>VTSE</v>
      </c>
      <c r="T295" s="154" t="s">
        <v>645</v>
      </c>
      <c r="U295" s="154" t="s">
        <v>798</v>
      </c>
      <c r="V295" s="154"/>
    </row>
    <row r="296" spans="1:22" s="158" customFormat="1" x14ac:dyDescent="0.3">
      <c r="A296" s="154" t="s">
        <v>775</v>
      </c>
      <c r="B296" s="155">
        <v>2</v>
      </c>
      <c r="C296" s="154">
        <v>219</v>
      </c>
      <c r="D296" s="156" t="str">
        <f t="shared" si="110"/>
        <v>Kumite</v>
      </c>
      <c r="E296" s="156" t="str">
        <f>"Kumite, -, 55-60 kg, Ifjúsági (15-16"</f>
        <v>Kumite, -, 55-60 kg, Ifjúsági (15-16</v>
      </c>
      <c r="F296" s="156" t="s">
        <v>551</v>
      </c>
      <c r="G296" s="157" t="str">
        <f>"6"</f>
        <v>6</v>
      </c>
      <c r="H296" s="156" t="str">
        <f>"6 fős vegyes"</f>
        <v>6 fős vegyes</v>
      </c>
      <c r="I296" s="157" t="str">
        <f>"2"</f>
        <v>2</v>
      </c>
      <c r="J296" s="156" t="str">
        <f>"Bognár Boglárka"</f>
        <v>Bognár Boglárka</v>
      </c>
      <c r="K296" s="156" t="str">
        <f>"Rakurai"</f>
        <v>Rakurai</v>
      </c>
      <c r="L296" s="156" t="str">
        <f t="shared" si="97"/>
        <v>HUN</v>
      </c>
      <c r="M296" s="163">
        <v>5</v>
      </c>
      <c r="O296" s="154" t="s">
        <v>246</v>
      </c>
      <c r="P296" s="159">
        <v>46081</v>
      </c>
      <c r="Q296" s="154" t="str">
        <f t="shared" si="102"/>
        <v>Bognár Boglárka - Rakurai</v>
      </c>
      <c r="R296" s="154" t="s">
        <v>636</v>
      </c>
      <c r="S296" s="154" t="str">
        <f t="shared" si="103"/>
        <v>Rakurai</v>
      </c>
      <c r="T296" s="154" t="s">
        <v>645</v>
      </c>
      <c r="U296" s="154" t="s">
        <v>798</v>
      </c>
      <c r="V296" s="154"/>
    </row>
    <row r="297" spans="1:22" s="158" customFormat="1" x14ac:dyDescent="0.3">
      <c r="A297" s="154" t="s">
        <v>775</v>
      </c>
      <c r="B297" s="155">
        <v>2</v>
      </c>
      <c r="C297" s="154">
        <v>220</v>
      </c>
      <c r="D297" s="156" t="str">
        <f t="shared" si="110"/>
        <v>Kumite</v>
      </c>
      <c r="E297" s="156" t="str">
        <f>"Kumite, -, 55-60 kg, Ifjúsági (15-16"</f>
        <v>Kumite, -, 55-60 kg, Ifjúsági (15-16</v>
      </c>
      <c r="F297" s="156" t="s">
        <v>551</v>
      </c>
      <c r="G297" s="157" t="str">
        <f>"6"</f>
        <v>6</v>
      </c>
      <c r="H297" s="156" t="str">
        <f>"6 fős vegyes"</f>
        <v>6 fős vegyes</v>
      </c>
      <c r="I297" s="157" t="str">
        <f>"3"</f>
        <v>3</v>
      </c>
      <c r="J297" s="156" t="str">
        <f>"Demeter Zsófia"</f>
        <v>Demeter Zsófia</v>
      </c>
      <c r="K297" s="156" t="str">
        <f>"WARRIORS TEAM"</f>
        <v>WARRIORS TEAM</v>
      </c>
      <c r="L297" s="156" t="str">
        <f t="shared" si="97"/>
        <v>HUN</v>
      </c>
      <c r="M297" s="163">
        <v>3</v>
      </c>
      <c r="O297" s="154" t="s">
        <v>246</v>
      </c>
      <c r="P297" s="159">
        <v>46081</v>
      </c>
      <c r="Q297" s="154" t="str">
        <f t="shared" si="102"/>
        <v>Demeter Zsófia - WARRIORS TEAM</v>
      </c>
      <c r="R297" s="154" t="s">
        <v>636</v>
      </c>
      <c r="S297" s="154" t="str">
        <f t="shared" si="103"/>
        <v>WARRIORS TEAM</v>
      </c>
      <c r="T297" s="154" t="s">
        <v>645</v>
      </c>
      <c r="U297" s="154" t="s">
        <v>798</v>
      </c>
      <c r="V297" s="154"/>
    </row>
    <row r="298" spans="1:22" s="158" customFormat="1" x14ac:dyDescent="0.3">
      <c r="A298" s="154" t="s">
        <v>775</v>
      </c>
      <c r="B298" s="155">
        <v>2</v>
      </c>
      <c r="C298" s="154">
        <v>221</v>
      </c>
      <c r="D298" s="156" t="str">
        <f t="shared" si="110"/>
        <v>Kumite</v>
      </c>
      <c r="E298" s="156" t="str">
        <f>"Kumite, -, 65-200 kg, Ifjúsági (15-16"</f>
        <v>Kumite, -, 65-200 kg, Ifjúsági (15-16</v>
      </c>
      <c r="F298" s="156" t="s">
        <v>553</v>
      </c>
      <c r="G298" s="157" t="str">
        <f>"5"</f>
        <v>5</v>
      </c>
      <c r="H298" s="156" t="str">
        <f>"5 fős körmérkőzés"</f>
        <v>5 fős körmérkőzés</v>
      </c>
      <c r="I298" s="157" t="str">
        <f>"1"</f>
        <v>1</v>
      </c>
      <c r="J298" s="156" t="str">
        <f>"Csonka Kata"</f>
        <v>Csonka Kata</v>
      </c>
      <c r="K298" s="156" t="str">
        <f>"Kamikaze S"</f>
        <v>Kamikaze S</v>
      </c>
      <c r="L298" s="156" t="str">
        <f t="shared" si="97"/>
        <v>HUN</v>
      </c>
      <c r="M298" s="163">
        <v>8</v>
      </c>
      <c r="O298" s="154" t="s">
        <v>246</v>
      </c>
      <c r="P298" s="159">
        <v>46081</v>
      </c>
      <c r="Q298" s="154" t="str">
        <f t="shared" si="102"/>
        <v>Csonka Kata - Kamikaze S</v>
      </c>
      <c r="R298" s="154" t="s">
        <v>636</v>
      </c>
      <c r="S298" s="154" t="str">
        <f t="shared" si="103"/>
        <v>Kamikaze S</v>
      </c>
      <c r="T298" s="154" t="s">
        <v>645</v>
      </c>
      <c r="U298" s="154" t="s">
        <v>798</v>
      </c>
      <c r="V298" s="154"/>
    </row>
    <row r="299" spans="1:22" s="158" customFormat="1" x14ac:dyDescent="0.3">
      <c r="A299" s="154" t="s">
        <v>775</v>
      </c>
      <c r="B299" s="155">
        <v>2</v>
      </c>
      <c r="C299" s="154">
        <v>222</v>
      </c>
      <c r="D299" s="156" t="str">
        <f t="shared" si="110"/>
        <v>Kumite</v>
      </c>
      <c r="E299" s="156" t="str">
        <f>"Kumite, -, 65-200 kg, Ifjúsági (15-16"</f>
        <v>Kumite, -, 65-200 kg, Ifjúsági (15-16</v>
      </c>
      <c r="F299" s="156" t="s">
        <v>553</v>
      </c>
      <c r="G299" s="157" t="str">
        <f>"5"</f>
        <v>5</v>
      </c>
      <c r="H299" s="156" t="str">
        <f>"5 fős körmérkőzés"</f>
        <v>5 fős körmérkőzés</v>
      </c>
      <c r="I299" s="157" t="str">
        <f>"2"</f>
        <v>2</v>
      </c>
      <c r="J299" s="156" t="str">
        <f>"Szalai Kitti"</f>
        <v>Szalai Kitti</v>
      </c>
      <c r="K299" s="156" t="str">
        <f>"Griff SE"</f>
        <v>Griff SE</v>
      </c>
      <c r="L299" s="156" t="str">
        <f t="shared" si="97"/>
        <v>HUN</v>
      </c>
      <c r="M299" s="163">
        <v>6</v>
      </c>
      <c r="O299" s="154" t="s">
        <v>246</v>
      </c>
      <c r="P299" s="159">
        <v>46081</v>
      </c>
      <c r="Q299" s="154" t="str">
        <f t="shared" si="102"/>
        <v>Szalai Kitti - Griff SE</v>
      </c>
      <c r="R299" s="154" t="s">
        <v>636</v>
      </c>
      <c r="S299" s="154" t="str">
        <f t="shared" si="103"/>
        <v>Griff SE</v>
      </c>
      <c r="T299" s="154" t="s">
        <v>645</v>
      </c>
      <c r="U299" s="154" t="s">
        <v>798</v>
      </c>
      <c r="V299" s="154"/>
    </row>
    <row r="300" spans="1:22" s="158" customFormat="1" x14ac:dyDescent="0.3">
      <c r="A300" s="154" t="s">
        <v>775</v>
      </c>
      <c r="B300" s="155">
        <v>2</v>
      </c>
      <c r="C300" s="154">
        <v>223</v>
      </c>
      <c r="D300" s="156" t="str">
        <f t="shared" si="110"/>
        <v>Kumite</v>
      </c>
      <c r="E300" s="156" t="str">
        <f>"Kumite, -, 65-200 kg, Ifjúsági (15-16"</f>
        <v>Kumite, -, 65-200 kg, Ifjúsági (15-16</v>
      </c>
      <c r="F300" s="156" t="s">
        <v>553</v>
      </c>
      <c r="G300" s="157" t="str">
        <f>"5"</f>
        <v>5</v>
      </c>
      <c r="H300" s="156" t="str">
        <f>"5 fős körmérkőzés"</f>
        <v>5 fős körmérkőzés</v>
      </c>
      <c r="I300" s="157" t="str">
        <f>"3"</f>
        <v>3</v>
      </c>
      <c r="J300" s="156" t="str">
        <f>"Komondi Veronika Nilla"</f>
        <v>Komondi Veronika Nilla</v>
      </c>
      <c r="K300" s="156" t="str">
        <f>"Keszth.KKK"</f>
        <v>Keszth.KKK</v>
      </c>
      <c r="L300" s="156" t="str">
        <f t="shared" si="97"/>
        <v>HUN</v>
      </c>
      <c r="M300" s="163">
        <v>4</v>
      </c>
      <c r="O300" s="154" t="s">
        <v>246</v>
      </c>
      <c r="P300" s="159">
        <v>46081</v>
      </c>
      <c r="Q300" s="154" t="str">
        <f t="shared" ref="Q300" si="113">J300&amp;" - "&amp;K300</f>
        <v>Komondi Veronika Nilla - Keszth.KKK</v>
      </c>
      <c r="R300" s="154" t="s">
        <v>636</v>
      </c>
      <c r="S300" s="154" t="str">
        <f t="shared" ref="S300" si="114">K300</f>
        <v>Keszth.KKK</v>
      </c>
      <c r="T300" s="154" t="s">
        <v>645</v>
      </c>
      <c r="U300" s="154" t="s">
        <v>798</v>
      </c>
      <c r="V300" s="154"/>
    </row>
    <row r="301" spans="1:22" s="158" customFormat="1" x14ac:dyDescent="0.3">
      <c r="A301" s="154" t="s">
        <v>775</v>
      </c>
      <c r="B301" s="155">
        <v>2</v>
      </c>
      <c r="C301" s="154">
        <v>223</v>
      </c>
      <c r="D301" s="156" t="str">
        <f t="shared" si="110"/>
        <v>Kumite</v>
      </c>
      <c r="E301" s="156" t="str">
        <f>"Kumite, -, 65-200 kg, Ifjúsági (15-16"</f>
        <v>Kumite, -, 65-200 kg, Ifjúsági (15-16</v>
      </c>
      <c r="F301" s="156" t="s">
        <v>553</v>
      </c>
      <c r="G301" s="157" t="str">
        <f>"5"</f>
        <v>5</v>
      </c>
      <c r="H301" s="156" t="str">
        <f>"5 fős körmérkőzés"</f>
        <v>5 fős körmérkőzés</v>
      </c>
      <c r="I301" s="157">
        <v>4</v>
      </c>
      <c r="J301" s="156" t="s">
        <v>791</v>
      </c>
      <c r="K301" s="156" t="s">
        <v>47</v>
      </c>
      <c r="L301" s="156" t="str">
        <f t="shared" si="97"/>
        <v>HUN</v>
      </c>
      <c r="M301" s="163">
        <v>3</v>
      </c>
      <c r="O301" s="154" t="s">
        <v>246</v>
      </c>
      <c r="P301" s="159">
        <v>46081</v>
      </c>
      <c r="Q301" s="154" t="str">
        <f t="shared" si="102"/>
        <v>Bartha Zsuzsanna - BHMSE</v>
      </c>
      <c r="R301" s="154" t="s">
        <v>636</v>
      </c>
      <c r="S301" s="154" t="str">
        <f t="shared" si="103"/>
        <v>BHMSE</v>
      </c>
      <c r="T301" s="154" t="s">
        <v>645</v>
      </c>
      <c r="U301" s="154" t="s">
        <v>798</v>
      </c>
      <c r="V301" s="154"/>
    </row>
    <row r="302" spans="1:22" s="158" customFormat="1" x14ac:dyDescent="0.3">
      <c r="A302" s="154" t="s">
        <v>775</v>
      </c>
      <c r="B302" s="155">
        <v>2</v>
      </c>
      <c r="C302" s="154">
        <v>224</v>
      </c>
      <c r="D302" s="156" t="str">
        <f t="shared" ref="D302:D310" si="115">"Kata"</f>
        <v>Kata</v>
      </c>
      <c r="E302" s="156" t="str">
        <f t="shared" ref="E302:E310" si="116">"Kata, -, 0-160 kg, Ifjúsági (15-16"</f>
        <v>Kata, -, 0-160 kg, Ifjúsági (15-16</v>
      </c>
      <c r="F302" s="156" t="s">
        <v>549</v>
      </c>
      <c r="G302" s="157" t="str">
        <f t="shared" ref="G302:G310" si="117">"9"</f>
        <v>9</v>
      </c>
      <c r="H302" s="156" t="str">
        <f t="shared" ref="H302:H310" si="118">"16 fős egyenes kiesés + 3. hely"</f>
        <v>16 fős egyenes kiesés + 3. hely</v>
      </c>
      <c r="I302" s="157" t="str">
        <f>"1"</f>
        <v>1</v>
      </c>
      <c r="J302" s="156" t="str">
        <f>"Aranyosi Nikolett"</f>
        <v>Aranyosi Nikolett</v>
      </c>
      <c r="K302" s="156" t="str">
        <f>"KSE Tarján"</f>
        <v>KSE Tarján</v>
      </c>
      <c r="L302" s="156" t="str">
        <f t="shared" si="97"/>
        <v>HUN</v>
      </c>
      <c r="M302" s="163">
        <v>6</v>
      </c>
      <c r="N302" s="158" t="s">
        <v>793</v>
      </c>
      <c r="O302" s="154" t="s">
        <v>246</v>
      </c>
      <c r="P302" s="159">
        <v>46081</v>
      </c>
      <c r="Q302" s="154" t="str">
        <f t="shared" si="102"/>
        <v>Aranyosi Nikolett - KSE Tarján</v>
      </c>
      <c r="R302" s="154" t="s">
        <v>636</v>
      </c>
      <c r="S302" s="154" t="str">
        <f t="shared" si="103"/>
        <v>KSE Tarján</v>
      </c>
      <c r="T302" s="154" t="s">
        <v>645</v>
      </c>
      <c r="U302" s="154" t="s">
        <v>798</v>
      </c>
      <c r="V302" s="154"/>
    </row>
    <row r="303" spans="1:22" s="158" customFormat="1" x14ac:dyDescent="0.3">
      <c r="A303" s="154" t="s">
        <v>775</v>
      </c>
      <c r="B303" s="155">
        <v>2</v>
      </c>
      <c r="C303" s="154">
        <v>225</v>
      </c>
      <c r="D303" s="156" t="str">
        <f t="shared" si="115"/>
        <v>Kata</v>
      </c>
      <c r="E303" s="156" t="str">
        <f t="shared" si="116"/>
        <v>Kata, -, 0-160 kg, Ifjúsági (15-16</v>
      </c>
      <c r="F303" s="156" t="s">
        <v>549</v>
      </c>
      <c r="G303" s="157" t="str">
        <f t="shared" si="117"/>
        <v>9</v>
      </c>
      <c r="H303" s="156" t="str">
        <f t="shared" si="118"/>
        <v>16 fős egyenes kiesés + 3. hely</v>
      </c>
      <c r="I303" s="157" t="str">
        <f>"2"</f>
        <v>2</v>
      </c>
      <c r="J303" s="156" t="str">
        <f>"Nagy Hanna Míra"</f>
        <v>Nagy Hanna Míra</v>
      </c>
      <c r="K303" s="156" t="str">
        <f>"Genbu dojo"</f>
        <v>Genbu dojo</v>
      </c>
      <c r="L303" s="156" t="str">
        <f t="shared" si="97"/>
        <v>HUN</v>
      </c>
      <c r="M303" s="163">
        <v>5</v>
      </c>
      <c r="N303" s="158" t="s">
        <v>793</v>
      </c>
      <c r="O303" s="154" t="s">
        <v>246</v>
      </c>
      <c r="P303" s="159">
        <v>46081</v>
      </c>
      <c r="Q303" s="154" t="str">
        <f t="shared" si="102"/>
        <v>Nagy Hanna Míra - Genbu dojo</v>
      </c>
      <c r="R303" s="154" t="s">
        <v>637</v>
      </c>
      <c r="S303" s="154" t="str">
        <f t="shared" si="103"/>
        <v>Genbu dojo</v>
      </c>
      <c r="T303" s="154" t="s">
        <v>645</v>
      </c>
      <c r="U303" s="154" t="s">
        <v>798</v>
      </c>
      <c r="V303" s="154"/>
    </row>
    <row r="304" spans="1:22" s="158" customFormat="1" x14ac:dyDescent="0.3">
      <c r="A304" s="154" t="s">
        <v>775</v>
      </c>
      <c r="B304" s="155">
        <v>2</v>
      </c>
      <c r="C304" s="154">
        <v>226</v>
      </c>
      <c r="D304" s="156" t="str">
        <f t="shared" si="115"/>
        <v>Kata</v>
      </c>
      <c r="E304" s="156" t="str">
        <f t="shared" si="116"/>
        <v>Kata, -, 0-160 kg, Ifjúsági (15-16</v>
      </c>
      <c r="F304" s="156" t="s">
        <v>549</v>
      </c>
      <c r="G304" s="157" t="str">
        <f t="shared" si="117"/>
        <v>9</v>
      </c>
      <c r="H304" s="156" t="str">
        <f t="shared" si="118"/>
        <v>16 fős egyenes kiesés + 3. hely</v>
      </c>
      <c r="I304" s="157" t="str">
        <f>"3"</f>
        <v>3</v>
      </c>
      <c r="J304" s="156" t="str">
        <f>"Czakó Natália"</f>
        <v>Czakó Natália</v>
      </c>
      <c r="K304" s="156" t="str">
        <f>"Nagykátai Bushido SE"</f>
        <v>Nagykátai Bushido SE</v>
      </c>
      <c r="L304" s="156" t="str">
        <f t="shared" si="97"/>
        <v>HUN</v>
      </c>
      <c r="M304" s="163">
        <v>3</v>
      </c>
      <c r="N304" s="158" t="s">
        <v>793</v>
      </c>
      <c r="O304" s="154" t="s">
        <v>246</v>
      </c>
      <c r="P304" s="159">
        <v>46081</v>
      </c>
      <c r="Q304" s="154" t="str">
        <f t="shared" si="102"/>
        <v>Czakó Natália - Nagykátai Bushido SE</v>
      </c>
      <c r="R304" s="154" t="s">
        <v>636</v>
      </c>
      <c r="S304" s="154" t="str">
        <f t="shared" si="103"/>
        <v>Nagykátai Bushido SE</v>
      </c>
      <c r="T304" s="154" t="s">
        <v>645</v>
      </c>
      <c r="U304" s="154" t="s">
        <v>798</v>
      </c>
      <c r="V304" s="154"/>
    </row>
    <row r="305" spans="1:22" s="158" customFormat="1" x14ac:dyDescent="0.3">
      <c r="A305" s="154" t="s">
        <v>775</v>
      </c>
      <c r="B305" s="155">
        <v>2</v>
      </c>
      <c r="C305" s="154">
        <v>227</v>
      </c>
      <c r="D305" s="156" t="str">
        <f t="shared" si="115"/>
        <v>Kata</v>
      </c>
      <c r="E305" s="156" t="str">
        <f t="shared" si="116"/>
        <v>Kata, -, 0-160 kg, Ifjúsági (15-16</v>
      </c>
      <c r="F305" s="156" t="s">
        <v>549</v>
      </c>
      <c r="G305" s="157" t="str">
        <f t="shared" si="117"/>
        <v>9</v>
      </c>
      <c r="H305" s="156" t="str">
        <f t="shared" si="118"/>
        <v>16 fős egyenes kiesés + 3. hely</v>
      </c>
      <c r="I305" s="157" t="str">
        <f>"4"</f>
        <v>4</v>
      </c>
      <c r="J305" s="156" t="str">
        <f>"Timár Alíz"</f>
        <v>Timár Alíz</v>
      </c>
      <c r="K305" s="156" t="str">
        <f>"BHMSE"</f>
        <v>BHMSE</v>
      </c>
      <c r="L305" s="156" t="str">
        <f t="shared" si="97"/>
        <v>HUN</v>
      </c>
      <c r="M305" s="163">
        <v>2</v>
      </c>
      <c r="N305" s="158" t="s">
        <v>793</v>
      </c>
      <c r="O305" s="154" t="s">
        <v>246</v>
      </c>
      <c r="P305" s="159">
        <v>46081</v>
      </c>
      <c r="Q305" s="154" t="str">
        <f t="shared" si="102"/>
        <v>Timár Alíz - BHMSE</v>
      </c>
      <c r="R305" s="154" t="s">
        <v>636</v>
      </c>
      <c r="S305" s="154" t="str">
        <f t="shared" si="103"/>
        <v>BHMSE</v>
      </c>
      <c r="T305" s="154" t="s">
        <v>645</v>
      </c>
      <c r="U305" s="154" t="s">
        <v>798</v>
      </c>
      <c r="V305" s="154"/>
    </row>
    <row r="306" spans="1:22" s="158" customFormat="1" x14ac:dyDescent="0.3">
      <c r="A306" s="154" t="s">
        <v>775</v>
      </c>
      <c r="B306" s="155">
        <v>2</v>
      </c>
      <c r="C306" s="154">
        <v>228</v>
      </c>
      <c r="D306" s="156" t="str">
        <f t="shared" si="115"/>
        <v>Kata</v>
      </c>
      <c r="E306" s="156" t="str">
        <f t="shared" si="116"/>
        <v>Kata, -, 0-160 kg, Ifjúsági (15-16</v>
      </c>
      <c r="F306" s="156" t="s">
        <v>549</v>
      </c>
      <c r="G306" s="157" t="str">
        <f t="shared" si="117"/>
        <v>9</v>
      </c>
      <c r="H306" s="156" t="str">
        <f t="shared" si="118"/>
        <v>16 fős egyenes kiesés + 3. hely</v>
      </c>
      <c r="I306" s="157" t="str">
        <f>"5"</f>
        <v>5</v>
      </c>
      <c r="J306" s="156" t="str">
        <f>"Böcskey Emese "</f>
        <v xml:space="preserve">Böcskey Emese </v>
      </c>
      <c r="K306" s="156" t="str">
        <f>"Nagy Sándor Dojo"</f>
        <v>Nagy Sándor Dojo</v>
      </c>
      <c r="L306" s="156" t="str">
        <f t="shared" si="97"/>
        <v>HUN</v>
      </c>
      <c r="M306" s="163">
        <v>1</v>
      </c>
      <c r="N306" s="158" t="s">
        <v>793</v>
      </c>
      <c r="O306" s="154" t="s">
        <v>246</v>
      </c>
      <c r="P306" s="159">
        <v>46081</v>
      </c>
      <c r="Q306" s="154" t="str">
        <f t="shared" si="102"/>
        <v>Böcskey Emese  - Nagy Sándor Dojo</v>
      </c>
      <c r="R306" s="154" t="s">
        <v>637</v>
      </c>
      <c r="S306" s="154" t="str">
        <f t="shared" si="103"/>
        <v>Nagy Sándor Dojo</v>
      </c>
      <c r="T306" s="154" t="s">
        <v>645</v>
      </c>
      <c r="U306" s="154" t="s">
        <v>798</v>
      </c>
      <c r="V306" s="154"/>
    </row>
    <row r="307" spans="1:22" s="158" customFormat="1" x14ac:dyDescent="0.3">
      <c r="A307" s="154" t="s">
        <v>775</v>
      </c>
      <c r="B307" s="155">
        <v>2</v>
      </c>
      <c r="C307" s="154">
        <v>229</v>
      </c>
      <c r="D307" s="156" t="str">
        <f t="shared" si="115"/>
        <v>Kata</v>
      </c>
      <c r="E307" s="156" t="str">
        <f t="shared" si="116"/>
        <v>Kata, -, 0-160 kg, Ifjúsági (15-16</v>
      </c>
      <c r="F307" s="156" t="s">
        <v>549</v>
      </c>
      <c r="G307" s="157" t="str">
        <f t="shared" si="117"/>
        <v>9</v>
      </c>
      <c r="H307" s="156" t="str">
        <f t="shared" si="118"/>
        <v>16 fős egyenes kiesés + 3. hely</v>
      </c>
      <c r="I307" s="157" t="str">
        <f>"6"</f>
        <v>6</v>
      </c>
      <c r="J307" s="156" t="str">
        <f>"Varga Réka Orsolya"</f>
        <v>Varga Réka Orsolya</v>
      </c>
      <c r="K307" s="156" t="str">
        <f>"ARSC"</f>
        <v>ARSC</v>
      </c>
      <c r="L307" s="156" t="str">
        <f t="shared" si="97"/>
        <v>HUN</v>
      </c>
      <c r="M307" s="163">
        <v>0</v>
      </c>
      <c r="N307" s="158" t="s">
        <v>793</v>
      </c>
      <c r="O307" s="154" t="s">
        <v>246</v>
      </c>
      <c r="P307" s="159">
        <v>46081</v>
      </c>
      <c r="Q307" s="154" t="str">
        <f t="shared" si="102"/>
        <v>Varga Réka Orsolya - ARSC</v>
      </c>
      <c r="R307" s="154" t="s">
        <v>636</v>
      </c>
      <c r="S307" s="154" t="str">
        <f t="shared" si="103"/>
        <v>ARSC</v>
      </c>
      <c r="T307" s="154" t="s">
        <v>645</v>
      </c>
      <c r="U307" s="154" t="s">
        <v>798</v>
      </c>
      <c r="V307" s="154"/>
    </row>
    <row r="308" spans="1:22" s="158" customFormat="1" x14ac:dyDescent="0.3">
      <c r="A308" s="154" t="s">
        <v>775</v>
      </c>
      <c r="B308" s="155">
        <v>2</v>
      </c>
      <c r="C308" s="154">
        <v>230</v>
      </c>
      <c r="D308" s="156" t="str">
        <f t="shared" si="115"/>
        <v>Kata</v>
      </c>
      <c r="E308" s="156" t="str">
        <f t="shared" si="116"/>
        <v>Kata, -, 0-160 kg, Ifjúsági (15-16</v>
      </c>
      <c r="F308" s="156" t="s">
        <v>549</v>
      </c>
      <c r="G308" s="157" t="str">
        <f t="shared" si="117"/>
        <v>9</v>
      </c>
      <c r="H308" s="156" t="str">
        <f t="shared" si="118"/>
        <v>16 fős egyenes kiesés + 3. hely</v>
      </c>
      <c r="I308" s="157" t="str">
        <f>"7-8"</f>
        <v>7-8</v>
      </c>
      <c r="J308" s="156" t="str">
        <f>"Princz Anna"</f>
        <v>Princz Anna</v>
      </c>
      <c r="K308" s="156" t="str">
        <f>"ARSC"</f>
        <v>ARSC</v>
      </c>
      <c r="L308" s="156" t="str">
        <f t="shared" si="97"/>
        <v>HUN</v>
      </c>
      <c r="M308" s="163">
        <v>0</v>
      </c>
      <c r="N308" s="158" t="s">
        <v>793</v>
      </c>
      <c r="O308" s="154" t="s">
        <v>246</v>
      </c>
      <c r="P308" s="159">
        <v>46081</v>
      </c>
      <c r="Q308" s="154" t="str">
        <f t="shared" si="102"/>
        <v>Princz Anna - ARSC</v>
      </c>
      <c r="R308" s="154" t="s">
        <v>636</v>
      </c>
      <c r="S308" s="154" t="str">
        <f t="shared" si="103"/>
        <v>ARSC</v>
      </c>
      <c r="T308" s="154" t="s">
        <v>645</v>
      </c>
      <c r="U308" s="154" t="s">
        <v>798</v>
      </c>
      <c r="V308" s="154"/>
    </row>
    <row r="309" spans="1:22" s="158" customFormat="1" x14ac:dyDescent="0.3">
      <c r="A309" s="154" t="s">
        <v>775</v>
      </c>
      <c r="B309" s="155">
        <v>2</v>
      </c>
      <c r="C309" s="154">
        <v>231</v>
      </c>
      <c r="D309" s="156" t="str">
        <f t="shared" si="115"/>
        <v>Kata</v>
      </c>
      <c r="E309" s="156" t="str">
        <f t="shared" si="116"/>
        <v>Kata, -, 0-160 kg, Ifjúsági (15-16</v>
      </c>
      <c r="F309" s="156" t="s">
        <v>549</v>
      </c>
      <c r="G309" s="157" t="str">
        <f t="shared" si="117"/>
        <v>9</v>
      </c>
      <c r="H309" s="156" t="str">
        <f t="shared" si="118"/>
        <v>16 fős egyenes kiesés + 3. hely</v>
      </c>
      <c r="I309" s="157" t="str">
        <f>"7-8"</f>
        <v>7-8</v>
      </c>
      <c r="J309" s="156" t="str">
        <f>"Sülyi Luca"</f>
        <v>Sülyi Luca</v>
      </c>
      <c r="K309" s="156" t="str">
        <f>"Főnix Dojo"</f>
        <v>Főnix Dojo</v>
      </c>
      <c r="L309" s="156" t="str">
        <f t="shared" si="97"/>
        <v>HUN</v>
      </c>
      <c r="M309" s="163">
        <v>0</v>
      </c>
      <c r="N309" s="158" t="s">
        <v>793</v>
      </c>
      <c r="O309" s="154" t="s">
        <v>246</v>
      </c>
      <c r="P309" s="159">
        <v>46081</v>
      </c>
      <c r="Q309" s="154" t="str">
        <f t="shared" si="102"/>
        <v>Sülyi Luca - Főnix Dojo</v>
      </c>
      <c r="R309" s="154" t="s">
        <v>636</v>
      </c>
      <c r="S309" s="154" t="str">
        <f t="shared" si="103"/>
        <v>Főnix Dojo</v>
      </c>
      <c r="T309" s="154" t="s">
        <v>645</v>
      </c>
      <c r="U309" s="154" t="s">
        <v>798</v>
      </c>
      <c r="V309" s="154"/>
    </row>
    <row r="310" spans="1:22" s="158" customFormat="1" x14ac:dyDescent="0.3">
      <c r="A310" s="154" t="s">
        <v>775</v>
      </c>
      <c r="B310" s="155">
        <v>2</v>
      </c>
      <c r="C310" s="154">
        <v>232</v>
      </c>
      <c r="D310" s="156" t="str">
        <f t="shared" si="115"/>
        <v>Kata</v>
      </c>
      <c r="E310" s="156" t="str">
        <f t="shared" si="116"/>
        <v>Kata, -, 0-160 kg, Ifjúsági (15-16</v>
      </c>
      <c r="F310" s="156" t="s">
        <v>549</v>
      </c>
      <c r="G310" s="157" t="str">
        <f t="shared" si="117"/>
        <v>9</v>
      </c>
      <c r="H310" s="156" t="str">
        <f t="shared" si="118"/>
        <v>16 fős egyenes kiesés + 3. hely</v>
      </c>
      <c r="I310" s="157" t="str">
        <f>"11-16"</f>
        <v>11-16</v>
      </c>
      <c r="J310" s="156" t="str">
        <f>"Horváth Hanna Barbara"</f>
        <v>Horváth Hanna Barbara</v>
      </c>
      <c r="K310" s="156" t="str">
        <f>"BHMSE"</f>
        <v>BHMSE</v>
      </c>
      <c r="L310" s="156" t="str">
        <f t="shared" si="97"/>
        <v>HUN</v>
      </c>
      <c r="M310" s="163">
        <v>0</v>
      </c>
      <c r="N310" s="158" t="s">
        <v>793</v>
      </c>
      <c r="O310" s="154" t="s">
        <v>246</v>
      </c>
      <c r="P310" s="159">
        <v>46081</v>
      </c>
      <c r="Q310" s="154" t="str">
        <f t="shared" si="102"/>
        <v>Horváth Hanna Barbara - BHMSE</v>
      </c>
      <c r="R310" s="154" t="s">
        <v>636</v>
      </c>
      <c r="S310" s="154" t="str">
        <f t="shared" si="103"/>
        <v>BHMSE</v>
      </c>
      <c r="T310" s="154" t="s">
        <v>645</v>
      </c>
      <c r="U310" s="154" t="s">
        <v>798</v>
      </c>
      <c r="V310" s="154"/>
    </row>
    <row r="311" spans="1:22" s="158" customFormat="1" x14ac:dyDescent="0.3">
      <c r="A311" s="154" t="s">
        <v>775</v>
      </c>
      <c r="B311" s="155">
        <v>2</v>
      </c>
      <c r="C311" s="154">
        <v>233</v>
      </c>
      <c r="D311" s="156" t="str">
        <f t="shared" ref="D311:D318" si="119">"Kumite"</f>
        <v>Kumite</v>
      </c>
      <c r="E311" s="156" t="str">
        <f>"Kumite, -, 60-65 kg, Junior DOL (17-19"</f>
        <v>Kumite, -, 60-65 kg, Junior DOL (17-19</v>
      </c>
      <c r="F311" s="156" t="s">
        <v>497</v>
      </c>
      <c r="G311" s="157" t="str">
        <f>"5"</f>
        <v>5</v>
      </c>
      <c r="H311" s="156" t="str">
        <f>"5 fős körmérkőzés"</f>
        <v>5 fős körmérkőzés</v>
      </c>
      <c r="I311" s="157" t="str">
        <f>"1"</f>
        <v>1</v>
      </c>
      <c r="J311" s="156" t="str">
        <f>"Danka Hunor"</f>
        <v>Danka Hunor</v>
      </c>
      <c r="K311" s="156" t="str">
        <f>"Nagykátai Bushido SE"</f>
        <v>Nagykátai Bushido SE</v>
      </c>
      <c r="L311" s="156" t="str">
        <f t="shared" si="97"/>
        <v>HUN</v>
      </c>
      <c r="M311" s="163">
        <v>8</v>
      </c>
      <c r="O311" s="154" t="s">
        <v>246</v>
      </c>
      <c r="P311" s="159">
        <v>46081</v>
      </c>
      <c r="Q311" s="154" t="str">
        <f t="shared" si="102"/>
        <v>Danka Hunor - Nagykátai Bushido SE</v>
      </c>
      <c r="R311" s="154" t="s">
        <v>636</v>
      </c>
      <c r="S311" s="154" t="str">
        <f t="shared" si="103"/>
        <v>Nagykátai Bushido SE</v>
      </c>
      <c r="T311" s="154" t="s">
        <v>645</v>
      </c>
      <c r="U311" s="154" t="s">
        <v>799</v>
      </c>
      <c r="V311" s="154"/>
    </row>
    <row r="312" spans="1:22" s="158" customFormat="1" x14ac:dyDescent="0.3">
      <c r="A312" s="154" t="s">
        <v>775</v>
      </c>
      <c r="B312" s="155">
        <v>2</v>
      </c>
      <c r="C312" s="154">
        <v>234</v>
      </c>
      <c r="D312" s="156" t="str">
        <f t="shared" si="119"/>
        <v>Kumite</v>
      </c>
      <c r="E312" s="156" t="str">
        <f>"Kumite, -, 60-65 kg, Junior DOL (17-19"</f>
        <v>Kumite, -, 60-65 kg, Junior DOL (17-19</v>
      </c>
      <c r="F312" s="156" t="s">
        <v>497</v>
      </c>
      <c r="G312" s="157" t="str">
        <f>"5"</f>
        <v>5</v>
      </c>
      <c r="H312" s="156" t="str">
        <f>"5 fős körmérkőzés"</f>
        <v>5 fős körmérkőzés</v>
      </c>
      <c r="I312" s="157" t="str">
        <f>"2"</f>
        <v>2</v>
      </c>
      <c r="J312" s="156" t="str">
        <f>"Balogh András Barnabás"</f>
        <v>Balogh András Barnabás</v>
      </c>
      <c r="K312" s="156" t="str">
        <f>"Ippon KKSE"</f>
        <v>Ippon KKSE</v>
      </c>
      <c r="L312" s="156" t="str">
        <f t="shared" si="97"/>
        <v>HUN</v>
      </c>
      <c r="M312" s="163">
        <v>6</v>
      </c>
      <c r="O312" s="154" t="s">
        <v>246</v>
      </c>
      <c r="P312" s="159">
        <v>46081</v>
      </c>
      <c r="Q312" s="154" t="str">
        <f t="shared" si="102"/>
        <v>Balogh András Barnabás - Ippon KKSE</v>
      </c>
      <c r="R312" s="154" t="s">
        <v>636</v>
      </c>
      <c r="S312" s="154" t="str">
        <f t="shared" si="103"/>
        <v>Ippon KKSE</v>
      </c>
      <c r="T312" s="154" t="s">
        <v>645</v>
      </c>
      <c r="U312" s="154" t="s">
        <v>799</v>
      </c>
      <c r="V312" s="154"/>
    </row>
    <row r="313" spans="1:22" s="158" customFormat="1" x14ac:dyDescent="0.3">
      <c r="A313" s="154" t="s">
        <v>775</v>
      </c>
      <c r="B313" s="155">
        <v>2</v>
      </c>
      <c r="C313" s="154">
        <v>235</v>
      </c>
      <c r="D313" s="156" t="str">
        <f t="shared" si="119"/>
        <v>Kumite</v>
      </c>
      <c r="E313" s="156" t="str">
        <f>"Kumite, -, 60-65 kg, Junior DOL (17-19"</f>
        <v>Kumite, -, 60-65 kg, Junior DOL (17-19</v>
      </c>
      <c r="F313" s="156" t="s">
        <v>497</v>
      </c>
      <c r="G313" s="157" t="str">
        <f>"5"</f>
        <v>5</v>
      </c>
      <c r="H313" s="156" t="str">
        <f>"5 fős körmérkőzés"</f>
        <v>5 fős körmérkőzés</v>
      </c>
      <c r="I313" s="157" t="str">
        <f>"3"</f>
        <v>3</v>
      </c>
      <c r="J313" s="156" t="str">
        <f>"Kovácsay Gergely"</f>
        <v>Kovácsay Gergely</v>
      </c>
      <c r="K313" s="156" t="str">
        <f>"Ippon KKSE"</f>
        <v>Ippon KKSE</v>
      </c>
      <c r="L313" s="156" t="str">
        <f t="shared" si="97"/>
        <v>HUN</v>
      </c>
      <c r="M313" s="163">
        <v>4</v>
      </c>
      <c r="O313" s="154" t="s">
        <v>246</v>
      </c>
      <c r="P313" s="159">
        <v>46081</v>
      </c>
      <c r="Q313" s="154" t="str">
        <f t="shared" ref="Q313" si="120">J313&amp;" - "&amp;K313</f>
        <v>Kovácsay Gergely - Ippon KKSE</v>
      </c>
      <c r="R313" s="154" t="s">
        <v>636</v>
      </c>
      <c r="S313" s="154" t="str">
        <f t="shared" ref="S313" si="121">K313</f>
        <v>Ippon KKSE</v>
      </c>
      <c r="T313" s="154" t="s">
        <v>645</v>
      </c>
      <c r="U313" s="154" t="s">
        <v>799</v>
      </c>
      <c r="V313" s="154"/>
    </row>
    <row r="314" spans="1:22" s="158" customFormat="1" x14ac:dyDescent="0.3">
      <c r="A314" s="154" t="s">
        <v>775</v>
      </c>
      <c r="B314" s="155">
        <v>2</v>
      </c>
      <c r="C314" s="154">
        <v>235</v>
      </c>
      <c r="D314" s="156" t="str">
        <f t="shared" si="119"/>
        <v>Kumite</v>
      </c>
      <c r="E314" s="156" t="str">
        <f>"Kumite, -, 60-65 kg, Junior DOL (17-19"</f>
        <v>Kumite, -, 60-65 kg, Junior DOL (17-19</v>
      </c>
      <c r="F314" s="156" t="s">
        <v>497</v>
      </c>
      <c r="G314" s="157" t="str">
        <f>"5"</f>
        <v>5</v>
      </c>
      <c r="H314" s="156" t="str">
        <f>"5 fős körmérkőzés"</f>
        <v>5 fős körmérkőzés</v>
      </c>
      <c r="I314" s="157">
        <v>4</v>
      </c>
      <c r="J314" s="156" t="s">
        <v>789</v>
      </c>
      <c r="K314" s="156" t="s">
        <v>790</v>
      </c>
      <c r="L314" s="156" t="str">
        <f t="shared" si="97"/>
        <v>HUN</v>
      </c>
      <c r="M314" s="163">
        <v>3</v>
      </c>
      <c r="O314" s="154" t="s">
        <v>246</v>
      </c>
      <c r="P314" s="159">
        <v>46081</v>
      </c>
      <c r="Q314" s="154" t="str">
        <f t="shared" si="102"/>
        <v>Varga Tamás - Goukai KSE</v>
      </c>
      <c r="R314" s="154" t="s">
        <v>636</v>
      </c>
      <c r="S314" s="154" t="str">
        <f t="shared" si="103"/>
        <v>Goukai KSE</v>
      </c>
      <c r="T314" s="154" t="s">
        <v>645</v>
      </c>
      <c r="U314" s="154" t="s">
        <v>799</v>
      </c>
      <c r="V314" s="154"/>
    </row>
    <row r="315" spans="1:22" s="158" customFormat="1" x14ac:dyDescent="0.3">
      <c r="A315" s="154" t="s">
        <v>775</v>
      </c>
      <c r="B315" s="155">
        <v>2</v>
      </c>
      <c r="C315" s="154">
        <v>236</v>
      </c>
      <c r="D315" s="156" t="str">
        <f t="shared" si="119"/>
        <v>Kumite</v>
      </c>
      <c r="E315" s="156" t="str">
        <f>"Kumite, -, 65-70 kg, Junior DOL (17-19"</f>
        <v>Kumite, -, 65-70 kg, Junior DOL (17-19</v>
      </c>
      <c r="F315" s="156" t="s">
        <v>498</v>
      </c>
      <c r="G315" s="157" t="str">
        <f>"2"</f>
        <v>2</v>
      </c>
      <c r="H315" s="156" t="str">
        <f>"2 fős egyenes kiesés"</f>
        <v>2 fős egyenes kiesés</v>
      </c>
      <c r="I315" s="157" t="str">
        <f>"1"</f>
        <v>1</v>
      </c>
      <c r="J315" s="156" t="str">
        <f>"Szente Szabolcs"</f>
        <v>Szente Szabolcs</v>
      </c>
      <c r="K315" s="156" t="str">
        <f>"VTSE"</f>
        <v>VTSE</v>
      </c>
      <c r="L315" s="156" t="str">
        <f t="shared" si="97"/>
        <v>HUN</v>
      </c>
      <c r="M315" s="163">
        <v>3</v>
      </c>
      <c r="O315" s="154" t="s">
        <v>246</v>
      </c>
      <c r="P315" s="159">
        <v>46081</v>
      </c>
      <c r="Q315" s="154" t="str">
        <f t="shared" si="102"/>
        <v>Szente Szabolcs - VTSE</v>
      </c>
      <c r="R315" s="154" t="s">
        <v>637</v>
      </c>
      <c r="S315" s="154" t="str">
        <f t="shared" si="103"/>
        <v>VTSE</v>
      </c>
      <c r="T315" s="154" t="s">
        <v>645</v>
      </c>
      <c r="U315" s="154" t="s">
        <v>799</v>
      </c>
      <c r="V315" s="154"/>
    </row>
    <row r="316" spans="1:22" s="158" customFormat="1" x14ac:dyDescent="0.3">
      <c r="A316" s="154" t="s">
        <v>775</v>
      </c>
      <c r="B316" s="155">
        <v>2</v>
      </c>
      <c r="C316" s="154">
        <v>237</v>
      </c>
      <c r="D316" s="156" t="str">
        <f t="shared" si="119"/>
        <v>Kumite</v>
      </c>
      <c r="E316" s="156" t="str">
        <f>"Kumite, -, 65-70 kg, Junior DOL (17-19"</f>
        <v>Kumite, -, 65-70 kg, Junior DOL (17-19</v>
      </c>
      <c r="F316" s="156" t="s">
        <v>498</v>
      </c>
      <c r="G316" s="157" t="str">
        <f>"2"</f>
        <v>2</v>
      </c>
      <c r="H316" s="156" t="str">
        <f>"2 fős egyenes kiesés"</f>
        <v>2 fős egyenes kiesés</v>
      </c>
      <c r="I316" s="157" t="str">
        <f>"2"</f>
        <v>2</v>
      </c>
      <c r="J316" s="156" t="str">
        <f>"Nagy Benedek"</f>
        <v>Nagy Benedek</v>
      </c>
      <c r="K316" s="156" t="str">
        <f>"Tora HSE"</f>
        <v>Tora HSE</v>
      </c>
      <c r="L316" s="156" t="str">
        <f t="shared" si="97"/>
        <v>HUN</v>
      </c>
      <c r="M316" s="163">
        <v>0</v>
      </c>
      <c r="O316" s="154" t="s">
        <v>246</v>
      </c>
      <c r="P316" s="159">
        <v>46081</v>
      </c>
      <c r="Q316" s="154" t="str">
        <f t="shared" si="102"/>
        <v>Nagy Benedek - Tora HSE</v>
      </c>
      <c r="R316" s="154" t="s">
        <v>637</v>
      </c>
      <c r="S316" s="154" t="str">
        <f t="shared" si="103"/>
        <v>Tora HSE</v>
      </c>
      <c r="T316" s="154" t="s">
        <v>645</v>
      </c>
      <c r="U316" s="154" t="s">
        <v>799</v>
      </c>
      <c r="V316" s="154"/>
    </row>
    <row r="317" spans="1:22" s="158" customFormat="1" x14ac:dyDescent="0.3">
      <c r="A317" s="154" t="s">
        <v>775</v>
      </c>
      <c r="B317" s="155">
        <v>2</v>
      </c>
      <c r="C317" s="154">
        <v>240</v>
      </c>
      <c r="D317" s="156" t="str">
        <f t="shared" si="119"/>
        <v>Kumite</v>
      </c>
      <c r="E317" s="156" t="str">
        <f>"Kumite, -, 80-200 kg, Junior DOL (17-19"</f>
        <v>Kumite, -, 80-200 kg, Junior DOL (17-19</v>
      </c>
      <c r="F317" s="156" t="s">
        <v>501</v>
      </c>
      <c r="G317" s="157" t="str">
        <f>"4"</f>
        <v>4</v>
      </c>
      <c r="H317" s="156" t="str">
        <f>"4 fős körmérkőzés"</f>
        <v>4 fős körmérkőzés</v>
      </c>
      <c r="I317" s="157" t="str">
        <f>"1"</f>
        <v>1</v>
      </c>
      <c r="J317" s="156" t="str">
        <f>"Tengelics Márk"</f>
        <v>Tengelics Márk</v>
      </c>
      <c r="K317" s="156" t="str">
        <f>"IKIGAI DOJO BÖRCS"</f>
        <v>IKIGAI DOJO BÖRCS</v>
      </c>
      <c r="L317" s="156" t="str">
        <f t="shared" si="97"/>
        <v>HUN</v>
      </c>
      <c r="M317" s="163">
        <v>6</v>
      </c>
      <c r="O317" s="154" t="s">
        <v>246</v>
      </c>
      <c r="P317" s="159">
        <v>46081</v>
      </c>
      <c r="Q317" s="154" t="str">
        <f t="shared" si="102"/>
        <v>Tengelics Márk - IKIGAI DOJO BÖRCS</v>
      </c>
      <c r="R317" s="154" t="s">
        <v>637</v>
      </c>
      <c r="S317" s="154" t="str">
        <f t="shared" si="103"/>
        <v>IKIGAI DOJO BÖRCS</v>
      </c>
      <c r="T317" s="154" t="s">
        <v>645</v>
      </c>
      <c r="U317" s="154" t="s">
        <v>799</v>
      </c>
      <c r="V317" s="154"/>
    </row>
    <row r="318" spans="1:22" s="158" customFormat="1" x14ac:dyDescent="0.3">
      <c r="A318" s="154" t="s">
        <v>775</v>
      </c>
      <c r="B318" s="155">
        <v>2</v>
      </c>
      <c r="C318" s="154">
        <v>241</v>
      </c>
      <c r="D318" s="156" t="str">
        <f t="shared" si="119"/>
        <v>Kumite</v>
      </c>
      <c r="E318" s="156" t="str">
        <f>"Kumite, -, 80-200 kg, Junior DOL (17-19"</f>
        <v>Kumite, -, 80-200 kg, Junior DOL (17-19</v>
      </c>
      <c r="F318" s="156" t="s">
        <v>501</v>
      </c>
      <c r="G318" s="157" t="str">
        <f>"4"</f>
        <v>4</v>
      </c>
      <c r="H318" s="156" t="str">
        <f>"4 fős körmérkőzés"</f>
        <v>4 fős körmérkőzés</v>
      </c>
      <c r="I318" s="157" t="str">
        <f>"2"</f>
        <v>2</v>
      </c>
      <c r="J318" s="156" t="str">
        <f>"Kozó Flórián"</f>
        <v>Kozó Flórián</v>
      </c>
      <c r="K318" s="156" t="str">
        <f>"Shinkyo SE"</f>
        <v>Shinkyo SE</v>
      </c>
      <c r="L318" s="156" t="str">
        <f t="shared" si="97"/>
        <v>HUN</v>
      </c>
      <c r="M318" s="163">
        <v>5</v>
      </c>
      <c r="O318" s="154" t="s">
        <v>246</v>
      </c>
      <c r="P318" s="159">
        <v>46081</v>
      </c>
      <c r="Q318" s="154" t="str">
        <f t="shared" si="102"/>
        <v>Kozó Flórián - Shinkyo SE</v>
      </c>
      <c r="R318" s="154" t="s">
        <v>636</v>
      </c>
      <c r="S318" s="154" t="str">
        <f t="shared" si="103"/>
        <v>Shinkyo SE</v>
      </c>
      <c r="T318" s="154" t="s">
        <v>645</v>
      </c>
      <c r="U318" s="154" t="s">
        <v>799</v>
      </c>
      <c r="V318" s="154"/>
    </row>
    <row r="319" spans="1:22" s="158" customFormat="1" x14ac:dyDescent="0.3">
      <c r="A319" s="154" t="s">
        <v>775</v>
      </c>
      <c r="B319" s="155">
        <v>2</v>
      </c>
      <c r="C319" s="154">
        <v>242</v>
      </c>
      <c r="D319" s="156" t="str">
        <f>"Kata"</f>
        <v>Kata</v>
      </c>
      <c r="E319" s="156" t="str">
        <f>"Kata, -, 0-170 kg, Junior DOL (17-19"</f>
        <v>Kata, -, 0-170 kg, Junior DOL (17-19</v>
      </c>
      <c r="F319" s="156" t="s">
        <v>502</v>
      </c>
      <c r="G319" s="157" t="str">
        <f t="shared" ref="G319:G324" si="122">"3"</f>
        <v>3</v>
      </c>
      <c r="H319" s="156" t="str">
        <f t="shared" ref="H319:H324" si="123">"3 fős körmérkőzés"</f>
        <v>3 fős körmérkőzés</v>
      </c>
      <c r="I319" s="157" t="str">
        <f>"1"</f>
        <v>1</v>
      </c>
      <c r="J319" s="156" t="str">
        <f>"Bűdy Sándor"</f>
        <v>Bűdy Sándor</v>
      </c>
      <c r="K319" s="156" t="str">
        <f>"BHMSE"</f>
        <v>BHMSE</v>
      </c>
      <c r="L319" s="156" t="str">
        <f t="shared" si="97"/>
        <v>HUN</v>
      </c>
      <c r="M319" s="163">
        <v>3</v>
      </c>
      <c r="N319" s="158" t="s">
        <v>794</v>
      </c>
      <c r="O319" s="154" t="s">
        <v>246</v>
      </c>
      <c r="P319" s="159">
        <v>46081</v>
      </c>
      <c r="Q319" s="154" t="str">
        <f t="shared" si="102"/>
        <v>Bűdy Sándor - BHMSE</v>
      </c>
      <c r="R319" s="154" t="s">
        <v>636</v>
      </c>
      <c r="S319" s="154" t="str">
        <f t="shared" si="103"/>
        <v>BHMSE</v>
      </c>
      <c r="T319" s="154" t="s">
        <v>645</v>
      </c>
      <c r="U319" s="154" t="s">
        <v>799</v>
      </c>
      <c r="V319" s="154"/>
    </row>
    <row r="320" spans="1:22" s="158" customFormat="1" x14ac:dyDescent="0.3">
      <c r="A320" s="154" t="s">
        <v>775</v>
      </c>
      <c r="B320" s="155">
        <v>2</v>
      </c>
      <c r="C320" s="154">
        <v>243</v>
      </c>
      <c r="D320" s="156" t="str">
        <f>"Kata"</f>
        <v>Kata</v>
      </c>
      <c r="E320" s="156" t="str">
        <f>"Kata, -, 0-170 kg, Junior DOL (17-19"</f>
        <v>Kata, -, 0-170 kg, Junior DOL (17-19</v>
      </c>
      <c r="F320" s="156" t="s">
        <v>502</v>
      </c>
      <c r="G320" s="157" t="str">
        <f t="shared" si="122"/>
        <v>3</v>
      </c>
      <c r="H320" s="156" t="str">
        <f t="shared" si="123"/>
        <v>3 fős körmérkőzés</v>
      </c>
      <c r="I320" s="157" t="str">
        <f>"2"</f>
        <v>2</v>
      </c>
      <c r="J320" s="156" t="str">
        <f>"Tengelics Márk"</f>
        <v>Tengelics Márk</v>
      </c>
      <c r="K320" s="156" t="str">
        <f>"IKIGAI DOJO BÖRCS"</f>
        <v>IKIGAI DOJO BÖRCS</v>
      </c>
      <c r="L320" s="156" t="str">
        <f t="shared" si="97"/>
        <v>HUN</v>
      </c>
      <c r="M320" s="163">
        <v>2</v>
      </c>
      <c r="N320" s="158" t="s">
        <v>794</v>
      </c>
      <c r="O320" s="154" t="s">
        <v>246</v>
      </c>
      <c r="P320" s="159">
        <v>46081</v>
      </c>
      <c r="Q320" s="154" t="str">
        <f t="shared" ref="Q320" si="124">J320&amp;" - "&amp;K320</f>
        <v>Tengelics Márk - IKIGAI DOJO BÖRCS</v>
      </c>
      <c r="R320" s="154" t="s">
        <v>637</v>
      </c>
      <c r="S320" s="154" t="str">
        <f t="shared" ref="S320" si="125">K320</f>
        <v>IKIGAI DOJO BÖRCS</v>
      </c>
      <c r="T320" s="154" t="s">
        <v>645</v>
      </c>
      <c r="U320" s="154" t="s">
        <v>799</v>
      </c>
      <c r="V320" s="154"/>
    </row>
    <row r="321" spans="1:22" s="158" customFormat="1" x14ac:dyDescent="0.3">
      <c r="A321" s="154" t="s">
        <v>775</v>
      </c>
      <c r="B321" s="155">
        <v>2</v>
      </c>
      <c r="C321" s="154">
        <v>262</v>
      </c>
      <c r="D321" s="156" t="str">
        <f>"Kata"</f>
        <v>Kata</v>
      </c>
      <c r="E321" s="156" t="str">
        <f>"Kata, -, 0-170 kg, Junior DOL (17-19"</f>
        <v>Kata, -, 0-170 kg, Junior DOL (17-19</v>
      </c>
      <c r="F321" s="156" t="s">
        <v>502</v>
      </c>
      <c r="G321" s="157" t="str">
        <f t="shared" si="122"/>
        <v>3</v>
      </c>
      <c r="H321" s="156" t="str">
        <f t="shared" si="123"/>
        <v>3 fős körmérkőzés</v>
      </c>
      <c r="I321" s="157" t="str">
        <f>"3"</f>
        <v>3</v>
      </c>
      <c r="J321" s="156" t="str">
        <f>"Magyar Botond"</f>
        <v>Magyar Botond</v>
      </c>
      <c r="K321" s="156" t="str">
        <f>"Nagy Sándor Dojo"</f>
        <v>Nagy Sándor Dojo</v>
      </c>
      <c r="L321" s="156" t="str">
        <f t="shared" ref="L321:L343" si="126">"HUN"</f>
        <v>HUN</v>
      </c>
      <c r="M321" s="163">
        <v>0</v>
      </c>
      <c r="N321" s="158" t="s">
        <v>794</v>
      </c>
      <c r="O321" s="154" t="s">
        <v>246</v>
      </c>
      <c r="P321" s="159">
        <v>46081</v>
      </c>
      <c r="Q321" s="154" t="str">
        <f>J321&amp;" - "&amp;K321</f>
        <v>Magyar Botond - Nagy Sándor Dojo</v>
      </c>
      <c r="R321" s="154" t="s">
        <v>637</v>
      </c>
      <c r="S321" s="154" t="str">
        <f>K321</f>
        <v>Nagy Sándor Dojo</v>
      </c>
      <c r="T321" s="154" t="s">
        <v>645</v>
      </c>
      <c r="U321" s="154" t="s">
        <v>799</v>
      </c>
      <c r="V321" s="154"/>
    </row>
    <row r="322" spans="1:22" s="158" customFormat="1" x14ac:dyDescent="0.3">
      <c r="A322" s="154" t="s">
        <v>775</v>
      </c>
      <c r="B322" s="155">
        <v>2</v>
      </c>
      <c r="C322" s="154">
        <v>244</v>
      </c>
      <c r="D322" s="156" t="str">
        <f t="shared" ref="D322:D333" si="127">"Kumite"</f>
        <v>Kumite</v>
      </c>
      <c r="E322" s="156" t="str">
        <f>"Kumite, -, 0-50 kg, Junior DOL (17-19"</f>
        <v>Kumite, -, 0-50 kg, Junior DOL (17-19</v>
      </c>
      <c r="F322" s="156" t="s">
        <v>504</v>
      </c>
      <c r="G322" s="157" t="str">
        <f t="shared" si="122"/>
        <v>3</v>
      </c>
      <c r="H322" s="156" t="str">
        <f t="shared" si="123"/>
        <v>3 fős körmérkőzés</v>
      </c>
      <c r="I322" s="157" t="str">
        <f>"1"</f>
        <v>1</v>
      </c>
      <c r="J322" s="156" t="str">
        <f>"Németh Panka"</f>
        <v>Németh Panka</v>
      </c>
      <c r="K322" s="156" t="str">
        <f>"Cs.S.E."</f>
        <v>Cs.S.E.</v>
      </c>
      <c r="L322" s="156" t="str">
        <f t="shared" si="97"/>
        <v>HUN</v>
      </c>
      <c r="M322" s="163">
        <v>4</v>
      </c>
      <c r="O322" s="154" t="s">
        <v>246</v>
      </c>
      <c r="P322" s="159">
        <v>46081</v>
      </c>
      <c r="Q322" s="154" t="str">
        <f t="shared" si="102"/>
        <v>Németh Panka - Cs.S.E.</v>
      </c>
      <c r="R322" s="154" t="s">
        <v>636</v>
      </c>
      <c r="S322" s="154" t="str">
        <f t="shared" si="103"/>
        <v>Cs.S.E.</v>
      </c>
      <c r="T322" s="154" t="s">
        <v>645</v>
      </c>
      <c r="U322" s="154" t="s">
        <v>799</v>
      </c>
      <c r="V322" s="154"/>
    </row>
    <row r="323" spans="1:22" s="158" customFormat="1" x14ac:dyDescent="0.3">
      <c r="A323" s="154" t="s">
        <v>775</v>
      </c>
      <c r="B323" s="155">
        <v>2</v>
      </c>
      <c r="C323" s="154">
        <v>245</v>
      </c>
      <c r="D323" s="156" t="str">
        <f t="shared" si="127"/>
        <v>Kumite</v>
      </c>
      <c r="E323" s="156" t="str">
        <f>"Kumite, -, 0-50 kg, Junior DOL (17-19"</f>
        <v>Kumite, -, 0-50 kg, Junior DOL (17-19</v>
      </c>
      <c r="F323" s="156" t="s">
        <v>504</v>
      </c>
      <c r="G323" s="157" t="str">
        <f t="shared" si="122"/>
        <v>3</v>
      </c>
      <c r="H323" s="156" t="str">
        <f t="shared" si="123"/>
        <v>3 fős körmérkőzés</v>
      </c>
      <c r="I323" s="157" t="str">
        <f>"2"</f>
        <v>2</v>
      </c>
      <c r="J323" s="156" t="str">
        <f>"Bőzsöny Dorka"</f>
        <v>Bőzsöny Dorka</v>
      </c>
      <c r="K323" s="156" t="str">
        <f>"BHMSE"</f>
        <v>BHMSE</v>
      </c>
      <c r="L323" s="156" t="str">
        <f t="shared" si="97"/>
        <v>HUN</v>
      </c>
      <c r="M323" s="163">
        <v>3</v>
      </c>
      <c r="O323" s="154" t="s">
        <v>246</v>
      </c>
      <c r="P323" s="159">
        <v>46081</v>
      </c>
      <c r="Q323" s="154" t="str">
        <f t="shared" si="102"/>
        <v>Bőzsöny Dorka - BHMSE</v>
      </c>
      <c r="R323" s="154" t="s">
        <v>636</v>
      </c>
      <c r="S323" s="154" t="str">
        <f t="shared" si="103"/>
        <v>BHMSE</v>
      </c>
      <c r="T323" s="154" t="s">
        <v>645</v>
      </c>
      <c r="U323" s="154" t="s">
        <v>799</v>
      </c>
      <c r="V323" s="154"/>
    </row>
    <row r="324" spans="1:22" s="158" customFormat="1" x14ac:dyDescent="0.3">
      <c r="A324" s="154" t="s">
        <v>775</v>
      </c>
      <c r="B324" s="155">
        <v>2</v>
      </c>
      <c r="C324" s="154">
        <v>246</v>
      </c>
      <c r="D324" s="156" t="str">
        <f t="shared" si="127"/>
        <v>Kumite</v>
      </c>
      <c r="E324" s="156" t="str">
        <f>"Kumite, -, 0-50 kg, Junior DOL (17-19"</f>
        <v>Kumite, -, 0-50 kg, Junior DOL (17-19</v>
      </c>
      <c r="F324" s="156" t="s">
        <v>504</v>
      </c>
      <c r="G324" s="157" t="str">
        <f t="shared" si="122"/>
        <v>3</v>
      </c>
      <c r="H324" s="156" t="str">
        <f t="shared" si="123"/>
        <v>3 fős körmérkőzés</v>
      </c>
      <c r="I324" s="157" t="str">
        <f>"3"</f>
        <v>3</v>
      </c>
      <c r="J324" s="156" t="str">
        <f>"Egerszegi Rebeka"</f>
        <v>Egerszegi Rebeka</v>
      </c>
      <c r="K324" s="156" t="str">
        <f>"Főnix Dojo"</f>
        <v>Főnix Dojo</v>
      </c>
      <c r="L324" s="156" t="str">
        <f t="shared" si="97"/>
        <v>HUN</v>
      </c>
      <c r="M324" s="163">
        <v>0</v>
      </c>
      <c r="N324" s="158" t="s">
        <v>704</v>
      </c>
      <c r="O324" s="154" t="s">
        <v>246</v>
      </c>
      <c r="P324" s="159">
        <v>46081</v>
      </c>
      <c r="Q324" s="154" t="str">
        <f t="shared" si="102"/>
        <v>Egerszegi Rebeka - Főnix Dojo</v>
      </c>
      <c r="R324" s="154" t="s">
        <v>636</v>
      </c>
      <c r="S324" s="154" t="str">
        <f t="shared" si="103"/>
        <v>Főnix Dojo</v>
      </c>
      <c r="T324" s="154" t="s">
        <v>645</v>
      </c>
      <c r="U324" s="154" t="s">
        <v>799</v>
      </c>
      <c r="V324" s="154"/>
    </row>
    <row r="325" spans="1:22" s="158" customFormat="1" x14ac:dyDescent="0.3">
      <c r="A325" s="154" t="s">
        <v>775</v>
      </c>
      <c r="B325" s="155">
        <v>2</v>
      </c>
      <c r="C325" s="154">
        <v>247</v>
      </c>
      <c r="D325" s="156" t="str">
        <f t="shared" si="127"/>
        <v>Kumite</v>
      </c>
      <c r="E325" s="156" t="str">
        <f>"Kumite, -, 50-55 kg, Junior DOL (17-19"</f>
        <v>Kumite, -, 50-55 kg, Junior DOL (17-19</v>
      </c>
      <c r="F325" s="156" t="s">
        <v>505</v>
      </c>
      <c r="G325" s="157" t="str">
        <f>"2"</f>
        <v>2</v>
      </c>
      <c r="H325" s="156" t="str">
        <f>"2 fős egyenes kiesés"</f>
        <v>2 fős egyenes kiesés</v>
      </c>
      <c r="I325" s="157" t="str">
        <f>"1"</f>
        <v>1</v>
      </c>
      <c r="J325" s="156" t="str">
        <f>"Németh Virág"</f>
        <v>Németh Virág</v>
      </c>
      <c r="K325" s="156" t="str">
        <f>"Castrum"</f>
        <v>Castrum</v>
      </c>
      <c r="L325" s="156" t="str">
        <f t="shared" si="126"/>
        <v>HUN</v>
      </c>
      <c r="M325" s="163">
        <v>3</v>
      </c>
      <c r="O325" s="154" t="s">
        <v>246</v>
      </c>
      <c r="P325" s="159">
        <v>46081</v>
      </c>
      <c r="Q325" s="154" t="str">
        <f t="shared" si="102"/>
        <v>Németh Virág - Castrum</v>
      </c>
      <c r="R325" s="154" t="s">
        <v>636</v>
      </c>
      <c r="S325" s="154" t="str">
        <f t="shared" si="103"/>
        <v>Castrum</v>
      </c>
      <c r="T325" s="154" t="s">
        <v>645</v>
      </c>
      <c r="U325" s="154" t="s">
        <v>799</v>
      </c>
      <c r="V325" s="154"/>
    </row>
    <row r="326" spans="1:22" s="158" customFormat="1" x14ac:dyDescent="0.3">
      <c r="A326" s="154" t="s">
        <v>775</v>
      </c>
      <c r="B326" s="155">
        <v>2</v>
      </c>
      <c r="C326" s="154">
        <v>248</v>
      </c>
      <c r="D326" s="156" t="str">
        <f t="shared" si="127"/>
        <v>Kumite</v>
      </c>
      <c r="E326" s="156" t="str">
        <f>"Kumite, -, 50-55 kg, Junior DOL (17-19"</f>
        <v>Kumite, -, 50-55 kg, Junior DOL (17-19</v>
      </c>
      <c r="F326" s="156" t="s">
        <v>505</v>
      </c>
      <c r="G326" s="157" t="str">
        <f>"2"</f>
        <v>2</v>
      </c>
      <c r="H326" s="156" t="str">
        <f>"2 fős egyenes kiesés"</f>
        <v>2 fős egyenes kiesés</v>
      </c>
      <c r="I326" s="157" t="str">
        <f>"2"</f>
        <v>2</v>
      </c>
      <c r="J326" s="156" t="str">
        <f>"Finta Zelma"</f>
        <v>Finta Zelma</v>
      </c>
      <c r="K326" s="156" t="str">
        <f>"Rakurai"</f>
        <v>Rakurai</v>
      </c>
      <c r="L326" s="156" t="str">
        <f t="shared" si="126"/>
        <v>HUN</v>
      </c>
      <c r="M326" s="163">
        <v>0</v>
      </c>
      <c r="O326" s="154" t="s">
        <v>246</v>
      </c>
      <c r="P326" s="159">
        <v>46081</v>
      </c>
      <c r="Q326" s="154" t="str">
        <f t="shared" si="102"/>
        <v>Finta Zelma - Rakurai</v>
      </c>
      <c r="R326" s="154" t="s">
        <v>636</v>
      </c>
      <c r="S326" s="154" t="str">
        <f t="shared" si="103"/>
        <v>Rakurai</v>
      </c>
      <c r="T326" s="154" t="s">
        <v>645</v>
      </c>
      <c r="U326" s="154" t="s">
        <v>799</v>
      </c>
      <c r="V326" s="154"/>
    </row>
    <row r="327" spans="1:22" s="158" customFormat="1" x14ac:dyDescent="0.3">
      <c r="A327" s="154" t="s">
        <v>775</v>
      </c>
      <c r="B327" s="155">
        <v>2</v>
      </c>
      <c r="C327" s="154">
        <v>261</v>
      </c>
      <c r="D327" s="156" t="str">
        <f>"Kumite"</f>
        <v>Kumite</v>
      </c>
      <c r="E327" s="156" t="str">
        <f>"Kumite, -, 80-200 kg, Junior DOL (17-19"</f>
        <v>Kumite, -, 80-200 kg, Junior DOL (17-19</v>
      </c>
      <c r="F327" s="156" t="s">
        <v>501</v>
      </c>
      <c r="G327" s="157" t="str">
        <f>"4"</f>
        <v>4</v>
      </c>
      <c r="H327" s="156" t="str">
        <f>"4 fős körmérkőzés"</f>
        <v>4 fős körmérkőzés</v>
      </c>
      <c r="I327" s="157" t="str">
        <f>"3"</f>
        <v>3</v>
      </c>
      <c r="J327" s="156" t="str">
        <f>"Spanjevic Dániel"</f>
        <v>Spanjevic Dániel</v>
      </c>
      <c r="K327" s="156" t="str">
        <f>"BHMSE"</f>
        <v>BHMSE</v>
      </c>
      <c r="L327" s="156" t="str">
        <f t="shared" si="126"/>
        <v>HUN</v>
      </c>
      <c r="M327" s="163">
        <v>3</v>
      </c>
      <c r="O327" s="154" t="s">
        <v>246</v>
      </c>
      <c r="P327" s="159">
        <v>46081</v>
      </c>
      <c r="Q327" s="154" t="str">
        <f>J327&amp;" - "&amp;K327</f>
        <v>Spanjevic Dániel - BHMSE</v>
      </c>
      <c r="R327" s="154" t="s">
        <v>636</v>
      </c>
      <c r="S327" s="154" t="str">
        <f>K327</f>
        <v>BHMSE</v>
      </c>
      <c r="T327" s="154" t="s">
        <v>645</v>
      </c>
      <c r="U327" s="154" t="s">
        <v>799</v>
      </c>
      <c r="V327" s="154"/>
    </row>
    <row r="328" spans="1:22" s="158" customFormat="1" x14ac:dyDescent="0.3">
      <c r="A328" s="154" t="s">
        <v>775</v>
      </c>
      <c r="B328" s="155">
        <v>2</v>
      </c>
      <c r="C328" s="154">
        <v>263</v>
      </c>
      <c r="D328" s="156" t="str">
        <f>"Kumite"</f>
        <v>Kumite</v>
      </c>
      <c r="E328" s="156" t="str">
        <f>"Kumite, -, 55-60 kg, Junior DOL (17-19"</f>
        <v>Kumite, -, 55-60 kg, Junior DOL (17-19</v>
      </c>
      <c r="F328" s="156" t="s">
        <v>506</v>
      </c>
      <c r="G328" s="157" t="str">
        <f>"4"</f>
        <v>4</v>
      </c>
      <c r="H328" s="156" t="str">
        <f>"4 fős körmérkőzés"</f>
        <v>4 fős körmérkőzés</v>
      </c>
      <c r="I328" s="157" t="str">
        <f>"1"</f>
        <v>1</v>
      </c>
      <c r="J328" s="156" t="str">
        <f>"Kis Mónika"</f>
        <v>Kis Mónika</v>
      </c>
      <c r="K328" s="156" t="str">
        <f>"Főnix Dojo"</f>
        <v>Főnix Dojo</v>
      </c>
      <c r="L328" s="156" t="str">
        <f t="shared" si="126"/>
        <v>HUN</v>
      </c>
      <c r="M328" s="163">
        <v>6</v>
      </c>
      <c r="O328" s="154" t="s">
        <v>246</v>
      </c>
      <c r="P328" s="159">
        <v>46081</v>
      </c>
      <c r="Q328" s="154" t="str">
        <f>J328&amp;" - "&amp;K328</f>
        <v>Kis Mónika - Főnix Dojo</v>
      </c>
      <c r="R328" s="154" t="s">
        <v>636</v>
      </c>
      <c r="S328" s="154" t="str">
        <f>K328</f>
        <v>Főnix Dojo</v>
      </c>
      <c r="T328" s="154" t="s">
        <v>645</v>
      </c>
      <c r="U328" s="154" t="s">
        <v>799</v>
      </c>
      <c r="V328" s="154"/>
    </row>
    <row r="329" spans="1:22" s="158" customFormat="1" x14ac:dyDescent="0.3">
      <c r="A329" s="154" t="s">
        <v>775</v>
      </c>
      <c r="B329" s="155">
        <v>2</v>
      </c>
      <c r="C329" s="154">
        <v>249</v>
      </c>
      <c r="D329" s="156" t="str">
        <f t="shared" si="127"/>
        <v>Kumite</v>
      </c>
      <c r="E329" s="156" t="str">
        <f>"Kumite, -, 55-60 kg, Junior DOL (17-19"</f>
        <v>Kumite, -, 55-60 kg, Junior DOL (17-19</v>
      </c>
      <c r="F329" s="156" t="s">
        <v>506</v>
      </c>
      <c r="G329" s="157" t="str">
        <f>"4"</f>
        <v>4</v>
      </c>
      <c r="H329" s="156" t="str">
        <f>"4 fős körmérkőzés"</f>
        <v>4 fős körmérkőzés</v>
      </c>
      <c r="I329" s="157" t="str">
        <f>"2"</f>
        <v>2</v>
      </c>
      <c r="J329" s="156" t="str">
        <f>"Reichert Jázmin "</f>
        <v xml:space="preserve">Reichert Jázmin </v>
      </c>
      <c r="K329" s="156" t="str">
        <f>"VTSE"</f>
        <v>VTSE</v>
      </c>
      <c r="L329" s="156" t="str">
        <f t="shared" si="126"/>
        <v>HUN</v>
      </c>
      <c r="M329" s="163">
        <v>5</v>
      </c>
      <c r="O329" s="154" t="s">
        <v>246</v>
      </c>
      <c r="P329" s="159">
        <v>46081</v>
      </c>
      <c r="Q329" s="154" t="str">
        <f t="shared" si="102"/>
        <v>Reichert Jázmin  - VTSE</v>
      </c>
      <c r="R329" s="154" t="s">
        <v>637</v>
      </c>
      <c r="S329" s="154" t="str">
        <f t="shared" si="103"/>
        <v>VTSE</v>
      </c>
      <c r="T329" s="154" t="s">
        <v>645</v>
      </c>
      <c r="U329" s="154" t="s">
        <v>799</v>
      </c>
      <c r="V329" s="154"/>
    </row>
    <row r="330" spans="1:22" s="158" customFormat="1" x14ac:dyDescent="0.3">
      <c r="A330" s="154" t="s">
        <v>775</v>
      </c>
      <c r="B330" s="155">
        <v>2</v>
      </c>
      <c r="C330" s="154">
        <v>250</v>
      </c>
      <c r="D330" s="156" t="str">
        <f t="shared" si="127"/>
        <v>Kumite</v>
      </c>
      <c r="E330" s="156" t="str">
        <f>"Kumite, -, 55-60 kg, Junior DOL (17-19"</f>
        <v>Kumite, -, 55-60 kg, Junior DOL (17-19</v>
      </c>
      <c r="F330" s="156" t="s">
        <v>506</v>
      </c>
      <c r="G330" s="157" t="str">
        <f>"4"</f>
        <v>4</v>
      </c>
      <c r="H330" s="156" t="str">
        <f>"4 fős körmérkőzés"</f>
        <v>4 fős körmérkőzés</v>
      </c>
      <c r="I330" s="157" t="str">
        <f>"3"</f>
        <v>3</v>
      </c>
      <c r="J330" s="156" t="str">
        <f>"Bognár Luca"</f>
        <v>Bognár Luca</v>
      </c>
      <c r="K330" s="156" t="str">
        <f>"Rakurai"</f>
        <v>Rakurai</v>
      </c>
      <c r="L330" s="156" t="str">
        <f t="shared" si="126"/>
        <v>HUN</v>
      </c>
      <c r="M330" s="163">
        <v>3</v>
      </c>
      <c r="O330" s="154" t="s">
        <v>246</v>
      </c>
      <c r="P330" s="159">
        <v>46081</v>
      </c>
      <c r="Q330" s="154" t="str">
        <f t="shared" si="102"/>
        <v>Bognár Luca - Rakurai</v>
      </c>
      <c r="R330" s="154" t="s">
        <v>636</v>
      </c>
      <c r="S330" s="154" t="str">
        <f t="shared" si="103"/>
        <v>Rakurai</v>
      </c>
      <c r="T330" s="154" t="s">
        <v>645</v>
      </c>
      <c r="U330" s="154" t="s">
        <v>799</v>
      </c>
      <c r="V330" s="154"/>
    </row>
    <row r="331" spans="1:22" s="158" customFormat="1" x14ac:dyDescent="0.3">
      <c r="A331" s="154" t="s">
        <v>775</v>
      </c>
      <c r="B331" s="155">
        <v>2</v>
      </c>
      <c r="C331" s="154">
        <v>251</v>
      </c>
      <c r="D331" s="156" t="str">
        <f t="shared" si="127"/>
        <v>Kumite</v>
      </c>
      <c r="E331" s="156" t="str">
        <f>"Kumite, -, 60-65 kg, Junior DOL (17-19"</f>
        <v>Kumite, -, 60-65 kg, Junior DOL (17-19</v>
      </c>
      <c r="F331" s="156" t="s">
        <v>507</v>
      </c>
      <c r="G331" s="157" t="str">
        <f>"3"</f>
        <v>3</v>
      </c>
      <c r="H331" s="156" t="str">
        <f>"3 fős körmérkőzés"</f>
        <v>3 fős körmérkőzés</v>
      </c>
      <c r="I331" s="157" t="str">
        <f>"1"</f>
        <v>1</v>
      </c>
      <c r="J331" s="156" t="str">
        <f>"Lukács Eszter"</f>
        <v>Lukács Eszter</v>
      </c>
      <c r="K331" s="156" t="str">
        <f>"VTSE"</f>
        <v>VTSE</v>
      </c>
      <c r="L331" s="156" t="str">
        <f t="shared" si="126"/>
        <v>HUN</v>
      </c>
      <c r="M331" s="163">
        <v>4</v>
      </c>
      <c r="O331" s="154" t="s">
        <v>246</v>
      </c>
      <c r="P331" s="159">
        <v>46081</v>
      </c>
      <c r="Q331" s="154" t="str">
        <f t="shared" si="102"/>
        <v>Lukács Eszter - VTSE</v>
      </c>
      <c r="R331" s="154" t="s">
        <v>637</v>
      </c>
      <c r="S331" s="154" t="str">
        <f t="shared" si="103"/>
        <v>VTSE</v>
      </c>
      <c r="T331" s="154" t="s">
        <v>645</v>
      </c>
      <c r="U331" s="154" t="s">
        <v>799</v>
      </c>
      <c r="V331" s="154"/>
    </row>
    <row r="332" spans="1:22" s="158" customFormat="1" x14ac:dyDescent="0.3">
      <c r="A332" s="154" t="s">
        <v>775</v>
      </c>
      <c r="B332" s="155">
        <v>2</v>
      </c>
      <c r="C332" s="154">
        <v>252</v>
      </c>
      <c r="D332" s="156" t="str">
        <f t="shared" si="127"/>
        <v>Kumite</v>
      </c>
      <c r="E332" s="156" t="str">
        <f>"Kumite, -, 60-65 kg, Junior DOL (17-19"</f>
        <v>Kumite, -, 60-65 kg, Junior DOL (17-19</v>
      </c>
      <c r="F332" s="156" t="s">
        <v>507</v>
      </c>
      <c r="G332" s="157" t="str">
        <f>"3"</f>
        <v>3</v>
      </c>
      <c r="H332" s="156" t="str">
        <f>"3 fős körmérkőzés"</f>
        <v>3 fős körmérkőzés</v>
      </c>
      <c r="I332" s="157" t="str">
        <f>"2"</f>
        <v>2</v>
      </c>
      <c r="J332" s="156" t="str">
        <f>"Spanjevic Emma"</f>
        <v>Spanjevic Emma</v>
      </c>
      <c r="K332" s="156" t="str">
        <f>"BHMSE"</f>
        <v>BHMSE</v>
      </c>
      <c r="L332" s="156" t="str">
        <f t="shared" si="126"/>
        <v>HUN</v>
      </c>
      <c r="M332" s="163">
        <v>3</v>
      </c>
      <c r="O332" s="154" t="s">
        <v>246</v>
      </c>
      <c r="P332" s="159">
        <v>46081</v>
      </c>
      <c r="Q332" s="154" t="str">
        <f t="shared" si="102"/>
        <v>Spanjevic Emma - BHMSE</v>
      </c>
      <c r="R332" s="154" t="s">
        <v>636</v>
      </c>
      <c r="S332" s="154" t="str">
        <f t="shared" si="103"/>
        <v>BHMSE</v>
      </c>
      <c r="T332" s="154" t="s">
        <v>645</v>
      </c>
      <c r="U332" s="154" t="s">
        <v>799</v>
      </c>
      <c r="V332" s="154"/>
    </row>
    <row r="333" spans="1:22" s="158" customFormat="1" x14ac:dyDescent="0.3">
      <c r="A333" s="154" t="s">
        <v>775</v>
      </c>
      <c r="B333" s="155">
        <v>2</v>
      </c>
      <c r="C333" s="154">
        <v>253</v>
      </c>
      <c r="D333" s="156" t="str">
        <f t="shared" si="127"/>
        <v>Kumite</v>
      </c>
      <c r="E333" s="156" t="str">
        <f>"Kumite, -, 60-65 kg, Junior DOL (17-19"</f>
        <v>Kumite, -, 60-65 kg, Junior DOL (17-19</v>
      </c>
      <c r="F333" s="156" t="s">
        <v>507</v>
      </c>
      <c r="G333" s="157" t="str">
        <f>"3"</f>
        <v>3</v>
      </c>
      <c r="H333" s="156" t="str">
        <f>"3 fős körmérkőzés"</f>
        <v>3 fős körmérkőzés</v>
      </c>
      <c r="I333" s="157" t="str">
        <f>"3"</f>
        <v>3</v>
      </c>
      <c r="J333" s="156" t="str">
        <f>"Fadgyas Eszter"</f>
        <v>Fadgyas Eszter</v>
      </c>
      <c r="K333" s="156" t="str">
        <f>"Goukai KSE"</f>
        <v>Goukai KSE</v>
      </c>
      <c r="L333" s="156" t="str">
        <f t="shared" si="126"/>
        <v>HUN</v>
      </c>
      <c r="M333" s="163">
        <v>0</v>
      </c>
      <c r="N333" s="158" t="s">
        <v>704</v>
      </c>
      <c r="O333" s="154" t="s">
        <v>246</v>
      </c>
      <c r="P333" s="159">
        <v>46081</v>
      </c>
      <c r="Q333" s="154" t="str">
        <f t="shared" si="102"/>
        <v>Fadgyas Eszter - Goukai KSE</v>
      </c>
      <c r="R333" s="154" t="s">
        <v>636</v>
      </c>
      <c r="S333" s="154" t="str">
        <f t="shared" si="103"/>
        <v>Goukai KSE</v>
      </c>
      <c r="T333" s="154" t="s">
        <v>645</v>
      </c>
      <c r="U333" s="154" t="s">
        <v>799</v>
      </c>
      <c r="V333" s="154"/>
    </row>
    <row r="334" spans="1:22" s="158" customFormat="1" x14ac:dyDescent="0.3">
      <c r="A334" s="154" t="s">
        <v>775</v>
      </c>
      <c r="B334" s="155">
        <v>2</v>
      </c>
      <c r="C334" s="154">
        <v>264</v>
      </c>
      <c r="D334" s="156" t="str">
        <f>"Kata"</f>
        <v>Kata</v>
      </c>
      <c r="E334" s="156" t="str">
        <f>"Kata, -, 0-170 kg, Junior DOL (17-19"</f>
        <v>Kata, -, 0-170 kg, Junior DOL (17-19</v>
      </c>
      <c r="F334" s="156" t="s">
        <v>503</v>
      </c>
      <c r="G334" s="157" t="str">
        <f>"10"</f>
        <v>10</v>
      </c>
      <c r="H334" s="156" t="str">
        <f>"16 fős egyenes kiesés + 3. hely"</f>
        <v>16 fős egyenes kiesés + 3. hely</v>
      </c>
      <c r="I334" s="157" t="str">
        <f>"1"</f>
        <v>1</v>
      </c>
      <c r="J334" s="156" t="str">
        <f>"Imre Zoé Julianna"</f>
        <v>Imre Zoé Julianna</v>
      </c>
      <c r="K334" s="156" t="str">
        <f>"KSE Tarján"</f>
        <v>KSE Tarján</v>
      </c>
      <c r="L334" s="156" t="str">
        <f t="shared" si="126"/>
        <v>HUN</v>
      </c>
      <c r="M334" s="163">
        <v>6</v>
      </c>
      <c r="N334" s="158" t="s">
        <v>795</v>
      </c>
      <c r="O334" s="154" t="s">
        <v>246</v>
      </c>
      <c r="P334" s="159">
        <v>46081</v>
      </c>
      <c r="Q334" s="154" t="str">
        <f>J334&amp;" - "&amp;K334</f>
        <v>Imre Zoé Julianna - KSE Tarján</v>
      </c>
      <c r="R334" s="154" t="s">
        <v>636</v>
      </c>
      <c r="S334" s="154" t="str">
        <f>K334</f>
        <v>KSE Tarján</v>
      </c>
      <c r="T334" s="154" t="s">
        <v>645</v>
      </c>
      <c r="U334" s="154" t="s">
        <v>799</v>
      </c>
      <c r="V334" s="154"/>
    </row>
    <row r="335" spans="1:22" s="158" customFormat="1" x14ac:dyDescent="0.3">
      <c r="A335" s="154" t="s">
        <v>775</v>
      </c>
      <c r="B335" s="155">
        <v>2</v>
      </c>
      <c r="C335" s="154">
        <v>254</v>
      </c>
      <c r="D335" s="156" t="str">
        <f t="shared" ref="D335:D343" si="128">"Kata"</f>
        <v>Kata</v>
      </c>
      <c r="E335" s="156" t="str">
        <f t="shared" ref="E335:E343" si="129">"Kata, -, 0-170 kg, Junior DOL (17-19"</f>
        <v>Kata, -, 0-170 kg, Junior DOL (17-19</v>
      </c>
      <c r="F335" s="156" t="s">
        <v>503</v>
      </c>
      <c r="G335" s="157" t="str">
        <f t="shared" ref="G335:G343" si="130">"10"</f>
        <v>10</v>
      </c>
      <c r="H335" s="156" t="str">
        <f t="shared" ref="H335:H343" si="131">"16 fős egyenes kiesés + 3. hely"</f>
        <v>16 fős egyenes kiesés + 3. hely</v>
      </c>
      <c r="I335" s="157" t="str">
        <f>"2"</f>
        <v>2</v>
      </c>
      <c r="J335" s="156" t="str">
        <f>"Bognár Luca"</f>
        <v>Bognár Luca</v>
      </c>
      <c r="K335" s="156" t="str">
        <f>"Rakurai"</f>
        <v>Rakurai</v>
      </c>
      <c r="L335" s="156" t="str">
        <f t="shared" si="126"/>
        <v>HUN</v>
      </c>
      <c r="M335" s="163">
        <v>5</v>
      </c>
      <c r="N335" s="158" t="s">
        <v>795</v>
      </c>
      <c r="O335" s="154" t="s">
        <v>246</v>
      </c>
      <c r="P335" s="159">
        <v>46081</v>
      </c>
      <c r="Q335" s="154" t="str">
        <f t="shared" si="102"/>
        <v>Bognár Luca - Rakurai</v>
      </c>
      <c r="R335" s="154" t="s">
        <v>636</v>
      </c>
      <c r="S335" s="154" t="str">
        <f t="shared" si="103"/>
        <v>Rakurai</v>
      </c>
      <c r="T335" s="154" t="s">
        <v>645</v>
      </c>
      <c r="U335" s="154" t="s">
        <v>799</v>
      </c>
      <c r="V335" s="154"/>
    </row>
    <row r="336" spans="1:22" s="158" customFormat="1" x14ac:dyDescent="0.3">
      <c r="A336" s="154" t="s">
        <v>775</v>
      </c>
      <c r="B336" s="155">
        <v>2</v>
      </c>
      <c r="C336" s="154">
        <v>265</v>
      </c>
      <c r="D336" s="156" t="str">
        <f>"Kata"</f>
        <v>Kata</v>
      </c>
      <c r="E336" s="156" t="str">
        <f>"Kata, -, 0-170 kg, Junior DOL (17-19"</f>
        <v>Kata, -, 0-170 kg, Junior DOL (17-19</v>
      </c>
      <c r="F336" s="156" t="s">
        <v>503</v>
      </c>
      <c r="G336" s="157" t="str">
        <f>"10"</f>
        <v>10</v>
      </c>
      <c r="H336" s="156" t="str">
        <f>"16 fős egyenes kiesés + 3. hely"</f>
        <v>16 fős egyenes kiesés + 3. hely</v>
      </c>
      <c r="I336" s="157" t="str">
        <f>"3"</f>
        <v>3</v>
      </c>
      <c r="J336" s="156" t="str">
        <f>"Kis Mónika"</f>
        <v>Kis Mónika</v>
      </c>
      <c r="K336" s="156" t="str">
        <f>"Főnix Dojo"</f>
        <v>Főnix Dojo</v>
      </c>
      <c r="L336" s="156" t="str">
        <f t="shared" si="126"/>
        <v>HUN</v>
      </c>
      <c r="M336" s="163">
        <v>3</v>
      </c>
      <c r="N336" s="158" t="s">
        <v>795</v>
      </c>
      <c r="O336" s="154" t="s">
        <v>246</v>
      </c>
      <c r="P336" s="159">
        <v>46081</v>
      </c>
      <c r="Q336" s="154" t="str">
        <f>J336&amp;" - "&amp;K336</f>
        <v>Kis Mónika - Főnix Dojo</v>
      </c>
      <c r="R336" s="154" t="s">
        <v>636</v>
      </c>
      <c r="S336" s="154" t="str">
        <f>K336</f>
        <v>Főnix Dojo</v>
      </c>
      <c r="T336" s="154" t="s">
        <v>645</v>
      </c>
      <c r="U336" s="154" t="s">
        <v>799</v>
      </c>
      <c r="V336" s="154"/>
    </row>
    <row r="337" spans="1:22" s="158" customFormat="1" x14ac:dyDescent="0.3">
      <c r="A337" s="154" t="s">
        <v>775</v>
      </c>
      <c r="B337" s="155">
        <v>2</v>
      </c>
      <c r="C337" s="154">
        <v>255</v>
      </c>
      <c r="D337" s="156" t="str">
        <f t="shared" si="128"/>
        <v>Kata</v>
      </c>
      <c r="E337" s="156" t="str">
        <f t="shared" si="129"/>
        <v>Kata, -, 0-170 kg, Junior DOL (17-19</v>
      </c>
      <c r="F337" s="156" t="s">
        <v>503</v>
      </c>
      <c r="G337" s="157" t="str">
        <f t="shared" si="130"/>
        <v>10</v>
      </c>
      <c r="H337" s="156" t="str">
        <f t="shared" si="131"/>
        <v>16 fős egyenes kiesés + 3. hely</v>
      </c>
      <c r="I337" s="157" t="str">
        <f>"4"</f>
        <v>4</v>
      </c>
      <c r="J337" s="156" t="str">
        <f>"Németh Panka"</f>
        <v>Németh Panka</v>
      </c>
      <c r="K337" s="156" t="str">
        <f>"Cs.S.E."</f>
        <v>Cs.S.E.</v>
      </c>
      <c r="L337" s="156" t="str">
        <f t="shared" si="126"/>
        <v>HUN</v>
      </c>
      <c r="M337" s="163">
        <v>2</v>
      </c>
      <c r="N337" s="158" t="s">
        <v>795</v>
      </c>
      <c r="O337" s="154" t="s">
        <v>246</v>
      </c>
      <c r="P337" s="159">
        <v>46081</v>
      </c>
      <c r="Q337" s="154" t="str">
        <f t="shared" si="102"/>
        <v>Németh Panka - Cs.S.E.</v>
      </c>
      <c r="R337" s="154" t="s">
        <v>636</v>
      </c>
      <c r="S337" s="154" t="str">
        <f t="shared" si="103"/>
        <v>Cs.S.E.</v>
      </c>
      <c r="T337" s="154" t="s">
        <v>645</v>
      </c>
      <c r="U337" s="154" t="s">
        <v>799</v>
      </c>
      <c r="V337" s="154"/>
    </row>
    <row r="338" spans="1:22" s="158" customFormat="1" x14ac:dyDescent="0.3">
      <c r="A338" s="154" t="s">
        <v>775</v>
      </c>
      <c r="B338" s="155">
        <v>2</v>
      </c>
      <c r="C338" s="154">
        <v>256</v>
      </c>
      <c r="D338" s="156" t="str">
        <f t="shared" si="128"/>
        <v>Kata</v>
      </c>
      <c r="E338" s="156" t="str">
        <f t="shared" si="129"/>
        <v>Kata, -, 0-170 kg, Junior DOL (17-19</v>
      </c>
      <c r="F338" s="156" t="s">
        <v>503</v>
      </c>
      <c r="G338" s="157" t="str">
        <f t="shared" si="130"/>
        <v>10</v>
      </c>
      <c r="H338" s="156" t="str">
        <f t="shared" si="131"/>
        <v>16 fős egyenes kiesés + 3. hely</v>
      </c>
      <c r="I338" s="157" t="str">
        <f>"5"</f>
        <v>5</v>
      </c>
      <c r="J338" s="156" t="str">
        <f>"Viza Dorottya Anna"</f>
        <v>Viza Dorottya Anna</v>
      </c>
      <c r="K338" s="156" t="str">
        <f>"ARSC"</f>
        <v>ARSC</v>
      </c>
      <c r="L338" s="156" t="str">
        <f t="shared" si="126"/>
        <v>HUN</v>
      </c>
      <c r="M338" s="163">
        <v>1</v>
      </c>
      <c r="N338" s="158" t="s">
        <v>795</v>
      </c>
      <c r="O338" s="154" t="s">
        <v>246</v>
      </c>
      <c r="P338" s="159">
        <v>46081</v>
      </c>
      <c r="Q338" s="154" t="str">
        <f t="shared" si="102"/>
        <v>Viza Dorottya Anna - ARSC</v>
      </c>
      <c r="R338" s="154" t="s">
        <v>636</v>
      </c>
      <c r="S338" s="154" t="str">
        <f t="shared" si="103"/>
        <v>ARSC</v>
      </c>
      <c r="T338" s="154" t="s">
        <v>645</v>
      </c>
      <c r="U338" s="154" t="s">
        <v>799</v>
      </c>
      <c r="V338" s="154"/>
    </row>
    <row r="339" spans="1:22" s="158" customFormat="1" x14ac:dyDescent="0.3">
      <c r="A339" s="154" t="s">
        <v>775</v>
      </c>
      <c r="B339" s="155">
        <v>2</v>
      </c>
      <c r="C339" s="154">
        <v>266</v>
      </c>
      <c r="D339" s="156" t="str">
        <f>"Kata"</f>
        <v>Kata</v>
      </c>
      <c r="E339" s="156" t="str">
        <f>"Kata, -, 0-170 kg, Junior DOL (17-19"</f>
        <v>Kata, -, 0-170 kg, Junior DOL (17-19</v>
      </c>
      <c r="F339" s="156" t="s">
        <v>503</v>
      </c>
      <c r="G339" s="157" t="str">
        <f>"10"</f>
        <v>10</v>
      </c>
      <c r="H339" s="156" t="str">
        <f>"16 fős egyenes kiesés + 3. hely"</f>
        <v>16 fős egyenes kiesés + 3. hely</v>
      </c>
      <c r="I339" s="157" t="str">
        <f>"6"</f>
        <v>6</v>
      </c>
      <c r="J339" s="156" t="str">
        <f>"Farkas Regina"</f>
        <v>Farkas Regina</v>
      </c>
      <c r="K339" s="156" t="str">
        <f>"Shinkyo SE"</f>
        <v>Shinkyo SE</v>
      </c>
      <c r="L339" s="156" t="str">
        <f t="shared" si="126"/>
        <v>HUN</v>
      </c>
      <c r="M339" s="163">
        <v>1</v>
      </c>
      <c r="N339" s="158" t="s">
        <v>795</v>
      </c>
      <c r="O339" s="154" t="s">
        <v>246</v>
      </c>
      <c r="P339" s="159">
        <v>46081</v>
      </c>
      <c r="Q339" s="154" t="str">
        <f>J339&amp;" - "&amp;K339</f>
        <v>Farkas Regina - Shinkyo SE</v>
      </c>
      <c r="R339" s="154" t="s">
        <v>636</v>
      </c>
      <c r="S339" s="154" t="str">
        <f>K339</f>
        <v>Shinkyo SE</v>
      </c>
      <c r="T339" s="154" t="s">
        <v>645</v>
      </c>
      <c r="U339" s="154" t="s">
        <v>799</v>
      </c>
      <c r="V339" s="154"/>
    </row>
    <row r="340" spans="1:22" s="158" customFormat="1" x14ac:dyDescent="0.3">
      <c r="A340" s="154" t="s">
        <v>775</v>
      </c>
      <c r="B340" s="155">
        <v>2</v>
      </c>
      <c r="C340" s="154">
        <v>257</v>
      </c>
      <c r="D340" s="156" t="str">
        <f t="shared" si="128"/>
        <v>Kata</v>
      </c>
      <c r="E340" s="156" t="str">
        <f t="shared" si="129"/>
        <v>Kata, -, 0-170 kg, Junior DOL (17-19</v>
      </c>
      <c r="F340" s="156" t="s">
        <v>503</v>
      </c>
      <c r="G340" s="157" t="str">
        <f t="shared" si="130"/>
        <v>10</v>
      </c>
      <c r="H340" s="156" t="str">
        <f t="shared" si="131"/>
        <v>16 fős egyenes kiesés + 3. hely</v>
      </c>
      <c r="I340" s="157" t="str">
        <f>"7-8"</f>
        <v>7-8</v>
      </c>
      <c r="J340" s="156" t="str">
        <f>"Kisdeák Emma"</f>
        <v>Kisdeák Emma</v>
      </c>
      <c r="K340" s="156" t="str">
        <f>"Siófok KSE"</f>
        <v>Siófok KSE</v>
      </c>
      <c r="L340" s="156" t="str">
        <f t="shared" si="126"/>
        <v>HUN</v>
      </c>
      <c r="M340" s="163">
        <v>0</v>
      </c>
      <c r="N340" s="158" t="s">
        <v>795</v>
      </c>
      <c r="O340" s="154" t="s">
        <v>246</v>
      </c>
      <c r="P340" s="159">
        <v>46081</v>
      </c>
      <c r="Q340" s="154" t="str">
        <f t="shared" si="102"/>
        <v>Kisdeák Emma - Siófok KSE</v>
      </c>
      <c r="R340" s="154" t="s">
        <v>636</v>
      </c>
      <c r="S340" s="154" t="str">
        <f t="shared" si="103"/>
        <v>Siófok KSE</v>
      </c>
      <c r="T340" s="154" t="s">
        <v>645</v>
      </c>
      <c r="U340" s="154" t="s">
        <v>799</v>
      </c>
      <c r="V340" s="154"/>
    </row>
    <row r="341" spans="1:22" s="158" customFormat="1" x14ac:dyDescent="0.3">
      <c r="A341" s="154" t="s">
        <v>775</v>
      </c>
      <c r="B341" s="155">
        <v>2</v>
      </c>
      <c r="C341" s="154">
        <v>267</v>
      </c>
      <c r="D341" s="156" t="str">
        <f>"Kata"</f>
        <v>Kata</v>
      </c>
      <c r="E341" s="156" t="str">
        <f>"Kata, -, 0-170 kg, Junior DOL (17-19"</f>
        <v>Kata, -, 0-170 kg, Junior DOL (17-19</v>
      </c>
      <c r="F341" s="156" t="s">
        <v>503</v>
      </c>
      <c r="G341" s="157" t="str">
        <f>"10"</f>
        <v>10</v>
      </c>
      <c r="H341" s="156" t="str">
        <f>"16 fős egyenes kiesés + 3. hely"</f>
        <v>16 fős egyenes kiesés + 3. hely</v>
      </c>
      <c r="I341" s="157" t="str">
        <f>"7-8"</f>
        <v>7-8</v>
      </c>
      <c r="J341" s="156" t="str">
        <f>"Nádi Viktória"</f>
        <v>Nádi Viktória</v>
      </c>
      <c r="K341" s="156" t="str">
        <f>"ARSC"</f>
        <v>ARSC</v>
      </c>
      <c r="L341" s="156" t="str">
        <f t="shared" si="126"/>
        <v>HUN</v>
      </c>
      <c r="M341" s="163">
        <v>0</v>
      </c>
      <c r="N341" s="158" t="s">
        <v>795</v>
      </c>
      <c r="O341" s="154" t="s">
        <v>246</v>
      </c>
      <c r="P341" s="159">
        <v>46081</v>
      </c>
      <c r="Q341" s="154" t="str">
        <f>J341&amp;" - "&amp;K341</f>
        <v>Nádi Viktória - ARSC</v>
      </c>
      <c r="R341" s="154" t="s">
        <v>636</v>
      </c>
      <c r="S341" s="154" t="str">
        <f>K341</f>
        <v>ARSC</v>
      </c>
      <c r="T341" s="154" t="s">
        <v>645</v>
      </c>
      <c r="U341" s="154" t="s">
        <v>799</v>
      </c>
      <c r="V341" s="154"/>
    </row>
    <row r="342" spans="1:22" s="158" customFormat="1" x14ac:dyDescent="0.3">
      <c r="A342" s="154" t="s">
        <v>775</v>
      </c>
      <c r="B342" s="155">
        <v>2</v>
      </c>
      <c r="C342" s="154">
        <v>258</v>
      </c>
      <c r="D342" s="156" t="str">
        <f t="shared" si="128"/>
        <v>Kata</v>
      </c>
      <c r="E342" s="156" t="str">
        <f t="shared" si="129"/>
        <v>Kata, -, 0-170 kg, Junior DOL (17-19</v>
      </c>
      <c r="F342" s="156" t="s">
        <v>503</v>
      </c>
      <c r="G342" s="157" t="str">
        <f t="shared" si="130"/>
        <v>10</v>
      </c>
      <c r="H342" s="156" t="str">
        <f t="shared" si="131"/>
        <v>16 fős egyenes kiesés + 3. hely</v>
      </c>
      <c r="I342" s="157" t="str">
        <f>"11-16"</f>
        <v>11-16</v>
      </c>
      <c r="J342" s="156" t="str">
        <f>"Soós Panka"</f>
        <v>Soós Panka</v>
      </c>
      <c r="K342" s="156" t="str">
        <f>"Tora HSE"</f>
        <v>Tora HSE</v>
      </c>
      <c r="L342" s="156" t="str">
        <f t="shared" si="126"/>
        <v>HUN</v>
      </c>
      <c r="M342" s="163">
        <v>0</v>
      </c>
      <c r="N342" s="158" t="s">
        <v>795</v>
      </c>
      <c r="O342" s="154" t="s">
        <v>246</v>
      </c>
      <c r="P342" s="159">
        <v>46081</v>
      </c>
      <c r="Q342" s="154" t="str">
        <f t="shared" ref="Q342:Q343" si="132">J342&amp;" - "&amp;K342</f>
        <v>Soós Panka - Tora HSE</v>
      </c>
      <c r="R342" s="154" t="s">
        <v>637</v>
      </c>
      <c r="S342" s="154" t="str">
        <f t="shared" ref="S342:S343" si="133">K342</f>
        <v>Tora HSE</v>
      </c>
      <c r="T342" s="154" t="s">
        <v>645</v>
      </c>
      <c r="U342" s="154" t="s">
        <v>799</v>
      </c>
      <c r="V342" s="154"/>
    </row>
    <row r="343" spans="1:22" s="158" customFormat="1" x14ac:dyDescent="0.3">
      <c r="A343" s="154" t="s">
        <v>775</v>
      </c>
      <c r="B343" s="155">
        <v>2</v>
      </c>
      <c r="C343" s="154">
        <v>259</v>
      </c>
      <c r="D343" s="156" t="str">
        <f t="shared" si="128"/>
        <v>Kata</v>
      </c>
      <c r="E343" s="156" t="str">
        <f t="shared" si="129"/>
        <v>Kata, -, 0-170 kg, Junior DOL (17-19</v>
      </c>
      <c r="F343" s="156" t="s">
        <v>503</v>
      </c>
      <c r="G343" s="157" t="str">
        <f t="shared" si="130"/>
        <v>10</v>
      </c>
      <c r="H343" s="156" t="str">
        <f t="shared" si="131"/>
        <v>16 fős egyenes kiesés + 3. hely</v>
      </c>
      <c r="I343" s="157" t="str">
        <f>"11-16"</f>
        <v>11-16</v>
      </c>
      <c r="J343" s="156" t="str">
        <f>"Molnár Emese"</f>
        <v>Molnár Emese</v>
      </c>
      <c r="K343" s="156" t="str">
        <f>"Kihaku SE"</f>
        <v>Kihaku SE</v>
      </c>
      <c r="L343" s="156" t="str">
        <f t="shared" si="126"/>
        <v>HUN</v>
      </c>
      <c r="M343" s="163">
        <v>0</v>
      </c>
      <c r="N343" s="158" t="s">
        <v>795</v>
      </c>
      <c r="O343" s="154" t="s">
        <v>246</v>
      </c>
      <c r="P343" s="159">
        <v>46081</v>
      </c>
      <c r="Q343" s="154" t="str">
        <f t="shared" si="132"/>
        <v>Molnár Emese - Kihaku SE</v>
      </c>
      <c r="R343" s="154" t="s">
        <v>636</v>
      </c>
      <c r="S343" s="154" t="str">
        <f t="shared" si="133"/>
        <v>Kihaku SE</v>
      </c>
      <c r="T343" s="154" t="s">
        <v>645</v>
      </c>
      <c r="U343" s="154" t="s">
        <v>799</v>
      </c>
      <c r="V343" s="154"/>
    </row>
    <row r="344" spans="1:22" s="158" customFormat="1" x14ac:dyDescent="0.3">
      <c r="A344" s="154" t="s">
        <v>776</v>
      </c>
      <c r="B344" s="155">
        <v>2</v>
      </c>
      <c r="C344" s="154">
        <v>269</v>
      </c>
      <c r="D344" s="156" t="str">
        <f t="shared" ref="D344:D357" si="134">"Kumite"</f>
        <v>Kumite</v>
      </c>
      <c r="E344" s="156" t="str">
        <f>"Kumite, -, 0-30 kg, Gyerek 1. (9-10"</f>
        <v>Kumite, -, 0-30 kg, Gyerek 1. (9-10</v>
      </c>
      <c r="F344" s="156" t="s">
        <v>509</v>
      </c>
      <c r="G344" s="157" t="str">
        <f>"6"</f>
        <v>6</v>
      </c>
      <c r="H344" s="156" t="str">
        <f>"6 fős vegyes"</f>
        <v>6 fős vegyes</v>
      </c>
      <c r="I344" s="157" t="str">
        <f>"1"</f>
        <v>1</v>
      </c>
      <c r="J344" s="156" t="str">
        <f>"Szlivka Botond Csaba"</f>
        <v>Szlivka Botond Csaba</v>
      </c>
      <c r="K344" s="156" t="str">
        <f>"Shogun"</f>
        <v>Shogun</v>
      </c>
      <c r="L344" s="156" t="str">
        <f t="shared" ref="L344:L442" si="135">"HUN"</f>
        <v>HUN</v>
      </c>
      <c r="M344" s="163">
        <v>6</v>
      </c>
      <c r="O344" s="154" t="s">
        <v>248</v>
      </c>
      <c r="P344" s="159">
        <v>46088</v>
      </c>
      <c r="Q344" s="154" t="str">
        <f t="shared" ref="Q344:Q409" si="136">J344&amp;" - "&amp;K344</f>
        <v>Szlivka Botond Csaba - Shogun</v>
      </c>
      <c r="R344" s="154" t="s">
        <v>636</v>
      </c>
      <c r="S344" s="154" t="str">
        <f t="shared" ref="S344:S409" si="137">K344</f>
        <v>Shogun</v>
      </c>
      <c r="T344" s="154" t="s">
        <v>645</v>
      </c>
      <c r="U344" s="154" t="s">
        <v>796</v>
      </c>
      <c r="V344" s="154"/>
    </row>
    <row r="345" spans="1:22" s="158" customFormat="1" x14ac:dyDescent="0.3">
      <c r="A345" s="154" t="s">
        <v>776</v>
      </c>
      <c r="B345" s="155">
        <v>2</v>
      </c>
      <c r="C345" s="154">
        <v>270</v>
      </c>
      <c r="D345" s="156" t="str">
        <f t="shared" si="134"/>
        <v>Kumite</v>
      </c>
      <c r="E345" s="156" t="str">
        <f>"Kumite, -, 0-30 kg, Gyerek 1. (9-10"</f>
        <v>Kumite, -, 0-30 kg, Gyerek 1. (9-10</v>
      </c>
      <c r="F345" s="156" t="s">
        <v>509</v>
      </c>
      <c r="G345" s="157" t="str">
        <f>"6"</f>
        <v>6</v>
      </c>
      <c r="H345" s="156" t="str">
        <f>"6 fős vegyes"</f>
        <v>6 fős vegyes</v>
      </c>
      <c r="I345" s="157" t="str">
        <f>"2"</f>
        <v>2</v>
      </c>
      <c r="J345" s="156" t="str">
        <f>"Aldubai Mohamed Hamzah"</f>
        <v>Aldubai Mohamed Hamzah</v>
      </c>
      <c r="K345" s="156" t="str">
        <f>"Victory"</f>
        <v>Victory</v>
      </c>
      <c r="L345" s="156" t="str">
        <f t="shared" si="135"/>
        <v>HUN</v>
      </c>
      <c r="M345" s="163">
        <v>5</v>
      </c>
      <c r="O345" s="154" t="s">
        <v>248</v>
      </c>
      <c r="P345" s="159">
        <v>46088</v>
      </c>
      <c r="Q345" s="154" t="str">
        <f t="shared" si="136"/>
        <v>Aldubai Mohamed Hamzah - Victory</v>
      </c>
      <c r="R345" s="154" t="s">
        <v>636</v>
      </c>
      <c r="S345" s="154" t="str">
        <f t="shared" si="137"/>
        <v>Victory</v>
      </c>
      <c r="T345" s="154" t="s">
        <v>645</v>
      </c>
      <c r="U345" s="154" t="s">
        <v>796</v>
      </c>
      <c r="V345" s="154"/>
    </row>
    <row r="346" spans="1:22" s="158" customFormat="1" x14ac:dyDescent="0.3">
      <c r="A346" s="154" t="s">
        <v>776</v>
      </c>
      <c r="B346" s="155">
        <v>2</v>
      </c>
      <c r="C346" s="154">
        <v>271</v>
      </c>
      <c r="D346" s="156" t="str">
        <f t="shared" si="134"/>
        <v>Kumite</v>
      </c>
      <c r="E346" s="156" t="str">
        <f>"Kumite, -, 0-30 kg, Gyerek 1. (9-10"</f>
        <v>Kumite, -, 0-30 kg, Gyerek 1. (9-10</v>
      </c>
      <c r="F346" s="156" t="s">
        <v>509</v>
      </c>
      <c r="G346" s="157" t="str">
        <f>"6"</f>
        <v>6</v>
      </c>
      <c r="H346" s="156" t="str">
        <f>"6 fős vegyes"</f>
        <v>6 fős vegyes</v>
      </c>
      <c r="I346" s="157" t="str">
        <f>"3"</f>
        <v>3</v>
      </c>
      <c r="J346" s="156" t="str">
        <f>"Huszti Dániel"</f>
        <v>Huszti Dániel</v>
      </c>
      <c r="K346" s="156" t="str">
        <f>"Shogun"</f>
        <v>Shogun</v>
      </c>
      <c r="L346" s="156" t="str">
        <f t="shared" si="135"/>
        <v>HUN</v>
      </c>
      <c r="M346" s="163">
        <v>3</v>
      </c>
      <c r="O346" s="154" t="s">
        <v>248</v>
      </c>
      <c r="P346" s="159">
        <v>46088</v>
      </c>
      <c r="Q346" s="154" t="str">
        <f t="shared" si="136"/>
        <v>Huszti Dániel - Shogun</v>
      </c>
      <c r="R346" s="154" t="s">
        <v>636</v>
      </c>
      <c r="S346" s="154" t="str">
        <f t="shared" si="137"/>
        <v>Shogun</v>
      </c>
      <c r="T346" s="154" t="s">
        <v>645</v>
      </c>
      <c r="U346" s="154" t="s">
        <v>796</v>
      </c>
      <c r="V346" s="154"/>
    </row>
    <row r="347" spans="1:22" s="158" customFormat="1" x14ac:dyDescent="0.3">
      <c r="A347" s="154" t="s">
        <v>776</v>
      </c>
      <c r="B347" s="155">
        <v>2</v>
      </c>
      <c r="C347" s="154">
        <v>272</v>
      </c>
      <c r="D347" s="156" t="str">
        <f t="shared" si="134"/>
        <v>Kumite</v>
      </c>
      <c r="E347" s="156" t="str">
        <f t="shared" ref="E347:E353" si="138">"Kumite, -, 30-35 kg, Gyerek 1. (9-10"</f>
        <v>Kumite, -, 30-35 kg, Gyerek 1. (9-10</v>
      </c>
      <c r="F347" s="156" t="s">
        <v>511</v>
      </c>
      <c r="G347" s="157" t="str">
        <f t="shared" ref="G347:G353" si="139">"7"</f>
        <v>7</v>
      </c>
      <c r="H347" s="156" t="str">
        <f t="shared" ref="H347:H353" si="140">"8 fős egyenes kiesés"</f>
        <v>8 fős egyenes kiesés</v>
      </c>
      <c r="I347" s="157" t="str">
        <f>"1"</f>
        <v>1</v>
      </c>
      <c r="J347" s="156" t="str">
        <f>"Marjai Sándor"</f>
        <v>Marjai Sándor</v>
      </c>
      <c r="K347" s="156" t="str">
        <f>"Kelemen-Team"</f>
        <v>Kelemen-Team</v>
      </c>
      <c r="L347" s="156" t="str">
        <f t="shared" si="135"/>
        <v>HUN</v>
      </c>
      <c r="M347" s="163">
        <v>6</v>
      </c>
      <c r="O347" s="154" t="s">
        <v>248</v>
      </c>
      <c r="P347" s="159">
        <v>46088</v>
      </c>
      <c r="Q347" s="154" t="str">
        <f t="shared" si="136"/>
        <v>Marjai Sándor - Kelemen-Team</v>
      </c>
      <c r="R347" s="154" t="s">
        <v>636</v>
      </c>
      <c r="S347" s="154" t="str">
        <f t="shared" si="137"/>
        <v>Kelemen-Team</v>
      </c>
      <c r="T347" s="154" t="s">
        <v>645</v>
      </c>
      <c r="U347" s="154" t="s">
        <v>796</v>
      </c>
      <c r="V347" s="154"/>
    </row>
    <row r="348" spans="1:22" s="158" customFormat="1" x14ac:dyDescent="0.3">
      <c r="A348" s="154" t="s">
        <v>776</v>
      </c>
      <c r="B348" s="155">
        <v>2</v>
      </c>
      <c r="C348" s="154">
        <v>273</v>
      </c>
      <c r="D348" s="156" t="str">
        <f t="shared" si="134"/>
        <v>Kumite</v>
      </c>
      <c r="E348" s="156" t="str">
        <f t="shared" si="138"/>
        <v>Kumite, -, 30-35 kg, Gyerek 1. (9-10</v>
      </c>
      <c r="F348" s="156" t="s">
        <v>511</v>
      </c>
      <c r="G348" s="157" t="str">
        <f t="shared" si="139"/>
        <v>7</v>
      </c>
      <c r="H348" s="156" t="str">
        <f t="shared" si="140"/>
        <v>8 fős egyenes kiesés</v>
      </c>
      <c r="I348" s="157" t="str">
        <f>"2"</f>
        <v>2</v>
      </c>
      <c r="J348" s="156" t="str">
        <f>"Mohácsi DOminik"</f>
        <v>Mohácsi DOminik</v>
      </c>
      <c r="K348" s="156" t="str">
        <f>"Victory"</f>
        <v>Victory</v>
      </c>
      <c r="L348" s="156" t="str">
        <f t="shared" si="135"/>
        <v>HUN</v>
      </c>
      <c r="M348" s="163">
        <v>5</v>
      </c>
      <c r="O348" s="154" t="s">
        <v>248</v>
      </c>
      <c r="P348" s="159">
        <v>46088</v>
      </c>
      <c r="Q348" s="154" t="str">
        <f t="shared" si="136"/>
        <v>Mohácsi DOminik - Victory</v>
      </c>
      <c r="R348" s="154" t="s">
        <v>636</v>
      </c>
      <c r="S348" s="154" t="str">
        <f t="shared" si="137"/>
        <v>Victory</v>
      </c>
      <c r="T348" s="154" t="s">
        <v>645</v>
      </c>
      <c r="U348" s="154" t="s">
        <v>796</v>
      </c>
      <c r="V348" s="154"/>
    </row>
    <row r="349" spans="1:22" s="158" customFormat="1" x14ac:dyDescent="0.3">
      <c r="A349" s="154" t="s">
        <v>776</v>
      </c>
      <c r="B349" s="155">
        <v>2</v>
      </c>
      <c r="C349" s="154">
        <v>274</v>
      </c>
      <c r="D349" s="156" t="str">
        <f t="shared" si="134"/>
        <v>Kumite</v>
      </c>
      <c r="E349" s="156" t="str">
        <f t="shared" si="138"/>
        <v>Kumite, -, 30-35 kg, Gyerek 1. (9-10</v>
      </c>
      <c r="F349" s="156" t="s">
        <v>511</v>
      </c>
      <c r="G349" s="157" t="str">
        <f t="shared" si="139"/>
        <v>7</v>
      </c>
      <c r="H349" s="156" t="str">
        <f t="shared" si="140"/>
        <v>8 fős egyenes kiesés</v>
      </c>
      <c r="I349" s="157" t="str">
        <f>"3"</f>
        <v>3</v>
      </c>
      <c r="J349" s="156" t="str">
        <f>"Rózsa Benett"</f>
        <v>Rózsa Benett</v>
      </c>
      <c r="K349" s="156" t="str">
        <f>"Kemecse SE"</f>
        <v>Kemecse SE</v>
      </c>
      <c r="L349" s="156" t="str">
        <f t="shared" si="135"/>
        <v>HUN</v>
      </c>
      <c r="M349" s="163">
        <v>3</v>
      </c>
      <c r="O349" s="154" t="s">
        <v>248</v>
      </c>
      <c r="P349" s="159">
        <v>46088</v>
      </c>
      <c r="Q349" s="154" t="str">
        <f t="shared" si="136"/>
        <v>Rózsa Benett - Kemecse SE</v>
      </c>
      <c r="R349" s="154" t="s">
        <v>636</v>
      </c>
      <c r="S349" s="154" t="str">
        <f t="shared" si="137"/>
        <v>Kemecse SE</v>
      </c>
      <c r="T349" s="154" t="s">
        <v>645</v>
      </c>
      <c r="U349" s="154" t="s">
        <v>796</v>
      </c>
      <c r="V349" s="154"/>
    </row>
    <row r="350" spans="1:22" s="158" customFormat="1" x14ac:dyDescent="0.3">
      <c r="A350" s="154" t="s">
        <v>776</v>
      </c>
      <c r="B350" s="155">
        <v>2</v>
      </c>
      <c r="C350" s="154">
        <v>275</v>
      </c>
      <c r="D350" s="156" t="str">
        <f t="shared" si="134"/>
        <v>Kumite</v>
      </c>
      <c r="E350" s="156" t="str">
        <f t="shared" si="138"/>
        <v>Kumite, -, 30-35 kg, Gyerek 1. (9-10</v>
      </c>
      <c r="F350" s="156" t="s">
        <v>511</v>
      </c>
      <c r="G350" s="157" t="str">
        <f t="shared" si="139"/>
        <v>7</v>
      </c>
      <c r="H350" s="156" t="str">
        <f t="shared" si="140"/>
        <v>8 fős egyenes kiesés</v>
      </c>
      <c r="I350" s="157" t="str">
        <f>"3"</f>
        <v>3</v>
      </c>
      <c r="J350" s="156" t="str">
        <f>"Blokhin Alexei"</f>
        <v>Blokhin Alexei</v>
      </c>
      <c r="K350" s="156" t="str">
        <f>"Victory"</f>
        <v>Victory</v>
      </c>
      <c r="L350" s="156" t="str">
        <f t="shared" si="135"/>
        <v>HUN</v>
      </c>
      <c r="M350" s="163">
        <v>3</v>
      </c>
      <c r="O350" s="154" t="s">
        <v>248</v>
      </c>
      <c r="P350" s="159">
        <v>46088</v>
      </c>
      <c r="Q350" s="154" t="str">
        <f t="shared" si="136"/>
        <v>Blokhin Alexei - Victory</v>
      </c>
      <c r="R350" s="154" t="s">
        <v>636</v>
      </c>
      <c r="S350" s="154" t="str">
        <f t="shared" si="137"/>
        <v>Victory</v>
      </c>
      <c r="T350" s="154" t="s">
        <v>645</v>
      </c>
      <c r="U350" s="154" t="s">
        <v>796</v>
      </c>
      <c r="V350" s="154"/>
    </row>
    <row r="351" spans="1:22" s="158" customFormat="1" x14ac:dyDescent="0.3">
      <c r="A351" s="154" t="s">
        <v>776</v>
      </c>
      <c r="B351" s="155">
        <v>2</v>
      </c>
      <c r="C351" s="154">
        <v>276</v>
      </c>
      <c r="D351" s="156" t="str">
        <f t="shared" si="134"/>
        <v>Kumite</v>
      </c>
      <c r="E351" s="156" t="str">
        <f t="shared" si="138"/>
        <v>Kumite, -, 30-35 kg, Gyerek 1. (9-10</v>
      </c>
      <c r="F351" s="156" t="s">
        <v>511</v>
      </c>
      <c r="G351" s="157" t="str">
        <f t="shared" si="139"/>
        <v>7</v>
      </c>
      <c r="H351" s="156" t="str">
        <f t="shared" si="140"/>
        <v>8 fős egyenes kiesés</v>
      </c>
      <c r="I351" s="157" t="str">
        <f>"6"</f>
        <v>6</v>
      </c>
      <c r="J351" s="156" t="str">
        <f>"Papp László"</f>
        <v>Papp László</v>
      </c>
      <c r="K351" s="156" t="str">
        <f>"Kelemen-Team"</f>
        <v>Kelemen-Team</v>
      </c>
      <c r="L351" s="156" t="str">
        <f t="shared" si="135"/>
        <v>HUN</v>
      </c>
      <c r="M351" s="163">
        <v>0</v>
      </c>
      <c r="O351" s="154" t="s">
        <v>248</v>
      </c>
      <c r="P351" s="159">
        <v>46088</v>
      </c>
      <c r="Q351" s="154" t="str">
        <f t="shared" si="136"/>
        <v>Papp László - Kelemen-Team</v>
      </c>
      <c r="R351" s="154" t="s">
        <v>636</v>
      </c>
      <c r="S351" s="154" t="str">
        <f t="shared" si="137"/>
        <v>Kelemen-Team</v>
      </c>
      <c r="T351" s="154" t="s">
        <v>645</v>
      </c>
      <c r="U351" s="154" t="s">
        <v>796</v>
      </c>
      <c r="V351" s="154"/>
    </row>
    <row r="352" spans="1:22" s="158" customFormat="1" x14ac:dyDescent="0.3">
      <c r="A352" s="154" t="s">
        <v>776</v>
      </c>
      <c r="B352" s="155">
        <v>2</v>
      </c>
      <c r="C352" s="154">
        <v>277</v>
      </c>
      <c r="D352" s="156" t="str">
        <f t="shared" si="134"/>
        <v>Kumite</v>
      </c>
      <c r="E352" s="156" t="str">
        <f t="shared" si="138"/>
        <v>Kumite, -, 30-35 kg, Gyerek 1. (9-10</v>
      </c>
      <c r="F352" s="156" t="s">
        <v>511</v>
      </c>
      <c r="G352" s="157" t="str">
        <f t="shared" si="139"/>
        <v>7</v>
      </c>
      <c r="H352" s="156" t="str">
        <f t="shared" si="140"/>
        <v>8 fős egyenes kiesés</v>
      </c>
      <c r="I352" s="157" t="str">
        <f>"7-8"</f>
        <v>7-8</v>
      </c>
      <c r="J352" s="156" t="str">
        <f>"Oszlánczi Zente"</f>
        <v>Oszlánczi Zente</v>
      </c>
      <c r="K352" s="156" t="str">
        <f>"KYO Fighter SE"</f>
        <v>KYO Fighter SE</v>
      </c>
      <c r="L352" s="156" t="str">
        <f t="shared" si="135"/>
        <v>HUN</v>
      </c>
      <c r="M352" s="163">
        <v>0</v>
      </c>
      <c r="O352" s="154" t="s">
        <v>248</v>
      </c>
      <c r="P352" s="159">
        <v>46088</v>
      </c>
      <c r="Q352" s="154" t="str">
        <f t="shared" si="136"/>
        <v>Oszlánczi Zente - KYO Fighter SE</v>
      </c>
      <c r="R352" s="154" t="s">
        <v>636</v>
      </c>
      <c r="S352" s="154" t="str">
        <f t="shared" si="137"/>
        <v>KYO Fighter SE</v>
      </c>
      <c r="T352" s="154" t="s">
        <v>645</v>
      </c>
      <c r="U352" s="154" t="s">
        <v>796</v>
      </c>
      <c r="V352" s="154"/>
    </row>
    <row r="353" spans="1:22" s="158" customFormat="1" x14ac:dyDescent="0.3">
      <c r="A353" s="154" t="s">
        <v>776</v>
      </c>
      <c r="B353" s="155">
        <v>2</v>
      </c>
      <c r="C353" s="154">
        <v>278</v>
      </c>
      <c r="D353" s="156" t="str">
        <f t="shared" si="134"/>
        <v>Kumite</v>
      </c>
      <c r="E353" s="156" t="str">
        <f t="shared" si="138"/>
        <v>Kumite, -, 30-35 kg, Gyerek 1. (9-10</v>
      </c>
      <c r="F353" s="156" t="s">
        <v>511</v>
      </c>
      <c r="G353" s="157" t="str">
        <f t="shared" si="139"/>
        <v>7</v>
      </c>
      <c r="H353" s="156" t="str">
        <f t="shared" si="140"/>
        <v>8 fős egyenes kiesés</v>
      </c>
      <c r="I353" s="157" t="str">
        <f>"7-8"</f>
        <v>7-8</v>
      </c>
      <c r="J353" s="156" t="str">
        <f>"Dániel Bence"</f>
        <v>Dániel Bence</v>
      </c>
      <c r="K353" s="156" t="str">
        <f>"Shogun"</f>
        <v>Shogun</v>
      </c>
      <c r="L353" s="156" t="str">
        <f t="shared" si="135"/>
        <v>HUN</v>
      </c>
      <c r="M353" s="163">
        <v>0</v>
      </c>
      <c r="O353" s="154" t="s">
        <v>248</v>
      </c>
      <c r="P353" s="159">
        <v>46088</v>
      </c>
      <c r="Q353" s="154" t="str">
        <f t="shared" si="136"/>
        <v>Dániel Bence - Shogun</v>
      </c>
      <c r="R353" s="154" t="s">
        <v>636</v>
      </c>
      <c r="S353" s="154" t="str">
        <f t="shared" si="137"/>
        <v>Shogun</v>
      </c>
      <c r="T353" s="154" t="s">
        <v>645</v>
      </c>
      <c r="U353" s="154" t="s">
        <v>796</v>
      </c>
      <c r="V353" s="154"/>
    </row>
    <row r="354" spans="1:22" s="158" customFormat="1" x14ac:dyDescent="0.3">
      <c r="A354" s="154" t="s">
        <v>776</v>
      </c>
      <c r="B354" s="155">
        <v>2</v>
      </c>
      <c r="C354" s="154">
        <v>279</v>
      </c>
      <c r="D354" s="156" t="str">
        <f t="shared" si="134"/>
        <v>Kumite</v>
      </c>
      <c r="E354" s="156" t="str">
        <f>"Kumite, -, 35-99 kg, Gyerek 1. (9-10"</f>
        <v>Kumite, -, 35-99 kg, Gyerek 1. (9-10</v>
      </c>
      <c r="F354" s="156" t="s">
        <v>513</v>
      </c>
      <c r="G354" s="157" t="str">
        <f>"5"</f>
        <v>5</v>
      </c>
      <c r="H354" s="156" t="str">
        <f>"5 fős körmérkőzés"</f>
        <v>5 fős körmérkőzés</v>
      </c>
      <c r="I354" s="157" t="str">
        <f>"1"</f>
        <v>1</v>
      </c>
      <c r="J354" s="156" t="str">
        <f>"Petrohai Dávid"</f>
        <v>Petrohai Dávid</v>
      </c>
      <c r="K354" s="156" t="str">
        <f>"Shogun"</f>
        <v>Shogun</v>
      </c>
      <c r="L354" s="156" t="str">
        <f t="shared" si="135"/>
        <v>HUN</v>
      </c>
      <c r="M354" s="163">
        <v>8</v>
      </c>
      <c r="O354" s="154" t="s">
        <v>248</v>
      </c>
      <c r="P354" s="159">
        <v>46088</v>
      </c>
      <c r="Q354" s="154" t="str">
        <f t="shared" si="136"/>
        <v>Petrohai Dávid - Shogun</v>
      </c>
      <c r="R354" s="154" t="s">
        <v>636</v>
      </c>
      <c r="S354" s="154" t="str">
        <f t="shared" si="137"/>
        <v>Shogun</v>
      </c>
      <c r="T354" s="154" t="s">
        <v>645</v>
      </c>
      <c r="U354" s="154" t="s">
        <v>796</v>
      </c>
      <c r="V354" s="154"/>
    </row>
    <row r="355" spans="1:22" s="158" customFormat="1" x14ac:dyDescent="0.3">
      <c r="A355" s="154" t="s">
        <v>776</v>
      </c>
      <c r="B355" s="155">
        <v>2</v>
      </c>
      <c r="C355" s="154">
        <v>280</v>
      </c>
      <c r="D355" s="156" t="str">
        <f t="shared" si="134"/>
        <v>Kumite</v>
      </c>
      <c r="E355" s="156" t="str">
        <f>"Kumite, -, 35-99 kg, Gyerek 1. (9-10"</f>
        <v>Kumite, -, 35-99 kg, Gyerek 1. (9-10</v>
      </c>
      <c r="F355" s="156" t="s">
        <v>513</v>
      </c>
      <c r="G355" s="157" t="str">
        <f>"5"</f>
        <v>5</v>
      </c>
      <c r="H355" s="156" t="str">
        <f>"5 fős körmérkőzés"</f>
        <v>5 fős körmérkőzés</v>
      </c>
      <c r="I355" s="157" t="str">
        <f>"2"</f>
        <v>2</v>
      </c>
      <c r="J355" s="156" t="str">
        <f>"Dudás Benedek"</f>
        <v>Dudás Benedek</v>
      </c>
      <c r="K355" s="156" t="str">
        <f>"Bendiák Dojo"</f>
        <v>Bendiák Dojo</v>
      </c>
      <c r="L355" s="156" t="str">
        <f t="shared" si="135"/>
        <v>HUN</v>
      </c>
      <c r="M355" s="163">
        <v>6</v>
      </c>
      <c r="O355" s="154" t="s">
        <v>248</v>
      </c>
      <c r="P355" s="159">
        <v>46088</v>
      </c>
      <c r="Q355" s="154" t="str">
        <f t="shared" si="136"/>
        <v>Dudás Benedek - Bendiák Dojo</v>
      </c>
      <c r="R355" s="154" t="s">
        <v>636</v>
      </c>
      <c r="S355" s="154" t="str">
        <f t="shared" si="137"/>
        <v>Bendiák Dojo</v>
      </c>
      <c r="T355" s="154" t="s">
        <v>645</v>
      </c>
      <c r="U355" s="154" t="s">
        <v>796</v>
      </c>
      <c r="V355" s="154"/>
    </row>
    <row r="356" spans="1:22" s="158" customFormat="1" x14ac:dyDescent="0.3">
      <c r="A356" s="154" t="s">
        <v>776</v>
      </c>
      <c r="B356" s="155">
        <v>2</v>
      </c>
      <c r="C356" s="154">
        <v>281</v>
      </c>
      <c r="D356" s="156" t="str">
        <f t="shared" si="134"/>
        <v>Kumite</v>
      </c>
      <c r="E356" s="156" t="str">
        <f>"Kumite, -, 35-99 kg, Gyerek 1. (9-10"</f>
        <v>Kumite, -, 35-99 kg, Gyerek 1. (9-10</v>
      </c>
      <c r="F356" s="156" t="s">
        <v>513</v>
      </c>
      <c r="G356" s="157" t="str">
        <f>"5"</f>
        <v>5</v>
      </c>
      <c r="H356" s="156" t="str">
        <f>"5 fős körmérkőzés"</f>
        <v>5 fős körmérkőzés</v>
      </c>
      <c r="I356" s="157" t="str">
        <f>"3"</f>
        <v>3</v>
      </c>
      <c r="J356" s="156" t="str">
        <f>"Dócs Nándor"</f>
        <v>Dócs Nándor</v>
      </c>
      <c r="K356" s="156" t="str">
        <f>"Nozomu Dojo"</f>
        <v>Nozomu Dojo</v>
      </c>
      <c r="L356" s="156" t="str">
        <f t="shared" si="135"/>
        <v>HUN</v>
      </c>
      <c r="M356" s="163">
        <v>4</v>
      </c>
      <c r="O356" s="154" t="s">
        <v>248</v>
      </c>
      <c r="P356" s="159">
        <v>46088</v>
      </c>
      <c r="Q356" s="154" t="str">
        <f t="shared" ref="Q356" si="141">J356&amp;" - "&amp;K356</f>
        <v>Dócs Nándor - Nozomu Dojo</v>
      </c>
      <c r="R356" s="154" t="s">
        <v>636</v>
      </c>
      <c r="S356" s="154" t="str">
        <f t="shared" ref="S356" si="142">K356</f>
        <v>Nozomu Dojo</v>
      </c>
      <c r="T356" s="154" t="s">
        <v>645</v>
      </c>
      <c r="U356" s="154" t="s">
        <v>796</v>
      </c>
      <c r="V356" s="154"/>
    </row>
    <row r="357" spans="1:22" s="158" customFormat="1" x14ac:dyDescent="0.3">
      <c r="A357" s="154" t="s">
        <v>776</v>
      </c>
      <c r="B357" s="155">
        <v>2</v>
      </c>
      <c r="C357" s="154">
        <v>281</v>
      </c>
      <c r="D357" s="156" t="str">
        <f t="shared" si="134"/>
        <v>Kumite</v>
      </c>
      <c r="E357" s="156" t="str">
        <f>"Kumite, -, 35-99 kg, Gyerek 1. (9-10"</f>
        <v>Kumite, -, 35-99 kg, Gyerek 1. (9-10</v>
      </c>
      <c r="F357" s="156" t="s">
        <v>513</v>
      </c>
      <c r="G357" s="157" t="str">
        <f>"5"</f>
        <v>5</v>
      </c>
      <c r="H357" s="156" t="str">
        <f>"5 fős körmérkőzés"</f>
        <v>5 fős körmérkőzés</v>
      </c>
      <c r="I357" s="157">
        <v>4</v>
      </c>
      <c r="J357" s="156" t="s">
        <v>802</v>
      </c>
      <c r="K357" s="156" t="s">
        <v>803</v>
      </c>
      <c r="L357" s="156" t="str">
        <f t="shared" si="135"/>
        <v>HUN</v>
      </c>
      <c r="M357" s="163">
        <v>3</v>
      </c>
      <c r="O357" s="154" t="s">
        <v>248</v>
      </c>
      <c r="P357" s="159">
        <v>46088</v>
      </c>
      <c r="Q357" s="154" t="str">
        <f t="shared" si="136"/>
        <v>Máté Lénárd - Kelemen-Team</v>
      </c>
      <c r="R357" s="154" t="s">
        <v>636</v>
      </c>
      <c r="S357" s="154" t="str">
        <f t="shared" si="137"/>
        <v>Kelemen-Team</v>
      </c>
      <c r="T357" s="154" t="s">
        <v>645</v>
      </c>
      <c r="U357" s="154" t="s">
        <v>796</v>
      </c>
      <c r="V357" s="154"/>
    </row>
    <row r="358" spans="1:22" s="158" customFormat="1" x14ac:dyDescent="0.3">
      <c r="A358" s="154" t="s">
        <v>776</v>
      </c>
      <c r="B358" s="155">
        <v>2</v>
      </c>
      <c r="C358" s="154">
        <v>282</v>
      </c>
      <c r="D358" s="156" t="str">
        <f t="shared" ref="D358:D367" si="143">"Kata"</f>
        <v>Kata</v>
      </c>
      <c r="E358" s="156" t="str">
        <f t="shared" ref="E358:E367" si="144">"Kata, -, 0-100 kg, Gyerek 1. (9-10"</f>
        <v>Kata, -, 0-100 kg, Gyerek 1. (9-10</v>
      </c>
      <c r="F358" s="156" t="s">
        <v>514</v>
      </c>
      <c r="G358" s="157" t="str">
        <f t="shared" ref="G358:G367" si="145">"10"</f>
        <v>10</v>
      </c>
      <c r="H358" s="156" t="str">
        <f t="shared" ref="H358:H367" si="146">"16 fős egyenes kiesés"</f>
        <v>16 fős egyenes kiesés</v>
      </c>
      <c r="I358" s="157" t="str">
        <f>"1"</f>
        <v>1</v>
      </c>
      <c r="J358" s="156" t="str">
        <f>"Mohácsi DOminik"</f>
        <v>Mohácsi DOminik</v>
      </c>
      <c r="K358" s="156" t="str">
        <f>"Victory"</f>
        <v>Victory</v>
      </c>
      <c r="L358" s="156" t="str">
        <f t="shared" si="135"/>
        <v>HUN</v>
      </c>
      <c r="M358" s="163">
        <v>6</v>
      </c>
      <c r="O358" s="154" t="s">
        <v>248</v>
      </c>
      <c r="P358" s="159">
        <v>46088</v>
      </c>
      <c r="Q358" s="154" t="str">
        <f t="shared" si="136"/>
        <v>Mohácsi DOminik - Victory</v>
      </c>
      <c r="R358" s="154" t="s">
        <v>636</v>
      </c>
      <c r="S358" s="154" t="str">
        <f t="shared" si="137"/>
        <v>Victory</v>
      </c>
      <c r="T358" s="154" t="s">
        <v>645</v>
      </c>
      <c r="U358" s="154" t="s">
        <v>796</v>
      </c>
      <c r="V358" s="154"/>
    </row>
    <row r="359" spans="1:22" s="158" customFormat="1" x14ac:dyDescent="0.3">
      <c r="A359" s="154" t="s">
        <v>776</v>
      </c>
      <c r="B359" s="155">
        <v>2</v>
      </c>
      <c r="C359" s="154">
        <v>283</v>
      </c>
      <c r="D359" s="156" t="str">
        <f t="shared" si="143"/>
        <v>Kata</v>
      </c>
      <c r="E359" s="156" t="str">
        <f t="shared" si="144"/>
        <v>Kata, -, 0-100 kg, Gyerek 1. (9-10</v>
      </c>
      <c r="F359" s="156" t="s">
        <v>514</v>
      </c>
      <c r="G359" s="157" t="str">
        <f t="shared" si="145"/>
        <v>10</v>
      </c>
      <c r="H359" s="156" t="str">
        <f t="shared" si="146"/>
        <v>16 fős egyenes kiesés</v>
      </c>
      <c r="I359" s="157" t="str">
        <f>"2"</f>
        <v>2</v>
      </c>
      <c r="J359" s="156" t="str">
        <f>"Petrohai Dávid"</f>
        <v>Petrohai Dávid</v>
      </c>
      <c r="K359" s="156" t="str">
        <f>"Shogun"</f>
        <v>Shogun</v>
      </c>
      <c r="L359" s="156" t="str">
        <f t="shared" si="135"/>
        <v>HUN</v>
      </c>
      <c r="M359" s="163">
        <v>5</v>
      </c>
      <c r="O359" s="154" t="s">
        <v>248</v>
      </c>
      <c r="P359" s="159">
        <v>46088</v>
      </c>
      <c r="Q359" s="154" t="str">
        <f t="shared" si="136"/>
        <v>Petrohai Dávid - Shogun</v>
      </c>
      <c r="R359" s="154" t="s">
        <v>636</v>
      </c>
      <c r="S359" s="154" t="str">
        <f t="shared" si="137"/>
        <v>Shogun</v>
      </c>
      <c r="T359" s="154" t="s">
        <v>645</v>
      </c>
      <c r="U359" s="154" t="s">
        <v>796</v>
      </c>
      <c r="V359" s="154"/>
    </row>
    <row r="360" spans="1:22" s="158" customFormat="1" x14ac:dyDescent="0.3">
      <c r="A360" s="154" t="s">
        <v>776</v>
      </c>
      <c r="B360" s="155">
        <v>2</v>
      </c>
      <c r="C360" s="154">
        <v>284</v>
      </c>
      <c r="D360" s="156" t="str">
        <f t="shared" si="143"/>
        <v>Kata</v>
      </c>
      <c r="E360" s="156" t="str">
        <f t="shared" si="144"/>
        <v>Kata, -, 0-100 kg, Gyerek 1. (9-10</v>
      </c>
      <c r="F360" s="156" t="s">
        <v>514</v>
      </c>
      <c r="G360" s="157" t="str">
        <f t="shared" si="145"/>
        <v>10</v>
      </c>
      <c r="H360" s="156" t="str">
        <f t="shared" si="146"/>
        <v>16 fős egyenes kiesés</v>
      </c>
      <c r="I360" s="157" t="str">
        <f>"3"</f>
        <v>3</v>
      </c>
      <c r="J360" s="156" t="str">
        <f>"Sárközi Bence"</f>
        <v>Sárközi Bence</v>
      </c>
      <c r="K360" s="156" t="str">
        <f>"Shogun"</f>
        <v>Shogun</v>
      </c>
      <c r="L360" s="156" t="str">
        <f t="shared" si="135"/>
        <v>HUN</v>
      </c>
      <c r="M360" s="163">
        <v>3</v>
      </c>
      <c r="O360" s="154" t="s">
        <v>248</v>
      </c>
      <c r="P360" s="159">
        <v>46088</v>
      </c>
      <c r="Q360" s="154" t="str">
        <f t="shared" si="136"/>
        <v>Sárközi Bence - Shogun</v>
      </c>
      <c r="R360" s="154" t="s">
        <v>636</v>
      </c>
      <c r="S360" s="154" t="str">
        <f t="shared" si="137"/>
        <v>Shogun</v>
      </c>
      <c r="T360" s="154" t="s">
        <v>645</v>
      </c>
      <c r="U360" s="154" t="s">
        <v>796</v>
      </c>
      <c r="V360" s="154"/>
    </row>
    <row r="361" spans="1:22" s="158" customFormat="1" x14ac:dyDescent="0.3">
      <c r="A361" s="154" t="s">
        <v>776</v>
      </c>
      <c r="B361" s="155">
        <v>2</v>
      </c>
      <c r="C361" s="154">
        <v>285</v>
      </c>
      <c r="D361" s="156" t="str">
        <f t="shared" si="143"/>
        <v>Kata</v>
      </c>
      <c r="E361" s="156" t="str">
        <f t="shared" si="144"/>
        <v>Kata, -, 0-100 kg, Gyerek 1. (9-10</v>
      </c>
      <c r="F361" s="156" t="s">
        <v>514</v>
      </c>
      <c r="G361" s="157" t="str">
        <f t="shared" si="145"/>
        <v>10</v>
      </c>
      <c r="H361" s="156" t="str">
        <f t="shared" si="146"/>
        <v>16 fős egyenes kiesés</v>
      </c>
      <c r="I361" s="157" t="str">
        <f>"3"</f>
        <v>3</v>
      </c>
      <c r="J361" s="156" t="str">
        <f>"Dániel Bence"</f>
        <v>Dániel Bence</v>
      </c>
      <c r="K361" s="156" t="str">
        <f>"Shogun"</f>
        <v>Shogun</v>
      </c>
      <c r="L361" s="156" t="str">
        <f t="shared" si="135"/>
        <v>HUN</v>
      </c>
      <c r="M361" s="163">
        <v>3</v>
      </c>
      <c r="O361" s="154" t="s">
        <v>248</v>
      </c>
      <c r="P361" s="159">
        <v>46088</v>
      </c>
      <c r="Q361" s="154" t="str">
        <f t="shared" si="136"/>
        <v>Dániel Bence - Shogun</v>
      </c>
      <c r="R361" s="154" t="s">
        <v>636</v>
      </c>
      <c r="S361" s="154" t="str">
        <f t="shared" si="137"/>
        <v>Shogun</v>
      </c>
      <c r="T361" s="154" t="s">
        <v>645</v>
      </c>
      <c r="U361" s="154" t="s">
        <v>796</v>
      </c>
      <c r="V361" s="154"/>
    </row>
    <row r="362" spans="1:22" s="158" customFormat="1" x14ac:dyDescent="0.3">
      <c r="A362" s="154" t="s">
        <v>776</v>
      </c>
      <c r="B362" s="155">
        <v>2</v>
      </c>
      <c r="C362" s="154">
        <v>286</v>
      </c>
      <c r="D362" s="156" t="str">
        <f t="shared" si="143"/>
        <v>Kata</v>
      </c>
      <c r="E362" s="156" t="str">
        <f t="shared" si="144"/>
        <v>Kata, -, 0-100 kg, Gyerek 1. (9-10</v>
      </c>
      <c r="F362" s="156" t="s">
        <v>514</v>
      </c>
      <c r="G362" s="157" t="str">
        <f t="shared" si="145"/>
        <v>10</v>
      </c>
      <c r="H362" s="156" t="str">
        <f t="shared" si="146"/>
        <v>16 fős egyenes kiesés</v>
      </c>
      <c r="I362" s="157" t="str">
        <f>"5"</f>
        <v>5</v>
      </c>
      <c r="J362" s="156" t="str">
        <f>"Huszti Dániel"</f>
        <v>Huszti Dániel</v>
      </c>
      <c r="K362" s="156" t="str">
        <f>"Shogun"</f>
        <v>Shogun</v>
      </c>
      <c r="L362" s="156" t="str">
        <f t="shared" si="135"/>
        <v>HUN</v>
      </c>
      <c r="M362" s="163">
        <v>0</v>
      </c>
      <c r="N362" s="158" t="s">
        <v>704</v>
      </c>
      <c r="O362" s="154" t="s">
        <v>248</v>
      </c>
      <c r="P362" s="159">
        <v>46088</v>
      </c>
      <c r="Q362" s="154" t="str">
        <f t="shared" si="136"/>
        <v>Huszti Dániel - Shogun</v>
      </c>
      <c r="R362" s="154" t="s">
        <v>636</v>
      </c>
      <c r="S362" s="154" t="str">
        <f t="shared" si="137"/>
        <v>Shogun</v>
      </c>
      <c r="T362" s="154" t="s">
        <v>645</v>
      </c>
      <c r="U362" s="154" t="s">
        <v>796</v>
      </c>
      <c r="V362" s="154"/>
    </row>
    <row r="363" spans="1:22" s="158" customFormat="1" x14ac:dyDescent="0.3">
      <c r="A363" s="154" t="s">
        <v>776</v>
      </c>
      <c r="B363" s="155">
        <v>2</v>
      </c>
      <c r="C363" s="154">
        <v>287</v>
      </c>
      <c r="D363" s="156" t="str">
        <f t="shared" si="143"/>
        <v>Kata</v>
      </c>
      <c r="E363" s="156" t="str">
        <f t="shared" si="144"/>
        <v>Kata, -, 0-100 kg, Gyerek 1. (9-10</v>
      </c>
      <c r="F363" s="156" t="s">
        <v>514</v>
      </c>
      <c r="G363" s="157" t="str">
        <f t="shared" si="145"/>
        <v>10</v>
      </c>
      <c r="H363" s="156" t="str">
        <f t="shared" si="146"/>
        <v>16 fős egyenes kiesés</v>
      </c>
      <c r="I363" s="157" t="str">
        <f>"6"</f>
        <v>6</v>
      </c>
      <c r="J363" s="156" t="str">
        <f>"Tóth Máté"</f>
        <v>Tóth Máté</v>
      </c>
      <c r="K363" s="156" t="str">
        <f>"Bendiák Dojo"</f>
        <v>Bendiák Dojo</v>
      </c>
      <c r="L363" s="156" t="str">
        <f t="shared" si="135"/>
        <v>HUN</v>
      </c>
      <c r="M363" s="163">
        <v>0</v>
      </c>
      <c r="N363" s="158" t="s">
        <v>704</v>
      </c>
      <c r="O363" s="154" t="s">
        <v>248</v>
      </c>
      <c r="P363" s="159">
        <v>46088</v>
      </c>
      <c r="Q363" s="154" t="str">
        <f t="shared" si="136"/>
        <v>Tóth Máté - Bendiák Dojo</v>
      </c>
      <c r="R363" s="154" t="s">
        <v>636</v>
      </c>
      <c r="S363" s="154" t="str">
        <f t="shared" si="137"/>
        <v>Bendiák Dojo</v>
      </c>
      <c r="T363" s="154" t="s">
        <v>645</v>
      </c>
      <c r="U363" s="154" t="s">
        <v>796</v>
      </c>
      <c r="V363" s="154"/>
    </row>
    <row r="364" spans="1:22" s="158" customFormat="1" x14ac:dyDescent="0.3">
      <c r="A364" s="154" t="s">
        <v>776</v>
      </c>
      <c r="B364" s="155">
        <v>2</v>
      </c>
      <c r="C364" s="154">
        <v>288</v>
      </c>
      <c r="D364" s="156" t="str">
        <f t="shared" si="143"/>
        <v>Kata</v>
      </c>
      <c r="E364" s="156" t="str">
        <f t="shared" si="144"/>
        <v>Kata, -, 0-100 kg, Gyerek 1. (9-10</v>
      </c>
      <c r="F364" s="156" t="s">
        <v>514</v>
      </c>
      <c r="G364" s="157" t="str">
        <f t="shared" si="145"/>
        <v>10</v>
      </c>
      <c r="H364" s="156" t="str">
        <f t="shared" si="146"/>
        <v>16 fős egyenes kiesés</v>
      </c>
      <c r="I364" s="157" t="str">
        <f>"7-8"</f>
        <v>7-8</v>
      </c>
      <c r="J364" s="156" t="str">
        <f>"Szlivka Botond Csaba"</f>
        <v>Szlivka Botond Csaba</v>
      </c>
      <c r="K364" s="156" t="str">
        <f>"Shogun"</f>
        <v>Shogun</v>
      </c>
      <c r="L364" s="156" t="str">
        <f t="shared" si="135"/>
        <v>HUN</v>
      </c>
      <c r="M364" s="163">
        <v>0</v>
      </c>
      <c r="N364" s="158" t="s">
        <v>704</v>
      </c>
      <c r="O364" s="154" t="s">
        <v>248</v>
      </c>
      <c r="P364" s="159">
        <v>46088</v>
      </c>
      <c r="Q364" s="154" t="str">
        <f t="shared" si="136"/>
        <v>Szlivka Botond Csaba - Shogun</v>
      </c>
      <c r="R364" s="154" t="s">
        <v>636</v>
      </c>
      <c r="S364" s="154" t="str">
        <f t="shared" si="137"/>
        <v>Shogun</v>
      </c>
      <c r="T364" s="154" t="s">
        <v>645</v>
      </c>
      <c r="U364" s="154" t="s">
        <v>796</v>
      </c>
      <c r="V364" s="154"/>
    </row>
    <row r="365" spans="1:22" s="158" customFormat="1" x14ac:dyDescent="0.3">
      <c r="A365" s="154" t="s">
        <v>776</v>
      </c>
      <c r="B365" s="155">
        <v>2</v>
      </c>
      <c r="C365" s="154">
        <v>289</v>
      </c>
      <c r="D365" s="156" t="str">
        <f t="shared" si="143"/>
        <v>Kata</v>
      </c>
      <c r="E365" s="156" t="str">
        <f t="shared" si="144"/>
        <v>Kata, -, 0-100 kg, Gyerek 1. (9-10</v>
      </c>
      <c r="F365" s="156" t="s">
        <v>514</v>
      </c>
      <c r="G365" s="157" t="str">
        <f t="shared" si="145"/>
        <v>10</v>
      </c>
      <c r="H365" s="156" t="str">
        <f t="shared" si="146"/>
        <v>16 fős egyenes kiesés</v>
      </c>
      <c r="I365" s="157" t="str">
        <f>"7-8"</f>
        <v>7-8</v>
      </c>
      <c r="J365" s="156" t="str">
        <f>"Blokhin Alexei"</f>
        <v>Blokhin Alexei</v>
      </c>
      <c r="K365" s="156" t="str">
        <f>"Victory"</f>
        <v>Victory</v>
      </c>
      <c r="L365" s="156" t="str">
        <f t="shared" si="135"/>
        <v>HUN</v>
      </c>
      <c r="M365" s="163">
        <v>1</v>
      </c>
      <c r="O365" s="154" t="s">
        <v>248</v>
      </c>
      <c r="P365" s="159">
        <v>46088</v>
      </c>
      <c r="Q365" s="154" t="str">
        <f t="shared" si="136"/>
        <v>Blokhin Alexei - Victory</v>
      </c>
      <c r="R365" s="154" t="s">
        <v>636</v>
      </c>
      <c r="S365" s="154" t="str">
        <f t="shared" si="137"/>
        <v>Victory</v>
      </c>
      <c r="T365" s="154" t="s">
        <v>645</v>
      </c>
      <c r="U365" s="154" t="s">
        <v>796</v>
      </c>
      <c r="V365" s="154"/>
    </row>
    <row r="366" spans="1:22" s="158" customFormat="1" x14ac:dyDescent="0.3">
      <c r="A366" s="154" t="s">
        <v>776</v>
      </c>
      <c r="B366" s="155">
        <v>2</v>
      </c>
      <c r="C366" s="154">
        <v>290</v>
      </c>
      <c r="D366" s="156" t="str">
        <f t="shared" si="143"/>
        <v>Kata</v>
      </c>
      <c r="E366" s="156" t="str">
        <f t="shared" si="144"/>
        <v>Kata, -, 0-100 kg, Gyerek 1. (9-10</v>
      </c>
      <c r="F366" s="156" t="s">
        <v>514</v>
      </c>
      <c r="G366" s="157" t="str">
        <f t="shared" si="145"/>
        <v>10</v>
      </c>
      <c r="H366" s="156" t="str">
        <f t="shared" si="146"/>
        <v>16 fős egyenes kiesés</v>
      </c>
      <c r="I366" s="157" t="str">
        <f>"9"</f>
        <v>9</v>
      </c>
      <c r="J366" s="156" t="str">
        <f>"Rózsa Benett"</f>
        <v>Rózsa Benett</v>
      </c>
      <c r="K366" s="156" t="str">
        <f>"Kemecse SE"</f>
        <v>Kemecse SE</v>
      </c>
      <c r="L366" s="156" t="str">
        <f t="shared" si="135"/>
        <v>HUN</v>
      </c>
      <c r="M366" s="163">
        <v>0</v>
      </c>
      <c r="O366" s="154" t="s">
        <v>248</v>
      </c>
      <c r="P366" s="159">
        <v>46088</v>
      </c>
      <c r="Q366" s="154" t="str">
        <f t="shared" si="136"/>
        <v>Rózsa Benett - Kemecse SE</v>
      </c>
      <c r="R366" s="154" t="s">
        <v>636</v>
      </c>
      <c r="S366" s="154" t="str">
        <f t="shared" si="137"/>
        <v>Kemecse SE</v>
      </c>
      <c r="T366" s="154" t="s">
        <v>645</v>
      </c>
      <c r="U366" s="154" t="s">
        <v>796</v>
      </c>
      <c r="V366" s="154"/>
    </row>
    <row r="367" spans="1:22" s="158" customFormat="1" x14ac:dyDescent="0.3">
      <c r="A367" s="154" t="s">
        <v>776</v>
      </c>
      <c r="B367" s="155">
        <v>2</v>
      </c>
      <c r="C367" s="154">
        <v>291</v>
      </c>
      <c r="D367" s="156" t="str">
        <f t="shared" si="143"/>
        <v>Kata</v>
      </c>
      <c r="E367" s="156" t="str">
        <f t="shared" si="144"/>
        <v>Kata, -, 0-100 kg, Gyerek 1. (9-10</v>
      </c>
      <c r="F367" s="156" t="s">
        <v>514</v>
      </c>
      <c r="G367" s="157" t="str">
        <f t="shared" si="145"/>
        <v>10</v>
      </c>
      <c r="H367" s="156" t="str">
        <f t="shared" si="146"/>
        <v>16 fős egyenes kiesés</v>
      </c>
      <c r="I367" s="157" t="str">
        <f>"11-16"</f>
        <v>11-16</v>
      </c>
      <c r="J367" s="156" t="str">
        <f>"Kiss Attila"</f>
        <v>Kiss Attila</v>
      </c>
      <c r="K367" s="156" t="str">
        <f>"Kelemen-Team"</f>
        <v>Kelemen-Team</v>
      </c>
      <c r="L367" s="156" t="str">
        <f t="shared" si="135"/>
        <v>HUN</v>
      </c>
      <c r="M367" s="163">
        <v>0</v>
      </c>
      <c r="O367" s="154" t="s">
        <v>248</v>
      </c>
      <c r="P367" s="159">
        <v>46088</v>
      </c>
      <c r="Q367" s="154" t="str">
        <f t="shared" si="136"/>
        <v>Kiss Attila - Kelemen-Team</v>
      </c>
      <c r="R367" s="154" t="s">
        <v>636</v>
      </c>
      <c r="S367" s="154" t="str">
        <f t="shared" si="137"/>
        <v>Kelemen-Team</v>
      </c>
      <c r="T367" s="154" t="s">
        <v>645</v>
      </c>
      <c r="U367" s="154" t="s">
        <v>796</v>
      </c>
      <c r="V367" s="154"/>
    </row>
    <row r="368" spans="1:22" s="158" customFormat="1" x14ac:dyDescent="0.3">
      <c r="A368" s="154" t="s">
        <v>776</v>
      </c>
      <c r="B368" s="155">
        <v>2</v>
      </c>
      <c r="C368" s="154">
        <v>292</v>
      </c>
      <c r="D368" s="156" t="str">
        <f>"Kumite"</f>
        <v>Kumite</v>
      </c>
      <c r="E368" s="156" t="str">
        <f>"Kumite, -, 30-35 kg, Gyerek 1. (9-10"</f>
        <v>Kumite, -, 30-35 kg, Gyerek 1. (9-10</v>
      </c>
      <c r="F368" s="156" t="s">
        <v>516</v>
      </c>
      <c r="G368" s="157" t="str">
        <f t="shared" ref="G368:G374" si="147">"4"</f>
        <v>4</v>
      </c>
      <c r="H368" s="156" t="str">
        <f>"4 fős körmérkőzés"</f>
        <v>4 fős körmérkőzés</v>
      </c>
      <c r="I368" s="157" t="str">
        <f>"1"</f>
        <v>1</v>
      </c>
      <c r="J368" s="156" t="str">
        <f>"Zeke Kata"</f>
        <v>Zeke Kata</v>
      </c>
      <c r="K368" s="156" t="str">
        <f>"Kelemen-Team"</f>
        <v>Kelemen-Team</v>
      </c>
      <c r="L368" s="156" t="str">
        <f t="shared" si="135"/>
        <v>HUN</v>
      </c>
      <c r="M368" s="163">
        <v>6</v>
      </c>
      <c r="O368" s="154" t="s">
        <v>248</v>
      </c>
      <c r="P368" s="159">
        <v>46088</v>
      </c>
      <c r="Q368" s="154" t="str">
        <f t="shared" si="136"/>
        <v>Zeke Kata - Kelemen-Team</v>
      </c>
      <c r="R368" s="154" t="s">
        <v>636</v>
      </c>
      <c r="S368" s="154" t="str">
        <f t="shared" si="137"/>
        <v>Kelemen-Team</v>
      </c>
      <c r="T368" s="154" t="s">
        <v>645</v>
      </c>
      <c r="U368" s="154" t="s">
        <v>796</v>
      </c>
      <c r="V368" s="154"/>
    </row>
    <row r="369" spans="1:22" s="158" customFormat="1" x14ac:dyDescent="0.3">
      <c r="A369" s="154" t="s">
        <v>776</v>
      </c>
      <c r="B369" s="155">
        <v>2</v>
      </c>
      <c r="C369" s="154">
        <v>293</v>
      </c>
      <c r="D369" s="156" t="str">
        <f>"Kumite"</f>
        <v>Kumite</v>
      </c>
      <c r="E369" s="156" t="str">
        <f>"Kumite, -, 30-35 kg, Gyerek 1. (9-10"</f>
        <v>Kumite, -, 30-35 kg, Gyerek 1. (9-10</v>
      </c>
      <c r="F369" s="156" t="s">
        <v>516</v>
      </c>
      <c r="G369" s="157" t="str">
        <f t="shared" si="147"/>
        <v>4</v>
      </c>
      <c r="H369" s="156" t="str">
        <f>"4 fős körmérkőzés"</f>
        <v>4 fős körmérkőzés</v>
      </c>
      <c r="I369" s="157" t="str">
        <f>"2"</f>
        <v>2</v>
      </c>
      <c r="J369" s="156" t="str">
        <f>"Bácsmegi Luca"</f>
        <v>Bácsmegi Luca</v>
      </c>
      <c r="K369" s="156" t="str">
        <f>"Kelemen-Team"</f>
        <v>Kelemen-Team</v>
      </c>
      <c r="L369" s="156" t="str">
        <f t="shared" si="135"/>
        <v>HUN</v>
      </c>
      <c r="M369" s="163">
        <v>5</v>
      </c>
      <c r="O369" s="154" t="s">
        <v>248</v>
      </c>
      <c r="P369" s="159">
        <v>46088</v>
      </c>
      <c r="Q369" s="154" t="str">
        <f t="shared" si="136"/>
        <v>Bácsmegi Luca - Kelemen-Team</v>
      </c>
      <c r="R369" s="154" t="s">
        <v>636</v>
      </c>
      <c r="S369" s="154" t="str">
        <f t="shared" si="137"/>
        <v>Kelemen-Team</v>
      </c>
      <c r="T369" s="154" t="s">
        <v>645</v>
      </c>
      <c r="U369" s="154" t="s">
        <v>796</v>
      </c>
      <c r="V369" s="154"/>
    </row>
    <row r="370" spans="1:22" s="158" customFormat="1" x14ac:dyDescent="0.3">
      <c r="A370" s="154" t="s">
        <v>776</v>
      </c>
      <c r="B370" s="155">
        <v>2</v>
      </c>
      <c r="C370" s="154">
        <v>294</v>
      </c>
      <c r="D370" s="156" t="str">
        <f>"Kumite"</f>
        <v>Kumite</v>
      </c>
      <c r="E370" s="156" t="str">
        <f>"Kumite, -, 30-35 kg, Gyerek 1. (9-10"</f>
        <v>Kumite, -, 30-35 kg, Gyerek 1. (9-10</v>
      </c>
      <c r="F370" s="156" t="s">
        <v>516</v>
      </c>
      <c r="G370" s="157" t="str">
        <f t="shared" si="147"/>
        <v>4</v>
      </c>
      <c r="H370" s="156" t="str">
        <f>"4 fős körmérkőzés"</f>
        <v>4 fős körmérkőzés</v>
      </c>
      <c r="I370" s="157" t="str">
        <f>"3"</f>
        <v>3</v>
      </c>
      <c r="J370" s="156" t="str">
        <f>"Fekete Alíz"</f>
        <v>Fekete Alíz</v>
      </c>
      <c r="K370" s="156" t="str">
        <f>"Shogun"</f>
        <v>Shogun</v>
      </c>
      <c r="L370" s="156" t="str">
        <f t="shared" si="135"/>
        <v>HUN</v>
      </c>
      <c r="M370" s="163">
        <v>3</v>
      </c>
      <c r="O370" s="154" t="s">
        <v>248</v>
      </c>
      <c r="P370" s="159">
        <v>46088</v>
      </c>
      <c r="Q370" s="154" t="str">
        <f t="shared" si="136"/>
        <v>Fekete Alíz - Shogun</v>
      </c>
      <c r="R370" s="154" t="s">
        <v>636</v>
      </c>
      <c r="S370" s="154" t="str">
        <f t="shared" si="137"/>
        <v>Shogun</v>
      </c>
      <c r="T370" s="154" t="s">
        <v>645</v>
      </c>
      <c r="U370" s="154" t="s">
        <v>796</v>
      </c>
      <c r="V370" s="154"/>
    </row>
    <row r="371" spans="1:22" s="158" customFormat="1" x14ac:dyDescent="0.3">
      <c r="A371" s="154" t="s">
        <v>776</v>
      </c>
      <c r="B371" s="155">
        <v>2</v>
      </c>
      <c r="C371" s="154">
        <v>295</v>
      </c>
      <c r="D371" s="156" t="str">
        <f>"Kata"</f>
        <v>Kata</v>
      </c>
      <c r="E371" s="156" t="str">
        <f>"Kata, -, 0-100 kg, Gyerek 1. (9-10"</f>
        <v>Kata, -, 0-100 kg, Gyerek 1. (9-10</v>
      </c>
      <c r="F371" s="156" t="s">
        <v>520</v>
      </c>
      <c r="G371" s="157" t="str">
        <f t="shared" si="147"/>
        <v>4</v>
      </c>
      <c r="H371" s="156" t="str">
        <f>"4 fős egyenes kiesés + 3. hely"</f>
        <v>4 fős egyenes kiesés + 3. hely</v>
      </c>
      <c r="I371" s="157" t="str">
        <f>"1"</f>
        <v>1</v>
      </c>
      <c r="J371" s="156" t="str">
        <f>"Banyák Léna"</f>
        <v>Banyák Léna</v>
      </c>
      <c r="K371" s="156" t="str">
        <f>"KYO Fighter SE"</f>
        <v>KYO Fighter SE</v>
      </c>
      <c r="L371" s="156" t="str">
        <f t="shared" si="135"/>
        <v>HUN</v>
      </c>
      <c r="M371" s="163">
        <v>5</v>
      </c>
      <c r="O371" s="154" t="s">
        <v>248</v>
      </c>
      <c r="P371" s="159">
        <v>46088</v>
      </c>
      <c r="Q371" s="154" t="str">
        <f t="shared" si="136"/>
        <v>Banyák Léna - KYO Fighter SE</v>
      </c>
      <c r="R371" s="154" t="s">
        <v>636</v>
      </c>
      <c r="S371" s="154" t="str">
        <f t="shared" si="137"/>
        <v>KYO Fighter SE</v>
      </c>
      <c r="T371" s="154" t="s">
        <v>645</v>
      </c>
      <c r="U371" s="154" t="s">
        <v>796</v>
      </c>
      <c r="V371" s="154"/>
    </row>
    <row r="372" spans="1:22" s="158" customFormat="1" x14ac:dyDescent="0.3">
      <c r="A372" s="154" t="s">
        <v>776</v>
      </c>
      <c r="B372" s="155">
        <v>2</v>
      </c>
      <c r="C372" s="154">
        <v>296</v>
      </c>
      <c r="D372" s="156" t="str">
        <f>"Kata"</f>
        <v>Kata</v>
      </c>
      <c r="E372" s="156" t="str">
        <f>"Kata, -, 0-100 kg, Gyerek 1. (9-10"</f>
        <v>Kata, -, 0-100 kg, Gyerek 1. (9-10</v>
      </c>
      <c r="F372" s="156" t="s">
        <v>520</v>
      </c>
      <c r="G372" s="157" t="str">
        <f t="shared" si="147"/>
        <v>4</v>
      </c>
      <c r="H372" s="156" t="str">
        <f>"4 fős egyenes kiesés + 3. hely"</f>
        <v>4 fős egyenes kiesés + 3. hely</v>
      </c>
      <c r="I372" s="157" t="str">
        <f>"2"</f>
        <v>2</v>
      </c>
      <c r="J372" s="156" t="str">
        <f>"Nándori Leona"</f>
        <v>Nándori Leona</v>
      </c>
      <c r="K372" s="156" t="str">
        <f>"Kemecse SE"</f>
        <v>Kemecse SE</v>
      </c>
      <c r="L372" s="156" t="str">
        <f t="shared" si="135"/>
        <v>HUN</v>
      </c>
      <c r="M372" s="163">
        <v>4</v>
      </c>
      <c r="O372" s="154" t="s">
        <v>248</v>
      </c>
      <c r="P372" s="159">
        <v>46088</v>
      </c>
      <c r="Q372" s="154" t="str">
        <f t="shared" si="136"/>
        <v>Nándori Leona - Kemecse SE</v>
      </c>
      <c r="R372" s="154" t="s">
        <v>636</v>
      </c>
      <c r="S372" s="154" t="str">
        <f t="shared" si="137"/>
        <v>Kemecse SE</v>
      </c>
      <c r="T372" s="154" t="s">
        <v>645</v>
      </c>
      <c r="U372" s="154" t="s">
        <v>796</v>
      </c>
      <c r="V372" s="154"/>
    </row>
    <row r="373" spans="1:22" s="158" customFormat="1" x14ac:dyDescent="0.3">
      <c r="A373" s="154" t="s">
        <v>776</v>
      </c>
      <c r="B373" s="155">
        <v>2</v>
      </c>
      <c r="C373" s="154">
        <v>297</v>
      </c>
      <c r="D373" s="156" t="str">
        <f>"Kata"</f>
        <v>Kata</v>
      </c>
      <c r="E373" s="156" t="str">
        <f>"Kata, -, 0-100 kg, Gyerek 1. (9-10"</f>
        <v>Kata, -, 0-100 kg, Gyerek 1. (9-10</v>
      </c>
      <c r="F373" s="156" t="s">
        <v>520</v>
      </c>
      <c r="G373" s="157" t="str">
        <f t="shared" si="147"/>
        <v>4</v>
      </c>
      <c r="H373" s="156" t="str">
        <f>"4 fős egyenes kiesés + 3. hely"</f>
        <v>4 fős egyenes kiesés + 3. hely</v>
      </c>
      <c r="I373" s="157" t="str">
        <f>"3"</f>
        <v>3</v>
      </c>
      <c r="J373" s="156" t="str">
        <f>"Geiger Uzonyi Lilla"</f>
        <v>Geiger Uzonyi Lilla</v>
      </c>
      <c r="K373" s="156" t="str">
        <f>"Kelemen-Team"</f>
        <v>Kelemen-Team</v>
      </c>
      <c r="L373" s="156" t="str">
        <f t="shared" si="135"/>
        <v>HUN</v>
      </c>
      <c r="M373" s="163">
        <v>2</v>
      </c>
      <c r="O373" s="154" t="s">
        <v>248</v>
      </c>
      <c r="P373" s="159">
        <v>46088</v>
      </c>
      <c r="Q373" s="154" t="str">
        <f t="shared" si="136"/>
        <v>Geiger Uzonyi Lilla - Kelemen-Team</v>
      </c>
      <c r="R373" s="154" t="s">
        <v>636</v>
      </c>
      <c r="S373" s="154" t="str">
        <f t="shared" si="137"/>
        <v>Kelemen-Team</v>
      </c>
      <c r="T373" s="154" t="s">
        <v>645</v>
      </c>
      <c r="U373" s="154" t="s">
        <v>796</v>
      </c>
      <c r="V373" s="154"/>
    </row>
    <row r="374" spans="1:22" s="158" customFormat="1" x14ac:dyDescent="0.3">
      <c r="A374" s="154" t="s">
        <v>776</v>
      </c>
      <c r="B374" s="155">
        <v>2</v>
      </c>
      <c r="C374" s="154">
        <v>298</v>
      </c>
      <c r="D374" s="156" t="str">
        <f>"Kata"</f>
        <v>Kata</v>
      </c>
      <c r="E374" s="156" t="str">
        <f>"Kata, -, 0-100 kg, Gyerek 1. (9-10"</f>
        <v>Kata, -, 0-100 kg, Gyerek 1. (9-10</v>
      </c>
      <c r="F374" s="156" t="s">
        <v>520</v>
      </c>
      <c r="G374" s="157" t="str">
        <f t="shared" si="147"/>
        <v>4</v>
      </c>
      <c r="H374" s="156" t="str">
        <f>"4 fős egyenes kiesés + 3. hely"</f>
        <v>4 fős egyenes kiesés + 3. hely</v>
      </c>
      <c r="I374" s="157" t="str">
        <f>"4"</f>
        <v>4</v>
      </c>
      <c r="J374" s="156" t="str">
        <f>"Fekete Alíz"</f>
        <v>Fekete Alíz</v>
      </c>
      <c r="K374" s="156" t="str">
        <f>"Shogun"</f>
        <v>Shogun</v>
      </c>
      <c r="L374" s="156" t="str">
        <f t="shared" si="135"/>
        <v>HUN</v>
      </c>
      <c r="M374" s="163">
        <v>0</v>
      </c>
      <c r="O374" s="154" t="s">
        <v>248</v>
      </c>
      <c r="P374" s="159">
        <v>46088</v>
      </c>
      <c r="Q374" s="154" t="str">
        <f t="shared" si="136"/>
        <v>Fekete Alíz - Shogun</v>
      </c>
      <c r="R374" s="154" t="s">
        <v>636</v>
      </c>
      <c r="S374" s="154" t="str">
        <f t="shared" si="137"/>
        <v>Shogun</v>
      </c>
      <c r="T374" s="154" t="s">
        <v>645</v>
      </c>
      <c r="U374" s="154" t="s">
        <v>796</v>
      </c>
      <c r="V374" s="154"/>
    </row>
    <row r="375" spans="1:22" s="158" customFormat="1" x14ac:dyDescent="0.3">
      <c r="A375" s="154" t="s">
        <v>776</v>
      </c>
      <c r="B375" s="155">
        <v>2</v>
      </c>
      <c r="C375" s="154">
        <v>300</v>
      </c>
      <c r="D375" s="156" t="str">
        <f t="shared" ref="D375:D410" si="148">"Kumite"</f>
        <v>Kumite</v>
      </c>
      <c r="E375" s="156" t="str">
        <f t="shared" ref="E375:E385" si="149">"Kumite, -, 0-35 kg, Gyerek 2. (11-12"</f>
        <v>Kumite, -, 0-35 kg, Gyerek 2. (11-12</v>
      </c>
      <c r="F375" s="156" t="s">
        <v>512</v>
      </c>
      <c r="G375" s="157" t="str">
        <f t="shared" ref="G375:G385" si="150">"11"</f>
        <v>11</v>
      </c>
      <c r="H375" s="156" t="str">
        <f t="shared" ref="H375:H442" si="151">"16 fős egyenes kiesés"</f>
        <v>16 fős egyenes kiesés</v>
      </c>
      <c r="I375" s="157" t="str">
        <f>"1"</f>
        <v>1</v>
      </c>
      <c r="J375" s="156" t="str">
        <f>"Szabó Alex Dominik"</f>
        <v>Szabó Alex Dominik</v>
      </c>
      <c r="K375" s="156" t="str">
        <f>"Shogun"</f>
        <v>Shogun</v>
      </c>
      <c r="L375" s="156" t="str">
        <f t="shared" si="135"/>
        <v>HUN</v>
      </c>
      <c r="M375" s="163">
        <v>8</v>
      </c>
      <c r="O375" s="154" t="s">
        <v>248</v>
      </c>
      <c r="P375" s="159">
        <v>46088</v>
      </c>
      <c r="Q375" s="154" t="str">
        <f t="shared" si="136"/>
        <v>Szabó Alex Dominik - Shogun</v>
      </c>
      <c r="R375" s="154" t="s">
        <v>636</v>
      </c>
      <c r="S375" s="154" t="str">
        <f t="shared" si="137"/>
        <v>Shogun</v>
      </c>
      <c r="T375" s="154" t="s">
        <v>645</v>
      </c>
      <c r="U375" s="154" t="s">
        <v>796</v>
      </c>
      <c r="V375" s="154"/>
    </row>
    <row r="376" spans="1:22" s="158" customFormat="1" x14ac:dyDescent="0.3">
      <c r="A376" s="154" t="s">
        <v>776</v>
      </c>
      <c r="B376" s="155">
        <v>2</v>
      </c>
      <c r="C376" s="154">
        <v>301</v>
      </c>
      <c r="D376" s="156" t="str">
        <f t="shared" si="148"/>
        <v>Kumite</v>
      </c>
      <c r="E376" s="156" t="str">
        <f t="shared" si="149"/>
        <v>Kumite, -, 0-35 kg, Gyerek 2. (11-12</v>
      </c>
      <c r="F376" s="156" t="s">
        <v>512</v>
      </c>
      <c r="G376" s="157" t="str">
        <f t="shared" si="150"/>
        <v>11</v>
      </c>
      <c r="H376" s="156" t="str">
        <f t="shared" si="151"/>
        <v>16 fős egyenes kiesés</v>
      </c>
      <c r="I376" s="157" t="str">
        <f>"2"</f>
        <v>2</v>
      </c>
      <c r="J376" s="156" t="str">
        <f>"Tarr Bence"</f>
        <v>Tarr Bence</v>
      </c>
      <c r="K376" s="156" t="str">
        <f>"Shogun"</f>
        <v>Shogun</v>
      </c>
      <c r="L376" s="156" t="str">
        <f t="shared" si="135"/>
        <v>HUN</v>
      </c>
      <c r="M376" s="163">
        <v>6</v>
      </c>
      <c r="O376" s="154" t="s">
        <v>248</v>
      </c>
      <c r="P376" s="159">
        <v>46088</v>
      </c>
      <c r="Q376" s="154" t="str">
        <f t="shared" si="136"/>
        <v>Tarr Bence - Shogun</v>
      </c>
      <c r="R376" s="154" t="s">
        <v>636</v>
      </c>
      <c r="S376" s="154" t="str">
        <f t="shared" si="137"/>
        <v>Shogun</v>
      </c>
      <c r="T376" s="154" t="s">
        <v>645</v>
      </c>
      <c r="U376" s="154" t="s">
        <v>796</v>
      </c>
      <c r="V376" s="154"/>
    </row>
    <row r="377" spans="1:22" s="158" customFormat="1" x14ac:dyDescent="0.3">
      <c r="A377" s="154" t="s">
        <v>776</v>
      </c>
      <c r="B377" s="155">
        <v>2</v>
      </c>
      <c r="C377" s="154">
        <v>302</v>
      </c>
      <c r="D377" s="156" t="str">
        <f t="shared" si="148"/>
        <v>Kumite</v>
      </c>
      <c r="E377" s="156" t="str">
        <f t="shared" si="149"/>
        <v>Kumite, -, 0-35 kg, Gyerek 2. (11-12</v>
      </c>
      <c r="F377" s="156" t="s">
        <v>512</v>
      </c>
      <c r="G377" s="157" t="str">
        <f t="shared" si="150"/>
        <v>11</v>
      </c>
      <c r="H377" s="156" t="str">
        <f t="shared" si="151"/>
        <v>16 fős egyenes kiesés</v>
      </c>
      <c r="I377" s="157" t="str">
        <f>"3"</f>
        <v>3</v>
      </c>
      <c r="J377" s="156" t="str">
        <f>"Szűcs Norbert"</f>
        <v>Szűcs Norbert</v>
      </c>
      <c r="K377" s="156" t="str">
        <f>"Shogun"</f>
        <v>Shogun</v>
      </c>
      <c r="L377" s="156" t="str">
        <f t="shared" si="135"/>
        <v>HUN</v>
      </c>
      <c r="M377" s="163">
        <v>4</v>
      </c>
      <c r="O377" s="154" t="s">
        <v>248</v>
      </c>
      <c r="P377" s="159">
        <v>46088</v>
      </c>
      <c r="Q377" s="154" t="str">
        <f t="shared" si="136"/>
        <v>Szűcs Norbert - Shogun</v>
      </c>
      <c r="R377" s="154" t="s">
        <v>636</v>
      </c>
      <c r="S377" s="154" t="str">
        <f t="shared" si="137"/>
        <v>Shogun</v>
      </c>
      <c r="T377" s="154" t="s">
        <v>645</v>
      </c>
      <c r="U377" s="154" t="s">
        <v>796</v>
      </c>
      <c r="V377" s="154"/>
    </row>
    <row r="378" spans="1:22" s="158" customFormat="1" x14ac:dyDescent="0.3">
      <c r="A378" s="154" t="s">
        <v>776</v>
      </c>
      <c r="B378" s="155">
        <v>2</v>
      </c>
      <c r="C378" s="154">
        <v>303</v>
      </c>
      <c r="D378" s="156" t="str">
        <f t="shared" si="148"/>
        <v>Kumite</v>
      </c>
      <c r="E378" s="156" t="str">
        <f t="shared" si="149"/>
        <v>Kumite, -, 0-35 kg, Gyerek 2. (11-12</v>
      </c>
      <c r="F378" s="156" t="s">
        <v>512</v>
      </c>
      <c r="G378" s="157" t="str">
        <f t="shared" si="150"/>
        <v>11</v>
      </c>
      <c r="H378" s="156" t="str">
        <f t="shared" si="151"/>
        <v>16 fős egyenes kiesés</v>
      </c>
      <c r="I378" s="157" t="str">
        <f>"3"</f>
        <v>3</v>
      </c>
      <c r="J378" s="156" t="str">
        <f>"Makai Mór"</f>
        <v>Makai Mór</v>
      </c>
      <c r="K378" s="156" t="str">
        <f>"Victory"</f>
        <v>Victory</v>
      </c>
      <c r="L378" s="156" t="str">
        <f t="shared" si="135"/>
        <v>HUN</v>
      </c>
      <c r="M378" s="163">
        <v>4</v>
      </c>
      <c r="O378" s="154" t="s">
        <v>248</v>
      </c>
      <c r="P378" s="159">
        <v>46088</v>
      </c>
      <c r="Q378" s="154" t="str">
        <f t="shared" si="136"/>
        <v>Makai Mór - Victory</v>
      </c>
      <c r="R378" s="154" t="s">
        <v>636</v>
      </c>
      <c r="S378" s="154" t="str">
        <f t="shared" si="137"/>
        <v>Victory</v>
      </c>
      <c r="T378" s="154" t="s">
        <v>645</v>
      </c>
      <c r="U378" s="154" t="s">
        <v>796</v>
      </c>
      <c r="V378" s="154"/>
    </row>
    <row r="379" spans="1:22" s="158" customFormat="1" x14ac:dyDescent="0.3">
      <c r="A379" s="154" t="s">
        <v>776</v>
      </c>
      <c r="B379" s="155">
        <v>2</v>
      </c>
      <c r="C379" s="154">
        <v>304</v>
      </c>
      <c r="D379" s="156" t="str">
        <f t="shared" si="148"/>
        <v>Kumite</v>
      </c>
      <c r="E379" s="156" t="str">
        <f t="shared" si="149"/>
        <v>Kumite, -, 0-35 kg, Gyerek 2. (11-12</v>
      </c>
      <c r="F379" s="156" t="s">
        <v>512</v>
      </c>
      <c r="G379" s="157" t="str">
        <f t="shared" si="150"/>
        <v>11</v>
      </c>
      <c r="H379" s="156" t="str">
        <f t="shared" si="151"/>
        <v>16 fős egyenes kiesés</v>
      </c>
      <c r="I379" s="157" t="str">
        <f>"5"</f>
        <v>5</v>
      </c>
      <c r="J379" s="156" t="str">
        <f>"Kis Olivér"</f>
        <v>Kis Olivér</v>
      </c>
      <c r="K379" s="156" t="str">
        <f>"KYO Fighter SE"</f>
        <v>KYO Fighter SE</v>
      </c>
      <c r="L379" s="156" t="str">
        <f t="shared" si="135"/>
        <v>HUN</v>
      </c>
      <c r="M379" s="163">
        <v>2</v>
      </c>
      <c r="O379" s="154" t="s">
        <v>248</v>
      </c>
      <c r="P379" s="159">
        <v>46088</v>
      </c>
      <c r="Q379" s="154" t="str">
        <f t="shared" si="136"/>
        <v>Kis Olivér - KYO Fighter SE</v>
      </c>
      <c r="R379" s="154" t="s">
        <v>636</v>
      </c>
      <c r="S379" s="154" t="str">
        <f t="shared" si="137"/>
        <v>KYO Fighter SE</v>
      </c>
      <c r="T379" s="154" t="s">
        <v>645</v>
      </c>
      <c r="U379" s="154" t="s">
        <v>796</v>
      </c>
      <c r="V379" s="154"/>
    </row>
    <row r="380" spans="1:22" s="158" customFormat="1" x14ac:dyDescent="0.3">
      <c r="A380" s="154" t="s">
        <v>776</v>
      </c>
      <c r="B380" s="155">
        <v>2</v>
      </c>
      <c r="C380" s="154">
        <v>305</v>
      </c>
      <c r="D380" s="156" t="str">
        <f t="shared" si="148"/>
        <v>Kumite</v>
      </c>
      <c r="E380" s="156" t="str">
        <f t="shared" si="149"/>
        <v>Kumite, -, 0-35 kg, Gyerek 2. (11-12</v>
      </c>
      <c r="F380" s="156" t="s">
        <v>512</v>
      </c>
      <c r="G380" s="157" t="str">
        <f t="shared" si="150"/>
        <v>11</v>
      </c>
      <c r="H380" s="156" t="str">
        <f t="shared" si="151"/>
        <v>16 fős egyenes kiesés</v>
      </c>
      <c r="I380" s="157" t="str">
        <f>"6"</f>
        <v>6</v>
      </c>
      <c r="J380" s="156" t="str">
        <f>"Berényi Milán"</f>
        <v>Berényi Milán</v>
      </c>
      <c r="K380" s="156" t="str">
        <f>"Shogun"</f>
        <v>Shogun</v>
      </c>
      <c r="L380" s="156" t="str">
        <f t="shared" si="135"/>
        <v>HUN</v>
      </c>
      <c r="M380" s="163">
        <v>0</v>
      </c>
      <c r="N380" s="158" t="s">
        <v>704</v>
      </c>
      <c r="O380" s="154" t="s">
        <v>248</v>
      </c>
      <c r="P380" s="159">
        <v>46088</v>
      </c>
      <c r="Q380" s="154" t="str">
        <f t="shared" si="136"/>
        <v>Berényi Milán - Shogun</v>
      </c>
      <c r="R380" s="154" t="s">
        <v>636</v>
      </c>
      <c r="S380" s="154" t="str">
        <f t="shared" si="137"/>
        <v>Shogun</v>
      </c>
      <c r="T380" s="154" t="s">
        <v>645</v>
      </c>
      <c r="U380" s="154" t="s">
        <v>796</v>
      </c>
      <c r="V380" s="154"/>
    </row>
    <row r="381" spans="1:22" s="158" customFormat="1" x14ac:dyDescent="0.3">
      <c r="A381" s="154" t="s">
        <v>776</v>
      </c>
      <c r="B381" s="155">
        <v>2</v>
      </c>
      <c r="C381" s="154">
        <v>306</v>
      </c>
      <c r="D381" s="156" t="str">
        <f t="shared" si="148"/>
        <v>Kumite</v>
      </c>
      <c r="E381" s="156" t="str">
        <f t="shared" si="149"/>
        <v>Kumite, -, 0-35 kg, Gyerek 2. (11-12</v>
      </c>
      <c r="F381" s="156" t="s">
        <v>512</v>
      </c>
      <c r="G381" s="157" t="str">
        <f t="shared" si="150"/>
        <v>11</v>
      </c>
      <c r="H381" s="156" t="str">
        <f t="shared" si="151"/>
        <v>16 fős egyenes kiesés</v>
      </c>
      <c r="I381" s="157" t="str">
        <f>"7-8"</f>
        <v>7-8</v>
      </c>
      <c r="J381" s="156" t="str">
        <f>"Pajkos Dominik"</f>
        <v>Pajkos Dominik</v>
      </c>
      <c r="K381" s="156" t="str">
        <f>"Shogun"</f>
        <v>Shogun</v>
      </c>
      <c r="L381" s="156" t="str">
        <f t="shared" si="135"/>
        <v>HUN</v>
      </c>
      <c r="M381" s="163">
        <v>0</v>
      </c>
      <c r="N381" s="158" t="s">
        <v>704</v>
      </c>
      <c r="O381" s="154" t="s">
        <v>248</v>
      </c>
      <c r="P381" s="159">
        <v>46088</v>
      </c>
      <c r="Q381" s="154" t="str">
        <f t="shared" si="136"/>
        <v>Pajkos Dominik - Shogun</v>
      </c>
      <c r="R381" s="154" t="s">
        <v>636</v>
      </c>
      <c r="S381" s="154" t="str">
        <f t="shared" si="137"/>
        <v>Shogun</v>
      </c>
      <c r="T381" s="154" t="s">
        <v>645</v>
      </c>
      <c r="U381" s="154" t="s">
        <v>796</v>
      </c>
      <c r="V381" s="154"/>
    </row>
    <row r="382" spans="1:22" s="158" customFormat="1" x14ac:dyDescent="0.3">
      <c r="A382" s="154" t="s">
        <v>776</v>
      </c>
      <c r="B382" s="155">
        <v>2</v>
      </c>
      <c r="C382" s="154">
        <v>307</v>
      </c>
      <c r="D382" s="156" t="str">
        <f t="shared" si="148"/>
        <v>Kumite</v>
      </c>
      <c r="E382" s="156" t="str">
        <f t="shared" si="149"/>
        <v>Kumite, -, 0-35 kg, Gyerek 2. (11-12</v>
      </c>
      <c r="F382" s="156" t="s">
        <v>512</v>
      </c>
      <c r="G382" s="157" t="str">
        <f t="shared" si="150"/>
        <v>11</v>
      </c>
      <c r="H382" s="156" t="str">
        <f t="shared" si="151"/>
        <v>16 fős egyenes kiesés</v>
      </c>
      <c r="I382" s="157" t="str">
        <f>"7-8"</f>
        <v>7-8</v>
      </c>
      <c r="J382" s="156" t="str">
        <f>"Ungai Csaba"</f>
        <v>Ungai Csaba</v>
      </c>
      <c r="K382" s="156" t="str">
        <f>"Hajdúszoboszló"</f>
        <v>Hajdúszoboszló</v>
      </c>
      <c r="L382" s="156" t="str">
        <f t="shared" si="135"/>
        <v>HUN</v>
      </c>
      <c r="M382" s="163">
        <v>2</v>
      </c>
      <c r="O382" s="154" t="s">
        <v>248</v>
      </c>
      <c r="P382" s="159">
        <v>46088</v>
      </c>
      <c r="Q382" s="154" t="str">
        <f t="shared" si="136"/>
        <v>Ungai Csaba - Hajdúszoboszló</v>
      </c>
      <c r="R382" s="154" t="s">
        <v>636</v>
      </c>
      <c r="S382" s="154" t="str">
        <f t="shared" si="137"/>
        <v>Hajdúszoboszló</v>
      </c>
      <c r="T382" s="154" t="s">
        <v>645</v>
      </c>
      <c r="U382" s="154" t="s">
        <v>796</v>
      </c>
      <c r="V382" s="154"/>
    </row>
    <row r="383" spans="1:22" s="158" customFormat="1" x14ac:dyDescent="0.3">
      <c r="A383" s="154" t="s">
        <v>776</v>
      </c>
      <c r="B383" s="155">
        <v>2</v>
      </c>
      <c r="C383" s="154">
        <v>308</v>
      </c>
      <c r="D383" s="156" t="str">
        <f t="shared" si="148"/>
        <v>Kumite</v>
      </c>
      <c r="E383" s="156" t="str">
        <f t="shared" si="149"/>
        <v>Kumite, -, 0-35 kg, Gyerek 2. (11-12</v>
      </c>
      <c r="F383" s="156" t="s">
        <v>512</v>
      </c>
      <c r="G383" s="157" t="str">
        <f t="shared" si="150"/>
        <v>11</v>
      </c>
      <c r="H383" s="156" t="str">
        <f t="shared" si="151"/>
        <v>16 fős egyenes kiesés</v>
      </c>
      <c r="I383" s="157" t="str">
        <f>"11-16"</f>
        <v>11-16</v>
      </c>
      <c r="J383" s="156" t="str">
        <f>"Török Márton Ignác"</f>
        <v>Török Márton Ignác</v>
      </c>
      <c r="K383" s="156" t="str">
        <f>"Kelemen-Team"</f>
        <v>Kelemen-Team</v>
      </c>
      <c r="L383" s="156" t="str">
        <f t="shared" si="135"/>
        <v>HUN</v>
      </c>
      <c r="M383" s="163">
        <v>0</v>
      </c>
      <c r="O383" s="154" t="s">
        <v>248</v>
      </c>
      <c r="P383" s="159">
        <v>46088</v>
      </c>
      <c r="Q383" s="154" t="str">
        <f t="shared" si="136"/>
        <v>Török Márton Ignác - Kelemen-Team</v>
      </c>
      <c r="R383" s="154" t="s">
        <v>636</v>
      </c>
      <c r="S383" s="154" t="str">
        <f t="shared" si="137"/>
        <v>Kelemen-Team</v>
      </c>
      <c r="T383" s="154" t="s">
        <v>645</v>
      </c>
      <c r="U383" s="154" t="s">
        <v>796</v>
      </c>
      <c r="V383" s="154"/>
    </row>
    <row r="384" spans="1:22" s="158" customFormat="1" x14ac:dyDescent="0.3">
      <c r="A384" s="154" t="s">
        <v>776</v>
      </c>
      <c r="B384" s="155">
        <v>2</v>
      </c>
      <c r="C384" s="154">
        <v>309</v>
      </c>
      <c r="D384" s="156" t="str">
        <f t="shared" si="148"/>
        <v>Kumite</v>
      </c>
      <c r="E384" s="156" t="str">
        <f t="shared" si="149"/>
        <v>Kumite, -, 0-35 kg, Gyerek 2. (11-12</v>
      </c>
      <c r="F384" s="156" t="s">
        <v>512</v>
      </c>
      <c r="G384" s="157" t="str">
        <f t="shared" si="150"/>
        <v>11</v>
      </c>
      <c r="H384" s="156" t="str">
        <f t="shared" si="151"/>
        <v>16 fős egyenes kiesés</v>
      </c>
      <c r="I384" s="157" t="str">
        <f>"11-16"</f>
        <v>11-16</v>
      </c>
      <c r="J384" s="156" t="str">
        <f>"Gulya Mátyás János"</f>
        <v>Gulya Mátyás János</v>
      </c>
      <c r="K384" s="156" t="str">
        <f>"Kelemen-Team"</f>
        <v>Kelemen-Team</v>
      </c>
      <c r="L384" s="156" t="str">
        <f t="shared" si="135"/>
        <v>HUN</v>
      </c>
      <c r="M384" s="163">
        <v>0</v>
      </c>
      <c r="O384" s="154" t="s">
        <v>248</v>
      </c>
      <c r="P384" s="159">
        <v>46088</v>
      </c>
      <c r="Q384" s="154" t="str">
        <f t="shared" si="136"/>
        <v>Gulya Mátyás János - Kelemen-Team</v>
      </c>
      <c r="R384" s="154" t="s">
        <v>636</v>
      </c>
      <c r="S384" s="154" t="str">
        <f t="shared" si="137"/>
        <v>Kelemen-Team</v>
      </c>
      <c r="T384" s="154" t="s">
        <v>645</v>
      </c>
      <c r="U384" s="154" t="s">
        <v>796</v>
      </c>
      <c r="V384" s="154"/>
    </row>
    <row r="385" spans="1:22" s="158" customFormat="1" x14ac:dyDescent="0.3">
      <c r="A385" s="154" t="s">
        <v>776</v>
      </c>
      <c r="B385" s="155">
        <v>2</v>
      </c>
      <c r="C385" s="154">
        <v>310</v>
      </c>
      <c r="D385" s="156" t="str">
        <f t="shared" si="148"/>
        <v>Kumite</v>
      </c>
      <c r="E385" s="156" t="str">
        <f t="shared" si="149"/>
        <v>Kumite, -, 0-35 kg, Gyerek 2. (11-12</v>
      </c>
      <c r="F385" s="156" t="s">
        <v>512</v>
      </c>
      <c r="G385" s="157" t="str">
        <f t="shared" si="150"/>
        <v>11</v>
      </c>
      <c r="H385" s="156" t="str">
        <f t="shared" si="151"/>
        <v>16 fős egyenes kiesés</v>
      </c>
      <c r="I385" s="157" t="str">
        <f>"11-16"</f>
        <v>11-16</v>
      </c>
      <c r="J385" s="156" t="str">
        <f>"Jaksa György"</f>
        <v>Jaksa György</v>
      </c>
      <c r="K385" s="156" t="str">
        <f>"Victory"</f>
        <v>Victory</v>
      </c>
      <c r="L385" s="156" t="str">
        <f t="shared" si="135"/>
        <v>HUN</v>
      </c>
      <c r="M385" s="163">
        <v>0</v>
      </c>
      <c r="O385" s="154" t="s">
        <v>248</v>
      </c>
      <c r="P385" s="159">
        <v>46088</v>
      </c>
      <c r="Q385" s="154" t="str">
        <f t="shared" si="136"/>
        <v>Jaksa György - Victory</v>
      </c>
      <c r="R385" s="154" t="s">
        <v>636</v>
      </c>
      <c r="S385" s="154" t="str">
        <f t="shared" si="137"/>
        <v>Victory</v>
      </c>
      <c r="T385" s="154" t="s">
        <v>645</v>
      </c>
      <c r="U385" s="154" t="s">
        <v>796</v>
      </c>
      <c r="V385" s="154"/>
    </row>
    <row r="386" spans="1:22" s="158" customFormat="1" x14ac:dyDescent="0.3">
      <c r="A386" s="154" t="s">
        <v>776</v>
      </c>
      <c r="B386" s="155">
        <v>2</v>
      </c>
      <c r="C386" s="154">
        <v>311</v>
      </c>
      <c r="D386" s="156" t="str">
        <f t="shared" si="148"/>
        <v>Kumite</v>
      </c>
      <c r="E386" s="156" t="str">
        <f>"Kumite, -, 35-40 kg, Gyerek 2. (11-12"</f>
        <v>Kumite, -, 35-40 kg, Gyerek 2. (11-12</v>
      </c>
      <c r="F386" s="156" t="s">
        <v>518</v>
      </c>
      <c r="G386" s="157" t="str">
        <f>"5"</f>
        <v>5</v>
      </c>
      <c r="H386" s="156" t="str">
        <f>"5 fős körmérkőzés"</f>
        <v>5 fős körmérkőzés</v>
      </c>
      <c r="I386" s="157" t="str">
        <f>"1"</f>
        <v>1</v>
      </c>
      <c r="J386" s="156" t="str">
        <f>"Sádt Zénó"</f>
        <v>Sádt Zénó</v>
      </c>
      <c r="K386" s="156" t="str">
        <f>"Buke Reikon HRSE"</f>
        <v>Buke Reikon HRSE</v>
      </c>
      <c r="L386" s="156" t="str">
        <f t="shared" si="135"/>
        <v>HUN</v>
      </c>
      <c r="M386" s="163">
        <v>8</v>
      </c>
      <c r="O386" s="154" t="s">
        <v>248</v>
      </c>
      <c r="P386" s="159">
        <v>46088</v>
      </c>
      <c r="Q386" s="154" t="str">
        <f t="shared" si="136"/>
        <v>Sádt Zénó - Buke Reikon HRSE</v>
      </c>
      <c r="R386" s="154" t="s">
        <v>636</v>
      </c>
      <c r="S386" s="154" t="str">
        <f t="shared" si="137"/>
        <v>Buke Reikon HRSE</v>
      </c>
      <c r="T386" s="154" t="s">
        <v>645</v>
      </c>
      <c r="U386" s="154" t="s">
        <v>796</v>
      </c>
      <c r="V386" s="154"/>
    </row>
    <row r="387" spans="1:22" s="158" customFormat="1" x14ac:dyDescent="0.3">
      <c r="A387" s="154" t="s">
        <v>776</v>
      </c>
      <c r="B387" s="155">
        <v>2</v>
      </c>
      <c r="C387" s="154">
        <v>313</v>
      </c>
      <c r="D387" s="156" t="str">
        <f t="shared" si="148"/>
        <v>Kumite</v>
      </c>
      <c r="E387" s="156" t="str">
        <f t="shared" ref="E387:E390" si="152">"Kumite, -, 35-40 kg, Gyerek 2. (11-12"</f>
        <v>Kumite, -, 35-40 kg, Gyerek 2. (11-12</v>
      </c>
      <c r="F387" s="156" t="s">
        <v>518</v>
      </c>
      <c r="G387" s="157" t="str">
        <f t="shared" ref="G387:G390" si="153">"5"</f>
        <v>5</v>
      </c>
      <c r="H387" s="156" t="str">
        <f t="shared" ref="H387:H390" si="154">"5 fős körmérkőzés"</f>
        <v>5 fős körmérkőzés</v>
      </c>
      <c r="I387" s="157">
        <v>2</v>
      </c>
      <c r="J387" s="156" t="s">
        <v>804</v>
      </c>
      <c r="K387" s="156" t="s">
        <v>14</v>
      </c>
      <c r="L387" s="156" t="str">
        <f t="shared" si="135"/>
        <v>HUN</v>
      </c>
      <c r="M387" s="163">
        <v>6</v>
      </c>
      <c r="O387" s="154" t="s">
        <v>248</v>
      </c>
      <c r="P387" s="159">
        <v>46088</v>
      </c>
      <c r="Q387" s="154" t="str">
        <f>J387&amp;" - "&amp;K387</f>
        <v>Eszenyi Barnabás - Shogun</v>
      </c>
      <c r="R387" s="154" t="s">
        <v>636</v>
      </c>
      <c r="S387" s="154" t="str">
        <f>K387</f>
        <v>Shogun</v>
      </c>
      <c r="T387" s="154" t="s">
        <v>645</v>
      </c>
      <c r="U387" s="154" t="s">
        <v>796</v>
      </c>
      <c r="V387" s="154"/>
    </row>
    <row r="388" spans="1:22" s="158" customFormat="1" x14ac:dyDescent="0.3">
      <c r="A388" s="154" t="s">
        <v>776</v>
      </c>
      <c r="B388" s="155">
        <v>2</v>
      </c>
      <c r="C388" s="154">
        <v>312</v>
      </c>
      <c r="D388" s="156" t="str">
        <f t="shared" si="148"/>
        <v>Kumite</v>
      </c>
      <c r="E388" s="156" t="str">
        <f>"Kumite, -, 35-40 kg, Gyerek 2. (11-12"</f>
        <v>Kumite, -, 35-40 kg, Gyerek 2. (11-12</v>
      </c>
      <c r="F388" s="156" t="s">
        <v>518</v>
      </c>
      <c r="G388" s="157" t="str">
        <f>"5"</f>
        <v>5</v>
      </c>
      <c r="H388" s="156" t="str">
        <f>"5 fős körmérkőzés"</f>
        <v>5 fős körmérkőzés</v>
      </c>
      <c r="I388" s="157">
        <v>3</v>
      </c>
      <c r="J388" s="156" t="str">
        <f>"Héder Patrik"</f>
        <v>Héder Patrik</v>
      </c>
      <c r="K388" s="156" t="str">
        <f>"Bátor KSE"</f>
        <v>Bátor KSE</v>
      </c>
      <c r="L388" s="156" t="str">
        <f t="shared" si="135"/>
        <v>HUN</v>
      </c>
      <c r="M388" s="163">
        <v>4</v>
      </c>
      <c r="O388" s="154" t="s">
        <v>248</v>
      </c>
      <c r="P388" s="159">
        <v>46088</v>
      </c>
      <c r="Q388" s="154" t="str">
        <f t="shared" si="136"/>
        <v>Héder Patrik - Bátor KSE</v>
      </c>
      <c r="R388" s="154" t="s">
        <v>636</v>
      </c>
      <c r="S388" s="154" t="str">
        <f t="shared" si="137"/>
        <v>Bátor KSE</v>
      </c>
      <c r="T388" s="154" t="s">
        <v>645</v>
      </c>
      <c r="U388" s="154" t="s">
        <v>796</v>
      </c>
      <c r="V388" s="154"/>
    </row>
    <row r="389" spans="1:22" s="158" customFormat="1" x14ac:dyDescent="0.3">
      <c r="A389" s="154" t="s">
        <v>776</v>
      </c>
      <c r="B389" s="155">
        <v>2</v>
      </c>
      <c r="C389" s="154">
        <v>313</v>
      </c>
      <c r="D389" s="156" t="str">
        <f t="shared" si="148"/>
        <v>Kumite</v>
      </c>
      <c r="E389" s="156" t="str">
        <f>"Kumite, -, 35-40 kg, Gyerek 2. (11-12"</f>
        <v>Kumite, -, 35-40 kg, Gyerek 2. (11-12</v>
      </c>
      <c r="F389" s="156" t="s">
        <v>518</v>
      </c>
      <c r="G389" s="157" t="str">
        <f>"5"</f>
        <v>5</v>
      </c>
      <c r="H389" s="156" t="str">
        <f>"5 fős körmérkőzés"</f>
        <v>5 fős körmérkőzés</v>
      </c>
      <c r="I389" s="157">
        <v>4</v>
      </c>
      <c r="J389" s="156" t="str">
        <f>"Kiss Adrián"</f>
        <v>Kiss Adrián</v>
      </c>
      <c r="K389" s="156" t="str">
        <f>"Keizoku SE"</f>
        <v>Keizoku SE</v>
      </c>
      <c r="L389" s="156" t="str">
        <f t="shared" si="135"/>
        <v>HUN</v>
      </c>
      <c r="M389" s="163">
        <v>3</v>
      </c>
      <c r="O389" s="154" t="s">
        <v>248</v>
      </c>
      <c r="P389" s="159">
        <v>46088</v>
      </c>
      <c r="Q389" s="154" t="str">
        <f>J389&amp;" - "&amp;K389</f>
        <v>Kiss Adrián - Keizoku SE</v>
      </c>
      <c r="R389" s="154" t="s">
        <v>636</v>
      </c>
      <c r="S389" s="154" t="str">
        <f>K389</f>
        <v>Keizoku SE</v>
      </c>
      <c r="T389" s="154" t="s">
        <v>645</v>
      </c>
      <c r="U389" s="154" t="s">
        <v>796</v>
      </c>
      <c r="V389" s="154"/>
    </row>
    <row r="390" spans="1:22" s="158" customFormat="1" x14ac:dyDescent="0.3">
      <c r="A390" s="154" t="s">
        <v>776</v>
      </c>
      <c r="B390" s="155">
        <v>2</v>
      </c>
      <c r="C390" s="154">
        <v>313</v>
      </c>
      <c r="D390" s="156" t="str">
        <f t="shared" si="148"/>
        <v>Kumite</v>
      </c>
      <c r="E390" s="156" t="str">
        <f t="shared" si="152"/>
        <v>Kumite, -, 35-40 kg, Gyerek 2. (11-12</v>
      </c>
      <c r="F390" s="156" t="s">
        <v>518</v>
      </c>
      <c r="G390" s="157" t="str">
        <f t="shared" si="153"/>
        <v>5</v>
      </c>
      <c r="H390" s="156" t="str">
        <f t="shared" si="154"/>
        <v>5 fős körmérkőzés</v>
      </c>
      <c r="I390" s="157">
        <v>5</v>
      </c>
      <c r="J390" s="156" t="s">
        <v>445</v>
      </c>
      <c r="K390" s="156" t="str">
        <f t="shared" ref="K390" si="155">"Keizoku SE"</f>
        <v>Keizoku SE</v>
      </c>
      <c r="L390" s="156" t="str">
        <f t="shared" si="135"/>
        <v>HUN</v>
      </c>
      <c r="M390" s="163">
        <v>2</v>
      </c>
      <c r="O390" s="154" t="s">
        <v>248</v>
      </c>
      <c r="P390" s="159">
        <v>46088</v>
      </c>
      <c r="Q390" s="154" t="str">
        <f t="shared" ref="Q390" si="156">J390&amp;" - "&amp;K390</f>
        <v>Hegedűs Botond - Keizoku SE</v>
      </c>
      <c r="R390" s="154" t="s">
        <v>636</v>
      </c>
      <c r="S390" s="154" t="str">
        <f t="shared" ref="S390" si="157">K390</f>
        <v>Keizoku SE</v>
      </c>
      <c r="T390" s="154" t="s">
        <v>645</v>
      </c>
      <c r="U390" s="154" t="s">
        <v>796</v>
      </c>
      <c r="V390" s="154"/>
    </row>
    <row r="391" spans="1:22" s="158" customFormat="1" x14ac:dyDescent="0.3">
      <c r="A391" s="154" t="s">
        <v>776</v>
      </c>
      <c r="B391" s="155">
        <v>2</v>
      </c>
      <c r="C391" s="154">
        <v>314</v>
      </c>
      <c r="D391" s="156" t="str">
        <f t="shared" si="148"/>
        <v>Kumite</v>
      </c>
      <c r="E391" s="156" t="str">
        <f t="shared" ref="E391:E401" si="158">"Kumite, -, 45-55 kg, Gyerek 2. (11-12"</f>
        <v>Kumite, -, 45-55 kg, Gyerek 2. (11-12</v>
      </c>
      <c r="F391" s="156" t="s">
        <v>522</v>
      </c>
      <c r="G391" s="157" t="str">
        <f t="shared" ref="G391:G401" si="159">"11"</f>
        <v>11</v>
      </c>
      <c r="H391" s="156" t="str">
        <f t="shared" ref="H391:H410" si="160">"16 fős egyenes kiesés"</f>
        <v>16 fős egyenes kiesés</v>
      </c>
      <c r="I391" s="157" t="str">
        <f>"1"</f>
        <v>1</v>
      </c>
      <c r="J391" s="156" t="str">
        <f>"Zeke Dávid"</f>
        <v>Zeke Dávid</v>
      </c>
      <c r="K391" s="156" t="str">
        <f>"Kelemen-Team"</f>
        <v>Kelemen-Team</v>
      </c>
      <c r="L391" s="156" t="str">
        <f t="shared" si="135"/>
        <v>HUN</v>
      </c>
      <c r="M391" s="163">
        <v>8</v>
      </c>
      <c r="O391" s="154" t="s">
        <v>248</v>
      </c>
      <c r="P391" s="159">
        <v>46088</v>
      </c>
      <c r="Q391" s="154" t="str">
        <f t="shared" si="136"/>
        <v>Zeke Dávid - Kelemen-Team</v>
      </c>
      <c r="R391" s="154" t="s">
        <v>636</v>
      </c>
      <c r="S391" s="154" t="str">
        <f t="shared" si="137"/>
        <v>Kelemen-Team</v>
      </c>
      <c r="T391" s="154" t="s">
        <v>645</v>
      </c>
      <c r="U391" s="154" t="s">
        <v>796</v>
      </c>
      <c r="V391" s="154"/>
    </row>
    <row r="392" spans="1:22" s="158" customFormat="1" x14ac:dyDescent="0.3">
      <c r="A392" s="154" t="s">
        <v>776</v>
      </c>
      <c r="B392" s="155">
        <v>2</v>
      </c>
      <c r="C392" s="154">
        <v>315</v>
      </c>
      <c r="D392" s="156" t="str">
        <f t="shared" si="148"/>
        <v>Kumite</v>
      </c>
      <c r="E392" s="156" t="str">
        <f t="shared" si="158"/>
        <v>Kumite, -, 45-55 kg, Gyerek 2. (11-12</v>
      </c>
      <c r="F392" s="156" t="s">
        <v>522</v>
      </c>
      <c r="G392" s="157" t="str">
        <f t="shared" si="159"/>
        <v>11</v>
      </c>
      <c r="H392" s="156" t="str">
        <f t="shared" si="160"/>
        <v>16 fős egyenes kiesés</v>
      </c>
      <c r="I392" s="157" t="str">
        <f>"2"</f>
        <v>2</v>
      </c>
      <c r="J392" s="156" t="str">
        <f>"Némethy Balázs"</f>
        <v>Némethy Balázs</v>
      </c>
      <c r="K392" s="156" t="str">
        <f>"Shogun"</f>
        <v>Shogun</v>
      </c>
      <c r="L392" s="156" t="str">
        <f t="shared" si="135"/>
        <v>HUN</v>
      </c>
      <c r="M392" s="163">
        <v>6</v>
      </c>
      <c r="O392" s="154" t="s">
        <v>248</v>
      </c>
      <c r="P392" s="159">
        <v>46088</v>
      </c>
      <c r="Q392" s="154" t="str">
        <f t="shared" si="136"/>
        <v>Némethy Balázs - Shogun</v>
      </c>
      <c r="R392" s="154" t="s">
        <v>636</v>
      </c>
      <c r="S392" s="154" t="str">
        <f t="shared" si="137"/>
        <v>Shogun</v>
      </c>
      <c r="T392" s="154" t="s">
        <v>645</v>
      </c>
      <c r="U392" s="154" t="s">
        <v>796</v>
      </c>
      <c r="V392" s="154"/>
    </row>
    <row r="393" spans="1:22" s="158" customFormat="1" x14ac:dyDescent="0.3">
      <c r="A393" s="154" t="s">
        <v>776</v>
      </c>
      <c r="B393" s="155">
        <v>2</v>
      </c>
      <c r="C393" s="154">
        <v>316</v>
      </c>
      <c r="D393" s="156" t="str">
        <f t="shared" si="148"/>
        <v>Kumite</v>
      </c>
      <c r="E393" s="156" t="str">
        <f t="shared" si="158"/>
        <v>Kumite, -, 45-55 kg, Gyerek 2. (11-12</v>
      </c>
      <c r="F393" s="156" t="s">
        <v>522</v>
      </c>
      <c r="G393" s="157" t="str">
        <f t="shared" si="159"/>
        <v>11</v>
      </c>
      <c r="H393" s="156" t="str">
        <f t="shared" si="160"/>
        <v>16 fős egyenes kiesés</v>
      </c>
      <c r="I393" s="157" t="str">
        <f>"3"</f>
        <v>3</v>
      </c>
      <c r="J393" s="156" t="str">
        <f>"Farkas Kristóf"</f>
        <v>Farkas Kristóf</v>
      </c>
      <c r="K393" s="156" t="str">
        <f>"Buke Reikon HRSE"</f>
        <v>Buke Reikon HRSE</v>
      </c>
      <c r="L393" s="156" t="str">
        <f t="shared" si="135"/>
        <v>HUN</v>
      </c>
      <c r="M393" s="163">
        <v>4</v>
      </c>
      <c r="O393" s="154" t="s">
        <v>248</v>
      </c>
      <c r="P393" s="159">
        <v>46088</v>
      </c>
      <c r="Q393" s="154" t="str">
        <f t="shared" si="136"/>
        <v>Farkas Kristóf - Buke Reikon HRSE</v>
      </c>
      <c r="R393" s="154" t="s">
        <v>636</v>
      </c>
      <c r="S393" s="154" t="str">
        <f t="shared" si="137"/>
        <v>Buke Reikon HRSE</v>
      </c>
      <c r="T393" s="154" t="s">
        <v>645</v>
      </c>
      <c r="U393" s="154" t="s">
        <v>796</v>
      </c>
      <c r="V393" s="154"/>
    </row>
    <row r="394" spans="1:22" s="158" customFormat="1" x14ac:dyDescent="0.3">
      <c r="A394" s="154" t="s">
        <v>776</v>
      </c>
      <c r="B394" s="155">
        <v>2</v>
      </c>
      <c r="C394" s="154">
        <v>317</v>
      </c>
      <c r="D394" s="156" t="str">
        <f t="shared" si="148"/>
        <v>Kumite</v>
      </c>
      <c r="E394" s="156" t="str">
        <f t="shared" si="158"/>
        <v>Kumite, -, 45-55 kg, Gyerek 2. (11-12</v>
      </c>
      <c r="F394" s="156" t="s">
        <v>522</v>
      </c>
      <c r="G394" s="157" t="str">
        <f t="shared" si="159"/>
        <v>11</v>
      </c>
      <c r="H394" s="156" t="str">
        <f t="shared" si="160"/>
        <v>16 fős egyenes kiesés</v>
      </c>
      <c r="I394" s="157" t="str">
        <f>"3"</f>
        <v>3</v>
      </c>
      <c r="J394" s="156" t="str">
        <f>"Szabó Zsombor"</f>
        <v>Szabó Zsombor</v>
      </c>
      <c r="K394" s="156" t="str">
        <f>"Buke Reikon HRSE"</f>
        <v>Buke Reikon HRSE</v>
      </c>
      <c r="L394" s="156" t="str">
        <f t="shared" si="135"/>
        <v>HUN</v>
      </c>
      <c r="M394" s="163">
        <v>4</v>
      </c>
      <c r="O394" s="154" t="s">
        <v>248</v>
      </c>
      <c r="P394" s="159">
        <v>46088</v>
      </c>
      <c r="Q394" s="154" t="str">
        <f t="shared" si="136"/>
        <v>Szabó Zsombor - Buke Reikon HRSE</v>
      </c>
      <c r="R394" s="154" t="s">
        <v>636</v>
      </c>
      <c r="S394" s="154" t="str">
        <f t="shared" si="137"/>
        <v>Buke Reikon HRSE</v>
      </c>
      <c r="T394" s="154" t="s">
        <v>645</v>
      </c>
      <c r="U394" s="154" t="s">
        <v>796</v>
      </c>
      <c r="V394" s="154"/>
    </row>
    <row r="395" spans="1:22" s="158" customFormat="1" x14ac:dyDescent="0.3">
      <c r="A395" s="154" t="s">
        <v>776</v>
      </c>
      <c r="B395" s="155">
        <v>2</v>
      </c>
      <c r="C395" s="154">
        <v>318</v>
      </c>
      <c r="D395" s="156" t="str">
        <f t="shared" si="148"/>
        <v>Kumite</v>
      </c>
      <c r="E395" s="156" t="str">
        <f t="shared" si="158"/>
        <v>Kumite, -, 45-55 kg, Gyerek 2. (11-12</v>
      </c>
      <c r="F395" s="156" t="s">
        <v>522</v>
      </c>
      <c r="G395" s="157" t="str">
        <f t="shared" si="159"/>
        <v>11</v>
      </c>
      <c r="H395" s="156" t="str">
        <f t="shared" si="160"/>
        <v>16 fős egyenes kiesés</v>
      </c>
      <c r="I395" s="157" t="str">
        <f>"5"</f>
        <v>5</v>
      </c>
      <c r="J395" s="156" t="str">
        <f>"Zádori Zénó "</f>
        <v xml:space="preserve">Zádori Zénó </v>
      </c>
      <c r="K395" s="156" t="str">
        <f>"Buke Reikon HRSE"</f>
        <v>Buke Reikon HRSE</v>
      </c>
      <c r="L395" s="156" t="str">
        <f t="shared" si="135"/>
        <v>HUN</v>
      </c>
      <c r="M395" s="163">
        <v>0</v>
      </c>
      <c r="N395" s="158" t="s">
        <v>704</v>
      </c>
      <c r="O395" s="154" t="s">
        <v>248</v>
      </c>
      <c r="P395" s="159">
        <v>46088</v>
      </c>
      <c r="Q395" s="154" t="str">
        <f t="shared" si="136"/>
        <v>Zádori Zénó  - Buke Reikon HRSE</v>
      </c>
      <c r="R395" s="154" t="s">
        <v>636</v>
      </c>
      <c r="S395" s="154" t="str">
        <f t="shared" si="137"/>
        <v>Buke Reikon HRSE</v>
      </c>
      <c r="T395" s="154" t="s">
        <v>645</v>
      </c>
      <c r="U395" s="154" t="s">
        <v>796</v>
      </c>
      <c r="V395" s="154"/>
    </row>
    <row r="396" spans="1:22" s="158" customFormat="1" x14ac:dyDescent="0.3">
      <c r="A396" s="154" t="s">
        <v>776</v>
      </c>
      <c r="B396" s="155">
        <v>2</v>
      </c>
      <c r="C396" s="154">
        <v>319</v>
      </c>
      <c r="D396" s="156" t="str">
        <f t="shared" si="148"/>
        <v>Kumite</v>
      </c>
      <c r="E396" s="156" t="str">
        <f t="shared" si="158"/>
        <v>Kumite, -, 45-55 kg, Gyerek 2. (11-12</v>
      </c>
      <c r="F396" s="156" t="s">
        <v>522</v>
      </c>
      <c r="G396" s="157" t="str">
        <f t="shared" si="159"/>
        <v>11</v>
      </c>
      <c r="H396" s="156" t="str">
        <f t="shared" si="160"/>
        <v>16 fős egyenes kiesés</v>
      </c>
      <c r="I396" s="157" t="str">
        <f>"6"</f>
        <v>6</v>
      </c>
      <c r="J396" s="156" t="str">
        <f>"Sztarek Benett"</f>
        <v>Sztarek Benett</v>
      </c>
      <c r="K396" s="156" t="str">
        <f>"Buke Reikon HRSE"</f>
        <v>Buke Reikon HRSE</v>
      </c>
      <c r="L396" s="156" t="str">
        <f t="shared" si="135"/>
        <v>HUN</v>
      </c>
      <c r="M396" s="163">
        <v>0</v>
      </c>
      <c r="N396" s="158" t="s">
        <v>704</v>
      </c>
      <c r="O396" s="154" t="s">
        <v>248</v>
      </c>
      <c r="P396" s="159">
        <v>46088</v>
      </c>
      <c r="Q396" s="154" t="str">
        <f t="shared" si="136"/>
        <v>Sztarek Benett - Buke Reikon HRSE</v>
      </c>
      <c r="R396" s="154" t="s">
        <v>636</v>
      </c>
      <c r="S396" s="154" t="str">
        <f t="shared" si="137"/>
        <v>Buke Reikon HRSE</v>
      </c>
      <c r="T396" s="154" t="s">
        <v>645</v>
      </c>
      <c r="U396" s="154" t="s">
        <v>796</v>
      </c>
      <c r="V396" s="154"/>
    </row>
    <row r="397" spans="1:22" s="158" customFormat="1" x14ac:dyDescent="0.3">
      <c r="A397" s="154" t="s">
        <v>776</v>
      </c>
      <c r="B397" s="155">
        <v>2</v>
      </c>
      <c r="C397" s="154">
        <v>320</v>
      </c>
      <c r="D397" s="156" t="str">
        <f t="shared" si="148"/>
        <v>Kumite</v>
      </c>
      <c r="E397" s="156" t="str">
        <f t="shared" si="158"/>
        <v>Kumite, -, 45-55 kg, Gyerek 2. (11-12</v>
      </c>
      <c r="F397" s="156" t="s">
        <v>522</v>
      </c>
      <c r="G397" s="157" t="str">
        <f t="shared" si="159"/>
        <v>11</v>
      </c>
      <c r="H397" s="156" t="str">
        <f t="shared" si="160"/>
        <v>16 fős egyenes kiesés</v>
      </c>
      <c r="I397" s="157" t="str">
        <f>"7-8"</f>
        <v>7-8</v>
      </c>
      <c r="J397" s="156" t="str">
        <f>"Kiss István"</f>
        <v>Kiss István</v>
      </c>
      <c r="K397" s="156" t="str">
        <f>"Derecske BUDO"</f>
        <v>Derecske BUDO</v>
      </c>
      <c r="L397" s="156" t="str">
        <f t="shared" si="135"/>
        <v>HUN</v>
      </c>
      <c r="M397" s="163">
        <v>0</v>
      </c>
      <c r="N397" s="158" t="s">
        <v>704</v>
      </c>
      <c r="O397" s="154" t="s">
        <v>248</v>
      </c>
      <c r="P397" s="159">
        <v>46088</v>
      </c>
      <c r="Q397" s="154" t="str">
        <f t="shared" si="136"/>
        <v>Kiss István - Derecske BUDO</v>
      </c>
      <c r="R397" s="154" t="s">
        <v>636</v>
      </c>
      <c r="S397" s="154" t="str">
        <f t="shared" si="137"/>
        <v>Derecske BUDO</v>
      </c>
      <c r="T397" s="154" t="s">
        <v>645</v>
      </c>
      <c r="U397" s="154" t="s">
        <v>796</v>
      </c>
      <c r="V397" s="154"/>
    </row>
    <row r="398" spans="1:22" s="158" customFormat="1" x14ac:dyDescent="0.3">
      <c r="A398" s="154" t="s">
        <v>776</v>
      </c>
      <c r="B398" s="155">
        <v>2</v>
      </c>
      <c r="C398" s="154">
        <v>321</v>
      </c>
      <c r="D398" s="156" t="str">
        <f t="shared" si="148"/>
        <v>Kumite</v>
      </c>
      <c r="E398" s="156" t="str">
        <f t="shared" si="158"/>
        <v>Kumite, -, 45-55 kg, Gyerek 2. (11-12</v>
      </c>
      <c r="F398" s="156" t="s">
        <v>522</v>
      </c>
      <c r="G398" s="157" t="str">
        <f t="shared" si="159"/>
        <v>11</v>
      </c>
      <c r="H398" s="156" t="str">
        <f t="shared" si="160"/>
        <v>16 fős egyenes kiesés</v>
      </c>
      <c r="I398" s="157" t="str">
        <f>"7-8"</f>
        <v>7-8</v>
      </c>
      <c r="J398" s="156" t="str">
        <f>"Kiss Levente"</f>
        <v>Kiss Levente</v>
      </c>
      <c r="K398" s="156" t="str">
        <f>"Derecske BUDO"</f>
        <v>Derecske BUDO</v>
      </c>
      <c r="L398" s="156" t="str">
        <f t="shared" si="135"/>
        <v>HUN</v>
      </c>
      <c r="M398" s="163">
        <v>2</v>
      </c>
      <c r="O398" s="154" t="s">
        <v>248</v>
      </c>
      <c r="P398" s="159">
        <v>46088</v>
      </c>
      <c r="Q398" s="154" t="str">
        <f t="shared" si="136"/>
        <v>Kiss Levente - Derecske BUDO</v>
      </c>
      <c r="R398" s="154" t="s">
        <v>636</v>
      </c>
      <c r="S398" s="154" t="str">
        <f t="shared" si="137"/>
        <v>Derecske BUDO</v>
      </c>
      <c r="T398" s="154" t="s">
        <v>645</v>
      </c>
      <c r="U398" s="154" t="s">
        <v>796</v>
      </c>
      <c r="V398" s="154"/>
    </row>
    <row r="399" spans="1:22" s="158" customFormat="1" x14ac:dyDescent="0.3">
      <c r="A399" s="154" t="s">
        <v>776</v>
      </c>
      <c r="B399" s="155">
        <v>2</v>
      </c>
      <c r="C399" s="154">
        <v>322</v>
      </c>
      <c r="D399" s="156" t="str">
        <f t="shared" si="148"/>
        <v>Kumite</v>
      </c>
      <c r="E399" s="156" t="str">
        <f t="shared" si="158"/>
        <v>Kumite, -, 45-55 kg, Gyerek 2. (11-12</v>
      </c>
      <c r="F399" s="156" t="s">
        <v>522</v>
      </c>
      <c r="G399" s="157" t="str">
        <f t="shared" si="159"/>
        <v>11</v>
      </c>
      <c r="H399" s="156" t="str">
        <f t="shared" si="160"/>
        <v>16 fős egyenes kiesés</v>
      </c>
      <c r="I399" s="157" t="str">
        <f>"9"</f>
        <v>9</v>
      </c>
      <c r="J399" s="156" t="str">
        <f>"Gaál Botond Kolos"</f>
        <v>Gaál Botond Kolos</v>
      </c>
      <c r="K399" s="156" t="str">
        <f>"Bátor KSE"</f>
        <v>Bátor KSE</v>
      </c>
      <c r="L399" s="156" t="str">
        <f t="shared" si="135"/>
        <v>HUN</v>
      </c>
      <c r="M399" s="163">
        <v>0</v>
      </c>
      <c r="O399" s="154" t="s">
        <v>248</v>
      </c>
      <c r="P399" s="159">
        <v>46088</v>
      </c>
      <c r="Q399" s="154" t="str">
        <f t="shared" si="136"/>
        <v>Gaál Botond Kolos - Bátor KSE</v>
      </c>
      <c r="R399" s="154" t="s">
        <v>636</v>
      </c>
      <c r="S399" s="154" t="str">
        <f t="shared" si="137"/>
        <v>Bátor KSE</v>
      </c>
      <c r="T399" s="154" t="s">
        <v>645</v>
      </c>
      <c r="U399" s="154" t="s">
        <v>796</v>
      </c>
      <c r="V399" s="154"/>
    </row>
    <row r="400" spans="1:22" s="158" customFormat="1" x14ac:dyDescent="0.3">
      <c r="A400" s="154" t="s">
        <v>776</v>
      </c>
      <c r="B400" s="155">
        <v>2</v>
      </c>
      <c r="C400" s="154">
        <v>323</v>
      </c>
      <c r="D400" s="156" t="str">
        <f t="shared" si="148"/>
        <v>Kumite</v>
      </c>
      <c r="E400" s="156" t="str">
        <f t="shared" si="158"/>
        <v>Kumite, -, 45-55 kg, Gyerek 2. (11-12</v>
      </c>
      <c r="F400" s="156" t="s">
        <v>522</v>
      </c>
      <c r="G400" s="157" t="str">
        <f t="shared" si="159"/>
        <v>11</v>
      </c>
      <c r="H400" s="156" t="str">
        <f t="shared" si="160"/>
        <v>16 fős egyenes kiesés</v>
      </c>
      <c r="I400" s="157" t="str">
        <f>"10"</f>
        <v>10</v>
      </c>
      <c r="J400" s="156" t="str">
        <f>"Simon Titusz"</f>
        <v>Simon Titusz</v>
      </c>
      <c r="K400" s="156" t="str">
        <f>"Buke Reikon HRSE"</f>
        <v>Buke Reikon HRSE</v>
      </c>
      <c r="L400" s="156" t="str">
        <f t="shared" si="135"/>
        <v>HUN</v>
      </c>
      <c r="M400" s="163">
        <v>0</v>
      </c>
      <c r="O400" s="154" t="s">
        <v>248</v>
      </c>
      <c r="P400" s="159">
        <v>46088</v>
      </c>
      <c r="Q400" s="154" t="str">
        <f t="shared" si="136"/>
        <v>Simon Titusz - Buke Reikon HRSE</v>
      </c>
      <c r="R400" s="154" t="s">
        <v>636</v>
      </c>
      <c r="S400" s="154" t="str">
        <f t="shared" si="137"/>
        <v>Buke Reikon HRSE</v>
      </c>
      <c r="T400" s="154" t="s">
        <v>645</v>
      </c>
      <c r="U400" s="154" t="s">
        <v>796</v>
      </c>
      <c r="V400" s="154"/>
    </row>
    <row r="401" spans="1:22" s="158" customFormat="1" x14ac:dyDescent="0.3">
      <c r="A401" s="154" t="s">
        <v>776</v>
      </c>
      <c r="B401" s="155">
        <v>2</v>
      </c>
      <c r="C401" s="154">
        <v>324</v>
      </c>
      <c r="D401" s="156" t="str">
        <f t="shared" si="148"/>
        <v>Kumite</v>
      </c>
      <c r="E401" s="156" t="str">
        <f t="shared" si="158"/>
        <v>Kumite, -, 45-55 kg, Gyerek 2. (11-12</v>
      </c>
      <c r="F401" s="156" t="s">
        <v>522</v>
      </c>
      <c r="G401" s="157" t="str">
        <f t="shared" si="159"/>
        <v>11</v>
      </c>
      <c r="H401" s="156" t="str">
        <f t="shared" si="160"/>
        <v>16 fős egyenes kiesés</v>
      </c>
      <c r="I401" s="157" t="str">
        <f>"11-16"</f>
        <v>11-16</v>
      </c>
      <c r="J401" s="156" t="str">
        <f>"Eszenyi Tamás Zsolt"</f>
        <v>Eszenyi Tamás Zsolt</v>
      </c>
      <c r="K401" s="156" t="str">
        <f>"Bátor KSE"</f>
        <v>Bátor KSE</v>
      </c>
      <c r="L401" s="156" t="str">
        <f t="shared" si="135"/>
        <v>HUN</v>
      </c>
      <c r="M401" s="163">
        <v>0</v>
      </c>
      <c r="O401" s="154" t="s">
        <v>248</v>
      </c>
      <c r="P401" s="159">
        <v>46088</v>
      </c>
      <c r="Q401" s="154" t="str">
        <f t="shared" si="136"/>
        <v>Eszenyi Tamás Zsolt - Bátor KSE</v>
      </c>
      <c r="R401" s="154" t="s">
        <v>636</v>
      </c>
      <c r="S401" s="154" t="str">
        <f t="shared" si="137"/>
        <v>Bátor KSE</v>
      </c>
      <c r="T401" s="154" t="s">
        <v>645</v>
      </c>
      <c r="U401" s="154" t="s">
        <v>796</v>
      </c>
      <c r="V401" s="154"/>
    </row>
    <row r="402" spans="1:22" s="158" customFormat="1" x14ac:dyDescent="0.3">
      <c r="A402" s="154" t="s">
        <v>776</v>
      </c>
      <c r="B402" s="155">
        <v>2</v>
      </c>
      <c r="C402" s="154">
        <v>325</v>
      </c>
      <c r="D402" s="156" t="str">
        <f t="shared" si="148"/>
        <v>Kumite</v>
      </c>
      <c r="E402" s="156" t="str">
        <f t="shared" ref="E402:E410" si="161">"Kumite, -, 55-999 kg, Gyerek 2. (11-12"</f>
        <v>Kumite, -, 55-999 kg, Gyerek 2. (11-12</v>
      </c>
      <c r="F402" s="156" t="s">
        <v>524</v>
      </c>
      <c r="G402" s="157" t="str">
        <f t="shared" ref="G402:G410" si="162">"9"</f>
        <v>9</v>
      </c>
      <c r="H402" s="156" t="str">
        <f t="shared" si="160"/>
        <v>16 fős egyenes kiesés</v>
      </c>
      <c r="I402" s="157" t="str">
        <f>"1"</f>
        <v>1</v>
      </c>
      <c r="J402" s="156" t="str">
        <f>"Rajmon Tamás"</f>
        <v>Rajmon Tamás</v>
      </c>
      <c r="K402" s="156" t="str">
        <f>"Victory"</f>
        <v>Victory</v>
      </c>
      <c r="L402" s="156" t="str">
        <f t="shared" si="135"/>
        <v>HUN</v>
      </c>
      <c r="M402" s="163">
        <v>8</v>
      </c>
      <c r="O402" s="154" t="s">
        <v>248</v>
      </c>
      <c r="P402" s="159">
        <v>46088</v>
      </c>
      <c r="Q402" s="154" t="str">
        <f t="shared" si="136"/>
        <v>Rajmon Tamás - Victory</v>
      </c>
      <c r="R402" s="154" t="s">
        <v>636</v>
      </c>
      <c r="S402" s="154" t="str">
        <f t="shared" si="137"/>
        <v>Victory</v>
      </c>
      <c r="T402" s="154" t="s">
        <v>645</v>
      </c>
      <c r="U402" s="154" t="s">
        <v>796</v>
      </c>
      <c r="V402" s="154"/>
    </row>
    <row r="403" spans="1:22" s="158" customFormat="1" x14ac:dyDescent="0.3">
      <c r="A403" s="154" t="s">
        <v>776</v>
      </c>
      <c r="B403" s="155">
        <v>2</v>
      </c>
      <c r="C403" s="154">
        <v>326</v>
      </c>
      <c r="D403" s="156" t="str">
        <f t="shared" si="148"/>
        <v>Kumite</v>
      </c>
      <c r="E403" s="156" t="str">
        <f t="shared" si="161"/>
        <v>Kumite, -, 55-999 kg, Gyerek 2. (11-12</v>
      </c>
      <c r="F403" s="156" t="s">
        <v>524</v>
      </c>
      <c r="G403" s="157" t="str">
        <f t="shared" si="162"/>
        <v>9</v>
      </c>
      <c r="H403" s="156" t="str">
        <f t="shared" si="160"/>
        <v>16 fős egyenes kiesés</v>
      </c>
      <c r="I403" s="157" t="str">
        <f>"2"</f>
        <v>2</v>
      </c>
      <c r="J403" s="156" t="str">
        <f>"Petróczki Farkas"</f>
        <v>Petróczki Farkas</v>
      </c>
      <c r="K403" s="156" t="str">
        <f>"Bátor KSE"</f>
        <v>Bátor KSE</v>
      </c>
      <c r="L403" s="156" t="str">
        <f t="shared" si="135"/>
        <v>HUN</v>
      </c>
      <c r="M403" s="163">
        <v>6</v>
      </c>
      <c r="O403" s="154" t="s">
        <v>248</v>
      </c>
      <c r="P403" s="159">
        <v>46088</v>
      </c>
      <c r="Q403" s="154" t="str">
        <f t="shared" si="136"/>
        <v>Petróczki Farkas - Bátor KSE</v>
      </c>
      <c r="R403" s="154" t="s">
        <v>636</v>
      </c>
      <c r="S403" s="154" t="str">
        <f t="shared" si="137"/>
        <v>Bátor KSE</v>
      </c>
      <c r="T403" s="154" t="s">
        <v>645</v>
      </c>
      <c r="U403" s="154" t="s">
        <v>796</v>
      </c>
      <c r="V403" s="154"/>
    </row>
    <row r="404" spans="1:22" s="158" customFormat="1" x14ac:dyDescent="0.3">
      <c r="A404" s="154" t="s">
        <v>776</v>
      </c>
      <c r="B404" s="155">
        <v>2</v>
      </c>
      <c r="C404" s="154">
        <v>327</v>
      </c>
      <c r="D404" s="156" t="str">
        <f t="shared" si="148"/>
        <v>Kumite</v>
      </c>
      <c r="E404" s="156" t="str">
        <f t="shared" si="161"/>
        <v>Kumite, -, 55-999 kg, Gyerek 2. (11-12</v>
      </c>
      <c r="F404" s="156" t="s">
        <v>524</v>
      </c>
      <c r="G404" s="157" t="str">
        <f t="shared" si="162"/>
        <v>9</v>
      </c>
      <c r="H404" s="156" t="str">
        <f t="shared" si="160"/>
        <v>16 fős egyenes kiesés</v>
      </c>
      <c r="I404" s="157" t="str">
        <f>"3"</f>
        <v>3</v>
      </c>
      <c r="J404" s="156" t="str">
        <f>"Bervanger Bálint"</f>
        <v>Bervanger Bálint</v>
      </c>
      <c r="K404" s="156" t="str">
        <f>"Shogun"</f>
        <v>Shogun</v>
      </c>
      <c r="L404" s="156" t="str">
        <f t="shared" si="135"/>
        <v>HUN</v>
      </c>
      <c r="M404" s="163">
        <v>4</v>
      </c>
      <c r="O404" s="154" t="s">
        <v>248</v>
      </c>
      <c r="P404" s="159">
        <v>46088</v>
      </c>
      <c r="Q404" s="154" t="str">
        <f t="shared" si="136"/>
        <v>Bervanger Bálint - Shogun</v>
      </c>
      <c r="R404" s="154" t="s">
        <v>636</v>
      </c>
      <c r="S404" s="154" t="str">
        <f t="shared" si="137"/>
        <v>Shogun</v>
      </c>
      <c r="T404" s="154" t="s">
        <v>645</v>
      </c>
      <c r="U404" s="154" t="s">
        <v>796</v>
      </c>
      <c r="V404" s="154"/>
    </row>
    <row r="405" spans="1:22" s="158" customFormat="1" x14ac:dyDescent="0.3">
      <c r="A405" s="154" t="s">
        <v>776</v>
      </c>
      <c r="B405" s="155">
        <v>2</v>
      </c>
      <c r="C405" s="154">
        <v>328</v>
      </c>
      <c r="D405" s="156" t="str">
        <f t="shared" si="148"/>
        <v>Kumite</v>
      </c>
      <c r="E405" s="156" t="str">
        <f t="shared" si="161"/>
        <v>Kumite, -, 55-999 kg, Gyerek 2. (11-12</v>
      </c>
      <c r="F405" s="156" t="s">
        <v>524</v>
      </c>
      <c r="G405" s="157" t="str">
        <f t="shared" si="162"/>
        <v>9</v>
      </c>
      <c r="H405" s="156" t="str">
        <f t="shared" si="160"/>
        <v>16 fős egyenes kiesés</v>
      </c>
      <c r="I405" s="157" t="str">
        <f>"3"</f>
        <v>3</v>
      </c>
      <c r="J405" s="156" t="str">
        <f>"Gyuricska Benedek"</f>
        <v>Gyuricska Benedek</v>
      </c>
      <c r="K405" s="156" t="str">
        <f>"Shogun"</f>
        <v>Shogun</v>
      </c>
      <c r="L405" s="156" t="str">
        <f t="shared" si="135"/>
        <v>HUN</v>
      </c>
      <c r="M405" s="163">
        <v>4</v>
      </c>
      <c r="O405" s="154" t="s">
        <v>248</v>
      </c>
      <c r="P405" s="159">
        <v>46088</v>
      </c>
      <c r="Q405" s="154" t="str">
        <f t="shared" si="136"/>
        <v>Gyuricska Benedek - Shogun</v>
      </c>
      <c r="R405" s="154" t="s">
        <v>636</v>
      </c>
      <c r="S405" s="154" t="str">
        <f t="shared" si="137"/>
        <v>Shogun</v>
      </c>
      <c r="T405" s="154" t="s">
        <v>645</v>
      </c>
      <c r="U405" s="154" t="s">
        <v>796</v>
      </c>
      <c r="V405" s="154"/>
    </row>
    <row r="406" spans="1:22" s="158" customFormat="1" x14ac:dyDescent="0.3">
      <c r="A406" s="154" t="s">
        <v>776</v>
      </c>
      <c r="B406" s="155">
        <v>2</v>
      </c>
      <c r="C406" s="154">
        <v>329</v>
      </c>
      <c r="D406" s="156" t="str">
        <f t="shared" si="148"/>
        <v>Kumite</v>
      </c>
      <c r="E406" s="156" t="str">
        <f t="shared" si="161"/>
        <v>Kumite, -, 55-999 kg, Gyerek 2. (11-12</v>
      </c>
      <c r="F406" s="156" t="s">
        <v>524</v>
      </c>
      <c r="G406" s="157" t="str">
        <f t="shared" si="162"/>
        <v>9</v>
      </c>
      <c r="H406" s="156" t="str">
        <f t="shared" si="160"/>
        <v>16 fős egyenes kiesés</v>
      </c>
      <c r="I406" s="157" t="str">
        <f>"5"</f>
        <v>5</v>
      </c>
      <c r="J406" s="156" t="str">
        <f>"Berki Tamás"</f>
        <v>Berki Tamás</v>
      </c>
      <c r="K406" s="156" t="str">
        <f>"Victory"</f>
        <v>Victory</v>
      </c>
      <c r="L406" s="156" t="str">
        <f t="shared" si="135"/>
        <v>HUN</v>
      </c>
      <c r="M406" s="163">
        <v>0</v>
      </c>
      <c r="N406" s="158" t="s">
        <v>704</v>
      </c>
      <c r="O406" s="154" t="s">
        <v>248</v>
      </c>
      <c r="P406" s="159">
        <v>46088</v>
      </c>
      <c r="Q406" s="154" t="str">
        <f t="shared" si="136"/>
        <v>Berki Tamás - Victory</v>
      </c>
      <c r="R406" s="154" t="s">
        <v>636</v>
      </c>
      <c r="S406" s="154" t="str">
        <f t="shared" si="137"/>
        <v>Victory</v>
      </c>
      <c r="T406" s="154" t="s">
        <v>645</v>
      </c>
      <c r="U406" s="154" t="s">
        <v>796</v>
      </c>
      <c r="V406" s="154"/>
    </row>
    <row r="407" spans="1:22" s="158" customFormat="1" x14ac:dyDescent="0.3">
      <c r="A407" s="154" t="s">
        <v>776</v>
      </c>
      <c r="B407" s="155">
        <v>2</v>
      </c>
      <c r="C407" s="154">
        <v>330</v>
      </c>
      <c r="D407" s="156" t="str">
        <f t="shared" si="148"/>
        <v>Kumite</v>
      </c>
      <c r="E407" s="156" t="str">
        <f t="shared" si="161"/>
        <v>Kumite, -, 55-999 kg, Gyerek 2. (11-12</v>
      </c>
      <c r="F407" s="156" t="s">
        <v>524</v>
      </c>
      <c r="G407" s="157" t="str">
        <f t="shared" si="162"/>
        <v>9</v>
      </c>
      <c r="H407" s="156" t="str">
        <f t="shared" si="160"/>
        <v>16 fős egyenes kiesés</v>
      </c>
      <c r="I407" s="157" t="str">
        <f>"6"</f>
        <v>6</v>
      </c>
      <c r="J407" s="156" t="str">
        <f>"Tóth Marcell Kevin"</f>
        <v>Tóth Marcell Kevin</v>
      </c>
      <c r="K407" s="156" t="str">
        <f>"Nozomu Dojo"</f>
        <v>Nozomu Dojo</v>
      </c>
      <c r="L407" s="156" t="str">
        <f t="shared" si="135"/>
        <v>HUN</v>
      </c>
      <c r="M407" s="163">
        <v>2</v>
      </c>
      <c r="O407" s="154" t="s">
        <v>248</v>
      </c>
      <c r="P407" s="159">
        <v>46088</v>
      </c>
      <c r="Q407" s="154" t="str">
        <f t="shared" si="136"/>
        <v>Tóth Marcell Kevin - Nozomu Dojo</v>
      </c>
      <c r="R407" s="154" t="s">
        <v>636</v>
      </c>
      <c r="S407" s="154" t="str">
        <f t="shared" si="137"/>
        <v>Nozomu Dojo</v>
      </c>
      <c r="T407" s="154" t="s">
        <v>645</v>
      </c>
      <c r="U407" s="154" t="s">
        <v>796</v>
      </c>
      <c r="V407" s="154"/>
    </row>
    <row r="408" spans="1:22" s="158" customFormat="1" x14ac:dyDescent="0.3">
      <c r="A408" s="154" t="s">
        <v>776</v>
      </c>
      <c r="B408" s="155">
        <v>2</v>
      </c>
      <c r="C408" s="154">
        <v>331</v>
      </c>
      <c r="D408" s="156" t="str">
        <f t="shared" si="148"/>
        <v>Kumite</v>
      </c>
      <c r="E408" s="156" t="str">
        <f t="shared" si="161"/>
        <v>Kumite, -, 55-999 kg, Gyerek 2. (11-12</v>
      </c>
      <c r="F408" s="156" t="s">
        <v>524</v>
      </c>
      <c r="G408" s="157" t="str">
        <f t="shared" si="162"/>
        <v>9</v>
      </c>
      <c r="H408" s="156" t="str">
        <f t="shared" si="160"/>
        <v>16 fős egyenes kiesés</v>
      </c>
      <c r="I408" s="157" t="str">
        <f>"7-8"</f>
        <v>7-8</v>
      </c>
      <c r="J408" s="156" t="str">
        <f>"Szabó Bence"</f>
        <v>Szabó Bence</v>
      </c>
      <c r="K408" s="156" t="str">
        <f>"Shogun"</f>
        <v>Shogun</v>
      </c>
      <c r="L408" s="156" t="str">
        <f t="shared" si="135"/>
        <v>HUN</v>
      </c>
      <c r="M408" s="163">
        <v>0</v>
      </c>
      <c r="N408" s="158" t="s">
        <v>704</v>
      </c>
      <c r="O408" s="154" t="s">
        <v>248</v>
      </c>
      <c r="P408" s="159">
        <v>46088</v>
      </c>
      <c r="Q408" s="154" t="str">
        <f t="shared" si="136"/>
        <v>Szabó Bence - Shogun</v>
      </c>
      <c r="R408" s="154" t="s">
        <v>636</v>
      </c>
      <c r="S408" s="154" t="str">
        <f t="shared" si="137"/>
        <v>Shogun</v>
      </c>
      <c r="T408" s="154" t="s">
        <v>645</v>
      </c>
      <c r="U408" s="154" t="s">
        <v>796</v>
      </c>
      <c r="V408" s="154"/>
    </row>
    <row r="409" spans="1:22" s="158" customFormat="1" x14ac:dyDescent="0.3">
      <c r="A409" s="154" t="s">
        <v>776</v>
      </c>
      <c r="B409" s="155">
        <v>2</v>
      </c>
      <c r="C409" s="154">
        <v>332</v>
      </c>
      <c r="D409" s="156" t="str">
        <f t="shared" si="148"/>
        <v>Kumite</v>
      </c>
      <c r="E409" s="156" t="str">
        <f t="shared" si="161"/>
        <v>Kumite, -, 55-999 kg, Gyerek 2. (11-12</v>
      </c>
      <c r="F409" s="156" t="s">
        <v>524</v>
      </c>
      <c r="G409" s="157" t="str">
        <f t="shared" si="162"/>
        <v>9</v>
      </c>
      <c r="H409" s="156" t="str">
        <f t="shared" si="160"/>
        <v>16 fős egyenes kiesés</v>
      </c>
      <c r="I409" s="157" t="str">
        <f>"7-8"</f>
        <v>7-8</v>
      </c>
      <c r="J409" s="156" t="str">
        <f>"Jagyugy Zalán"</f>
        <v>Jagyugy Zalán</v>
      </c>
      <c r="K409" s="156" t="str">
        <f>"Kelemen-Team"</f>
        <v>Kelemen-Team</v>
      </c>
      <c r="L409" s="156" t="str">
        <f t="shared" si="135"/>
        <v>HUN</v>
      </c>
      <c r="M409" s="163">
        <v>0</v>
      </c>
      <c r="N409" s="158" t="s">
        <v>704</v>
      </c>
      <c r="O409" s="154" t="s">
        <v>248</v>
      </c>
      <c r="P409" s="159">
        <v>46088</v>
      </c>
      <c r="Q409" s="154" t="str">
        <f t="shared" si="136"/>
        <v>Jagyugy Zalán - Kelemen-Team</v>
      </c>
      <c r="R409" s="154" t="s">
        <v>636</v>
      </c>
      <c r="S409" s="154" t="str">
        <f t="shared" si="137"/>
        <v>Kelemen-Team</v>
      </c>
      <c r="T409" s="154" t="s">
        <v>645</v>
      </c>
      <c r="U409" s="154" t="s">
        <v>796</v>
      </c>
      <c r="V409" s="154"/>
    </row>
    <row r="410" spans="1:22" s="158" customFormat="1" x14ac:dyDescent="0.3">
      <c r="A410" s="154" t="s">
        <v>776</v>
      </c>
      <c r="B410" s="155">
        <v>2</v>
      </c>
      <c r="C410" s="154">
        <v>333</v>
      </c>
      <c r="D410" s="156" t="str">
        <f t="shared" si="148"/>
        <v>Kumite</v>
      </c>
      <c r="E410" s="156" t="str">
        <f t="shared" si="161"/>
        <v>Kumite, -, 55-999 kg, Gyerek 2. (11-12</v>
      </c>
      <c r="F410" s="156" t="s">
        <v>524</v>
      </c>
      <c r="G410" s="157" t="str">
        <f t="shared" si="162"/>
        <v>9</v>
      </c>
      <c r="H410" s="156" t="str">
        <f t="shared" si="160"/>
        <v>16 fős egyenes kiesés</v>
      </c>
      <c r="I410" s="157" t="str">
        <f>"11-16"</f>
        <v>11-16</v>
      </c>
      <c r="J410" s="156" t="str">
        <f>"Kurucz Árpád Soma"</f>
        <v>Kurucz Árpád Soma</v>
      </c>
      <c r="K410" s="156" t="str">
        <f>"Victory"</f>
        <v>Victory</v>
      </c>
      <c r="L410" s="156" t="str">
        <f t="shared" ref="L410:L476" si="163">"HUN"</f>
        <v>HUN</v>
      </c>
      <c r="M410" s="163">
        <v>0</v>
      </c>
      <c r="O410" s="154" t="s">
        <v>248</v>
      </c>
      <c r="P410" s="159">
        <v>46088</v>
      </c>
      <c r="Q410" s="154" t="str">
        <f t="shared" ref="Q410:Q476" si="164">J410&amp;" - "&amp;K410</f>
        <v>Kurucz Árpád Soma - Victory</v>
      </c>
      <c r="R410" s="154" t="s">
        <v>636</v>
      </c>
      <c r="S410" s="154" t="str">
        <f t="shared" ref="S410:S476" si="165">K410</f>
        <v>Victory</v>
      </c>
      <c r="T410" s="154" t="s">
        <v>645</v>
      </c>
      <c r="U410" s="154" t="s">
        <v>796</v>
      </c>
      <c r="V410" s="154"/>
    </row>
    <row r="411" spans="1:22" s="158" customFormat="1" x14ac:dyDescent="0.3">
      <c r="A411" s="154" t="s">
        <v>776</v>
      </c>
      <c r="B411" s="155">
        <v>2</v>
      </c>
      <c r="C411" s="154">
        <v>334</v>
      </c>
      <c r="D411" s="156" t="str">
        <f t="shared" ref="D411:D426" si="166">"Kata"</f>
        <v>Kata</v>
      </c>
      <c r="E411" s="156" t="str">
        <f t="shared" ref="E411:E426" si="167">"Kata, -, 0-100 kg, Gyerek 2. (11-12"</f>
        <v>Kata, -, 0-100 kg, Gyerek 2. (11-12</v>
      </c>
      <c r="F411" s="156" t="s">
        <v>525</v>
      </c>
      <c r="G411" s="157" t="str">
        <f t="shared" ref="G411:G426" si="168">"17"</f>
        <v>17</v>
      </c>
      <c r="H411" s="156" t="str">
        <f t="shared" ref="H411:H426" si="169">"32 fős egyenes kiesés"</f>
        <v>32 fős egyenes kiesés</v>
      </c>
      <c r="I411" s="157" t="str">
        <f>"1"</f>
        <v>1</v>
      </c>
      <c r="J411" s="156" t="str">
        <f>"Tarr Bence"</f>
        <v>Tarr Bence</v>
      </c>
      <c r="K411" s="156" t="str">
        <f>"Shogun"</f>
        <v>Shogun</v>
      </c>
      <c r="L411" s="156" t="str">
        <f t="shared" si="163"/>
        <v>HUN</v>
      </c>
      <c r="M411" s="163">
        <v>8</v>
      </c>
      <c r="O411" s="154" t="s">
        <v>248</v>
      </c>
      <c r="P411" s="159">
        <v>46088</v>
      </c>
      <c r="Q411" s="154" t="str">
        <f t="shared" si="164"/>
        <v>Tarr Bence - Shogun</v>
      </c>
      <c r="R411" s="154" t="s">
        <v>636</v>
      </c>
      <c r="S411" s="154" t="str">
        <f t="shared" si="165"/>
        <v>Shogun</v>
      </c>
      <c r="T411" s="154" t="s">
        <v>645</v>
      </c>
      <c r="U411" s="154" t="s">
        <v>796</v>
      </c>
      <c r="V411" s="154"/>
    </row>
    <row r="412" spans="1:22" s="158" customFormat="1" x14ac:dyDescent="0.3">
      <c r="A412" s="154" t="s">
        <v>776</v>
      </c>
      <c r="B412" s="155">
        <v>2</v>
      </c>
      <c r="C412" s="154">
        <v>335</v>
      </c>
      <c r="D412" s="156" t="str">
        <f t="shared" si="166"/>
        <v>Kata</v>
      </c>
      <c r="E412" s="156" t="str">
        <f t="shared" si="167"/>
        <v>Kata, -, 0-100 kg, Gyerek 2. (11-12</v>
      </c>
      <c r="F412" s="156" t="s">
        <v>525</v>
      </c>
      <c r="G412" s="157" t="str">
        <f t="shared" si="168"/>
        <v>17</v>
      </c>
      <c r="H412" s="156" t="str">
        <f t="shared" si="169"/>
        <v>32 fős egyenes kiesés</v>
      </c>
      <c r="I412" s="157" t="str">
        <f>"2"</f>
        <v>2</v>
      </c>
      <c r="J412" s="156" t="str">
        <f>"Hegedűs Botond"</f>
        <v>Hegedűs Botond</v>
      </c>
      <c r="K412" s="156" t="str">
        <f>"Keizoku SE"</f>
        <v>Keizoku SE</v>
      </c>
      <c r="L412" s="156" t="str">
        <f t="shared" si="163"/>
        <v>HUN</v>
      </c>
      <c r="M412" s="163">
        <v>6</v>
      </c>
      <c r="O412" s="154" t="s">
        <v>248</v>
      </c>
      <c r="P412" s="159">
        <v>46088</v>
      </c>
      <c r="Q412" s="154" t="str">
        <f t="shared" si="164"/>
        <v>Hegedűs Botond - Keizoku SE</v>
      </c>
      <c r="R412" s="154" t="s">
        <v>636</v>
      </c>
      <c r="S412" s="154" t="str">
        <f t="shared" si="165"/>
        <v>Keizoku SE</v>
      </c>
      <c r="T412" s="154" t="s">
        <v>645</v>
      </c>
      <c r="U412" s="154" t="s">
        <v>796</v>
      </c>
      <c r="V412" s="154"/>
    </row>
    <row r="413" spans="1:22" s="158" customFormat="1" x14ac:dyDescent="0.3">
      <c r="A413" s="154" t="s">
        <v>776</v>
      </c>
      <c r="B413" s="155">
        <v>2</v>
      </c>
      <c r="C413" s="154">
        <v>336</v>
      </c>
      <c r="D413" s="156" t="str">
        <f t="shared" si="166"/>
        <v>Kata</v>
      </c>
      <c r="E413" s="156" t="str">
        <f t="shared" si="167"/>
        <v>Kata, -, 0-100 kg, Gyerek 2. (11-12</v>
      </c>
      <c r="F413" s="156" t="s">
        <v>525</v>
      </c>
      <c r="G413" s="157" t="str">
        <f t="shared" si="168"/>
        <v>17</v>
      </c>
      <c r="H413" s="156" t="str">
        <f t="shared" si="169"/>
        <v>32 fős egyenes kiesés</v>
      </c>
      <c r="I413" s="157" t="str">
        <f>"3"</f>
        <v>3</v>
      </c>
      <c r="J413" s="156" t="str">
        <f>"Eszenyi Barnabás"</f>
        <v>Eszenyi Barnabás</v>
      </c>
      <c r="K413" s="156" t="str">
        <f t="shared" ref="K413:K418" si="170">"Shogun"</f>
        <v>Shogun</v>
      </c>
      <c r="L413" s="156" t="str">
        <f t="shared" si="163"/>
        <v>HUN</v>
      </c>
      <c r="M413" s="163">
        <v>4</v>
      </c>
      <c r="O413" s="154" t="s">
        <v>248</v>
      </c>
      <c r="P413" s="159">
        <v>46088</v>
      </c>
      <c r="Q413" s="154" t="str">
        <f t="shared" si="164"/>
        <v>Eszenyi Barnabás - Shogun</v>
      </c>
      <c r="R413" s="154" t="s">
        <v>636</v>
      </c>
      <c r="S413" s="154" t="str">
        <f t="shared" si="165"/>
        <v>Shogun</v>
      </c>
      <c r="T413" s="154" t="s">
        <v>645</v>
      </c>
      <c r="U413" s="154" t="s">
        <v>796</v>
      </c>
      <c r="V413" s="154"/>
    </row>
    <row r="414" spans="1:22" s="158" customFormat="1" x14ac:dyDescent="0.3">
      <c r="A414" s="154" t="s">
        <v>776</v>
      </c>
      <c r="B414" s="155">
        <v>2</v>
      </c>
      <c r="C414" s="154">
        <v>337</v>
      </c>
      <c r="D414" s="156" t="str">
        <f t="shared" si="166"/>
        <v>Kata</v>
      </c>
      <c r="E414" s="156" t="str">
        <f t="shared" si="167"/>
        <v>Kata, -, 0-100 kg, Gyerek 2. (11-12</v>
      </c>
      <c r="F414" s="156" t="s">
        <v>525</v>
      </c>
      <c r="G414" s="157" t="str">
        <f t="shared" si="168"/>
        <v>17</v>
      </c>
      <c r="H414" s="156" t="str">
        <f t="shared" si="169"/>
        <v>32 fős egyenes kiesés</v>
      </c>
      <c r="I414" s="157" t="str">
        <f>"3"</f>
        <v>3</v>
      </c>
      <c r="J414" s="156" t="str">
        <f>"Bervanger Bálint"</f>
        <v>Bervanger Bálint</v>
      </c>
      <c r="K414" s="156" t="str">
        <f t="shared" si="170"/>
        <v>Shogun</v>
      </c>
      <c r="L414" s="156" t="str">
        <f t="shared" si="163"/>
        <v>HUN</v>
      </c>
      <c r="M414" s="163">
        <v>4</v>
      </c>
      <c r="O414" s="154" t="s">
        <v>248</v>
      </c>
      <c r="P414" s="159">
        <v>46088</v>
      </c>
      <c r="Q414" s="154" t="str">
        <f t="shared" si="164"/>
        <v>Bervanger Bálint - Shogun</v>
      </c>
      <c r="R414" s="154" t="s">
        <v>636</v>
      </c>
      <c r="S414" s="154" t="str">
        <f t="shared" si="165"/>
        <v>Shogun</v>
      </c>
      <c r="T414" s="154" t="s">
        <v>645</v>
      </c>
      <c r="U414" s="154" t="s">
        <v>796</v>
      </c>
      <c r="V414" s="154"/>
    </row>
    <row r="415" spans="1:22" s="158" customFormat="1" x14ac:dyDescent="0.3">
      <c r="A415" s="154" t="s">
        <v>776</v>
      </c>
      <c r="B415" s="155">
        <v>2</v>
      </c>
      <c r="C415" s="154">
        <v>338</v>
      </c>
      <c r="D415" s="156" t="str">
        <f t="shared" si="166"/>
        <v>Kata</v>
      </c>
      <c r="E415" s="156" t="str">
        <f t="shared" si="167"/>
        <v>Kata, -, 0-100 kg, Gyerek 2. (11-12</v>
      </c>
      <c r="F415" s="156" t="s">
        <v>525</v>
      </c>
      <c r="G415" s="157" t="str">
        <f t="shared" si="168"/>
        <v>17</v>
      </c>
      <c r="H415" s="156" t="str">
        <f t="shared" si="169"/>
        <v>32 fős egyenes kiesés</v>
      </c>
      <c r="I415" s="157" t="str">
        <f>"5"</f>
        <v>5</v>
      </c>
      <c r="J415" s="156" t="str">
        <f>"Szűcs Norbert"</f>
        <v>Szűcs Norbert</v>
      </c>
      <c r="K415" s="156" t="str">
        <f t="shared" si="170"/>
        <v>Shogun</v>
      </c>
      <c r="L415" s="156" t="str">
        <f t="shared" si="163"/>
        <v>HUN</v>
      </c>
      <c r="M415" s="163">
        <v>2</v>
      </c>
      <c r="O415" s="154" t="s">
        <v>248</v>
      </c>
      <c r="P415" s="159">
        <v>46088</v>
      </c>
      <c r="Q415" s="154" t="str">
        <f t="shared" si="164"/>
        <v>Szűcs Norbert - Shogun</v>
      </c>
      <c r="R415" s="154" t="s">
        <v>636</v>
      </c>
      <c r="S415" s="154" t="str">
        <f t="shared" si="165"/>
        <v>Shogun</v>
      </c>
      <c r="T415" s="154" t="s">
        <v>645</v>
      </c>
      <c r="U415" s="154" t="s">
        <v>796</v>
      </c>
      <c r="V415" s="154"/>
    </row>
    <row r="416" spans="1:22" s="158" customFormat="1" x14ac:dyDescent="0.3">
      <c r="A416" s="154" t="s">
        <v>776</v>
      </c>
      <c r="B416" s="155">
        <v>2</v>
      </c>
      <c r="C416" s="154">
        <v>339</v>
      </c>
      <c r="D416" s="156" t="str">
        <f t="shared" si="166"/>
        <v>Kata</v>
      </c>
      <c r="E416" s="156" t="str">
        <f t="shared" si="167"/>
        <v>Kata, -, 0-100 kg, Gyerek 2. (11-12</v>
      </c>
      <c r="F416" s="156" t="s">
        <v>525</v>
      </c>
      <c r="G416" s="157" t="str">
        <f t="shared" si="168"/>
        <v>17</v>
      </c>
      <c r="H416" s="156" t="str">
        <f t="shared" si="169"/>
        <v>32 fős egyenes kiesés</v>
      </c>
      <c r="I416" s="157" t="str">
        <f>"6"</f>
        <v>6</v>
      </c>
      <c r="J416" s="156" t="str">
        <f>"Berényi Milán"</f>
        <v>Berényi Milán</v>
      </c>
      <c r="K416" s="156" t="str">
        <f t="shared" si="170"/>
        <v>Shogun</v>
      </c>
      <c r="L416" s="156" t="str">
        <f t="shared" si="163"/>
        <v>HUN</v>
      </c>
      <c r="M416" s="163">
        <v>2</v>
      </c>
      <c r="O416" s="154" t="s">
        <v>248</v>
      </c>
      <c r="P416" s="159">
        <v>46088</v>
      </c>
      <c r="Q416" s="154" t="str">
        <f t="shared" si="164"/>
        <v>Berényi Milán - Shogun</v>
      </c>
      <c r="R416" s="154" t="s">
        <v>636</v>
      </c>
      <c r="S416" s="154" t="str">
        <f t="shared" si="165"/>
        <v>Shogun</v>
      </c>
      <c r="T416" s="154" t="s">
        <v>645</v>
      </c>
      <c r="U416" s="154" t="s">
        <v>796</v>
      </c>
      <c r="V416" s="154"/>
    </row>
    <row r="417" spans="1:22" s="158" customFormat="1" x14ac:dyDescent="0.3">
      <c r="A417" s="154" t="s">
        <v>776</v>
      </c>
      <c r="B417" s="155">
        <v>2</v>
      </c>
      <c r="C417" s="154">
        <v>340</v>
      </c>
      <c r="D417" s="156" t="str">
        <f t="shared" si="166"/>
        <v>Kata</v>
      </c>
      <c r="E417" s="156" t="str">
        <f t="shared" si="167"/>
        <v>Kata, -, 0-100 kg, Gyerek 2. (11-12</v>
      </c>
      <c r="F417" s="156" t="s">
        <v>525</v>
      </c>
      <c r="G417" s="157" t="str">
        <f t="shared" si="168"/>
        <v>17</v>
      </c>
      <c r="H417" s="156" t="str">
        <f t="shared" si="169"/>
        <v>32 fős egyenes kiesés</v>
      </c>
      <c r="I417" s="157" t="str">
        <f>"7-8"</f>
        <v>7-8</v>
      </c>
      <c r="J417" s="156" t="str">
        <f>"Pajkos Dominik"</f>
        <v>Pajkos Dominik</v>
      </c>
      <c r="K417" s="156" t="str">
        <f t="shared" si="170"/>
        <v>Shogun</v>
      </c>
      <c r="L417" s="156" t="str">
        <f t="shared" si="163"/>
        <v>HUN</v>
      </c>
      <c r="M417" s="163">
        <v>2</v>
      </c>
      <c r="O417" s="154" t="s">
        <v>248</v>
      </c>
      <c r="P417" s="159">
        <v>46088</v>
      </c>
      <c r="Q417" s="154" t="str">
        <f t="shared" si="164"/>
        <v>Pajkos Dominik - Shogun</v>
      </c>
      <c r="R417" s="154" t="s">
        <v>636</v>
      </c>
      <c r="S417" s="154" t="str">
        <f t="shared" si="165"/>
        <v>Shogun</v>
      </c>
      <c r="T417" s="154" t="s">
        <v>645</v>
      </c>
      <c r="U417" s="154" t="s">
        <v>796</v>
      </c>
      <c r="V417" s="154"/>
    </row>
    <row r="418" spans="1:22" s="158" customFormat="1" x14ac:dyDescent="0.3">
      <c r="A418" s="154" t="s">
        <v>776</v>
      </c>
      <c r="B418" s="155">
        <v>2</v>
      </c>
      <c r="C418" s="154">
        <v>341</v>
      </c>
      <c r="D418" s="156" t="str">
        <f t="shared" si="166"/>
        <v>Kata</v>
      </c>
      <c r="E418" s="156" t="str">
        <f t="shared" si="167"/>
        <v>Kata, -, 0-100 kg, Gyerek 2. (11-12</v>
      </c>
      <c r="F418" s="156" t="s">
        <v>525</v>
      </c>
      <c r="G418" s="157" t="str">
        <f t="shared" si="168"/>
        <v>17</v>
      </c>
      <c r="H418" s="156" t="str">
        <f t="shared" si="169"/>
        <v>32 fős egyenes kiesés</v>
      </c>
      <c r="I418" s="157" t="str">
        <f>"7-8"</f>
        <v>7-8</v>
      </c>
      <c r="J418" s="156" t="str">
        <f>"Némethy Balázs"</f>
        <v>Némethy Balázs</v>
      </c>
      <c r="K418" s="156" t="str">
        <f t="shared" si="170"/>
        <v>Shogun</v>
      </c>
      <c r="L418" s="156" t="str">
        <f t="shared" si="163"/>
        <v>HUN</v>
      </c>
      <c r="M418" s="163">
        <v>2</v>
      </c>
      <c r="O418" s="154" t="s">
        <v>248</v>
      </c>
      <c r="P418" s="159">
        <v>46088</v>
      </c>
      <c r="Q418" s="154" t="str">
        <f t="shared" si="164"/>
        <v>Némethy Balázs - Shogun</v>
      </c>
      <c r="R418" s="154" t="s">
        <v>636</v>
      </c>
      <c r="S418" s="154" t="str">
        <f t="shared" si="165"/>
        <v>Shogun</v>
      </c>
      <c r="T418" s="154" t="s">
        <v>645</v>
      </c>
      <c r="U418" s="154" t="s">
        <v>796</v>
      </c>
      <c r="V418" s="154"/>
    </row>
    <row r="419" spans="1:22" s="158" customFormat="1" x14ac:dyDescent="0.3">
      <c r="A419" s="154" t="s">
        <v>776</v>
      </c>
      <c r="B419" s="155">
        <v>2</v>
      </c>
      <c r="C419" s="154">
        <v>342</v>
      </c>
      <c r="D419" s="156" t="str">
        <f t="shared" si="166"/>
        <v>Kata</v>
      </c>
      <c r="E419" s="156" t="str">
        <f t="shared" si="167"/>
        <v>Kata, -, 0-100 kg, Gyerek 2. (11-12</v>
      </c>
      <c r="F419" s="156" t="s">
        <v>525</v>
      </c>
      <c r="G419" s="157" t="str">
        <f t="shared" si="168"/>
        <v>17</v>
      </c>
      <c r="H419" s="156" t="str">
        <f t="shared" si="169"/>
        <v>32 fős egyenes kiesés</v>
      </c>
      <c r="I419" s="157" t="str">
        <f>"9"</f>
        <v>9</v>
      </c>
      <c r="J419" s="156" t="str">
        <f>"Kiss Adrián"</f>
        <v>Kiss Adrián</v>
      </c>
      <c r="K419" s="156" t="str">
        <f>"Keizoku SE"</f>
        <v>Keizoku SE</v>
      </c>
      <c r="L419" s="156" t="str">
        <f t="shared" si="163"/>
        <v>HUN</v>
      </c>
      <c r="M419" s="163">
        <v>0</v>
      </c>
      <c r="O419" s="154" t="s">
        <v>248</v>
      </c>
      <c r="P419" s="159">
        <v>46088</v>
      </c>
      <c r="Q419" s="154" t="str">
        <f t="shared" si="164"/>
        <v>Kiss Adrián - Keizoku SE</v>
      </c>
      <c r="R419" s="154" t="s">
        <v>636</v>
      </c>
      <c r="S419" s="154" t="str">
        <f t="shared" si="165"/>
        <v>Keizoku SE</v>
      </c>
      <c r="T419" s="154" t="s">
        <v>645</v>
      </c>
      <c r="U419" s="154" t="s">
        <v>796</v>
      </c>
      <c r="V419" s="154"/>
    </row>
    <row r="420" spans="1:22" s="158" customFormat="1" x14ac:dyDescent="0.3">
      <c r="A420" s="154" t="s">
        <v>776</v>
      </c>
      <c r="B420" s="155">
        <v>2</v>
      </c>
      <c r="C420" s="154">
        <v>343</v>
      </c>
      <c r="D420" s="156" t="str">
        <f t="shared" si="166"/>
        <v>Kata</v>
      </c>
      <c r="E420" s="156" t="str">
        <f t="shared" si="167"/>
        <v>Kata, -, 0-100 kg, Gyerek 2. (11-12</v>
      </c>
      <c r="F420" s="156" t="s">
        <v>525</v>
      </c>
      <c r="G420" s="157" t="str">
        <f t="shared" si="168"/>
        <v>17</v>
      </c>
      <c r="H420" s="156" t="str">
        <f t="shared" si="169"/>
        <v>32 fős egyenes kiesés</v>
      </c>
      <c r="I420" s="157" t="str">
        <f>"10"</f>
        <v>10</v>
      </c>
      <c r="J420" s="156" t="str">
        <f>"Remenyik Péter"</f>
        <v>Remenyik Péter</v>
      </c>
      <c r="K420" s="156" t="str">
        <f>"Shogun"</f>
        <v>Shogun</v>
      </c>
      <c r="L420" s="156" t="str">
        <f t="shared" si="163"/>
        <v>HUN</v>
      </c>
      <c r="M420" s="163">
        <v>0</v>
      </c>
      <c r="O420" s="154" t="s">
        <v>248</v>
      </c>
      <c r="P420" s="159">
        <v>46088</v>
      </c>
      <c r="Q420" s="154" t="str">
        <f t="shared" si="164"/>
        <v>Remenyik Péter - Shogun</v>
      </c>
      <c r="R420" s="154" t="s">
        <v>636</v>
      </c>
      <c r="S420" s="154" t="str">
        <f t="shared" si="165"/>
        <v>Shogun</v>
      </c>
      <c r="T420" s="154" t="s">
        <v>645</v>
      </c>
      <c r="U420" s="154" t="s">
        <v>796</v>
      </c>
      <c r="V420" s="154"/>
    </row>
    <row r="421" spans="1:22" s="158" customFormat="1" x14ac:dyDescent="0.3">
      <c r="A421" s="154" t="s">
        <v>776</v>
      </c>
      <c r="B421" s="155">
        <v>2</v>
      </c>
      <c r="C421" s="154">
        <v>344</v>
      </c>
      <c r="D421" s="156" t="str">
        <f t="shared" si="166"/>
        <v>Kata</v>
      </c>
      <c r="E421" s="156" t="str">
        <f t="shared" si="167"/>
        <v>Kata, -, 0-100 kg, Gyerek 2. (11-12</v>
      </c>
      <c r="F421" s="156" t="s">
        <v>525</v>
      </c>
      <c r="G421" s="157" t="str">
        <f t="shared" si="168"/>
        <v>17</v>
      </c>
      <c r="H421" s="156" t="str">
        <f t="shared" si="169"/>
        <v>32 fős egyenes kiesés</v>
      </c>
      <c r="I421" s="157" t="str">
        <f t="shared" ref="I421:I426" si="171">"11-16"</f>
        <v>11-16</v>
      </c>
      <c r="J421" s="156" t="str">
        <f>"Ádám Mátyás Richárd"</f>
        <v>Ádám Mátyás Richárd</v>
      </c>
      <c r="K421" s="156" t="str">
        <f>"Bendiák Dojo"</f>
        <v>Bendiák Dojo</v>
      </c>
      <c r="L421" s="156" t="str">
        <f t="shared" si="163"/>
        <v>HUN</v>
      </c>
      <c r="M421" s="163">
        <v>0</v>
      </c>
      <c r="O421" s="154" t="s">
        <v>248</v>
      </c>
      <c r="P421" s="159">
        <v>46088</v>
      </c>
      <c r="Q421" s="154" t="str">
        <f t="shared" si="164"/>
        <v>Ádám Mátyás Richárd - Bendiák Dojo</v>
      </c>
      <c r="R421" s="154" t="s">
        <v>636</v>
      </c>
      <c r="S421" s="154" t="str">
        <f t="shared" si="165"/>
        <v>Bendiák Dojo</v>
      </c>
      <c r="T421" s="154" t="s">
        <v>645</v>
      </c>
      <c r="U421" s="154" t="s">
        <v>796</v>
      </c>
      <c r="V421" s="154"/>
    </row>
    <row r="422" spans="1:22" s="158" customFormat="1" x14ac:dyDescent="0.3">
      <c r="A422" s="154" t="s">
        <v>776</v>
      </c>
      <c r="B422" s="155">
        <v>2</v>
      </c>
      <c r="C422" s="154">
        <v>345</v>
      </c>
      <c r="D422" s="156" t="str">
        <f t="shared" si="166"/>
        <v>Kata</v>
      </c>
      <c r="E422" s="156" t="str">
        <f t="shared" si="167"/>
        <v>Kata, -, 0-100 kg, Gyerek 2. (11-12</v>
      </c>
      <c r="F422" s="156" t="s">
        <v>525</v>
      </c>
      <c r="G422" s="157" t="str">
        <f t="shared" si="168"/>
        <v>17</v>
      </c>
      <c r="H422" s="156" t="str">
        <f t="shared" si="169"/>
        <v>32 fős egyenes kiesés</v>
      </c>
      <c r="I422" s="157" t="str">
        <f t="shared" si="171"/>
        <v>11-16</v>
      </c>
      <c r="J422" s="156" t="str">
        <f>"Kis Olivér"</f>
        <v>Kis Olivér</v>
      </c>
      <c r="K422" s="156" t="str">
        <f>"KYO Fighter SE"</f>
        <v>KYO Fighter SE</v>
      </c>
      <c r="L422" s="156" t="str">
        <f t="shared" si="163"/>
        <v>HUN</v>
      </c>
      <c r="M422" s="163">
        <v>0</v>
      </c>
      <c r="O422" s="154" t="s">
        <v>248</v>
      </c>
      <c r="P422" s="159">
        <v>46088</v>
      </c>
      <c r="Q422" s="154" t="str">
        <f t="shared" si="164"/>
        <v>Kis Olivér - KYO Fighter SE</v>
      </c>
      <c r="R422" s="154" t="s">
        <v>636</v>
      </c>
      <c r="S422" s="154" t="str">
        <f t="shared" si="165"/>
        <v>KYO Fighter SE</v>
      </c>
      <c r="T422" s="154" t="s">
        <v>645</v>
      </c>
      <c r="U422" s="154" t="s">
        <v>796</v>
      </c>
      <c r="V422" s="154"/>
    </row>
    <row r="423" spans="1:22" s="158" customFormat="1" x14ac:dyDescent="0.3">
      <c r="A423" s="154" t="s">
        <v>776</v>
      </c>
      <c r="B423" s="155">
        <v>2</v>
      </c>
      <c r="C423" s="154">
        <v>346</v>
      </c>
      <c r="D423" s="156" t="str">
        <f t="shared" si="166"/>
        <v>Kata</v>
      </c>
      <c r="E423" s="156" t="str">
        <f t="shared" si="167"/>
        <v>Kata, -, 0-100 kg, Gyerek 2. (11-12</v>
      </c>
      <c r="F423" s="156" t="s">
        <v>525</v>
      </c>
      <c r="G423" s="157" t="str">
        <f t="shared" si="168"/>
        <v>17</v>
      </c>
      <c r="H423" s="156" t="str">
        <f t="shared" si="169"/>
        <v>32 fős egyenes kiesés</v>
      </c>
      <c r="I423" s="157" t="str">
        <f t="shared" si="171"/>
        <v>11-16</v>
      </c>
      <c r="J423" s="156" t="str">
        <f>"Makai Mór"</f>
        <v>Makai Mór</v>
      </c>
      <c r="K423" s="156" t="str">
        <f>"Victory"</f>
        <v>Victory</v>
      </c>
      <c r="L423" s="156" t="str">
        <f t="shared" si="163"/>
        <v>HUN</v>
      </c>
      <c r="M423" s="163">
        <v>0</v>
      </c>
      <c r="O423" s="154" t="s">
        <v>248</v>
      </c>
      <c r="P423" s="159">
        <v>46088</v>
      </c>
      <c r="Q423" s="154" t="str">
        <f t="shared" si="164"/>
        <v>Makai Mór - Victory</v>
      </c>
      <c r="R423" s="154" t="s">
        <v>636</v>
      </c>
      <c r="S423" s="154" t="str">
        <f t="shared" si="165"/>
        <v>Victory</v>
      </c>
      <c r="T423" s="154" t="s">
        <v>645</v>
      </c>
      <c r="U423" s="154" t="s">
        <v>796</v>
      </c>
      <c r="V423" s="154"/>
    </row>
    <row r="424" spans="1:22" s="158" customFormat="1" x14ac:dyDescent="0.3">
      <c r="A424" s="154" t="s">
        <v>776</v>
      </c>
      <c r="B424" s="155">
        <v>2</v>
      </c>
      <c r="C424" s="154">
        <v>347</v>
      </c>
      <c r="D424" s="156" t="str">
        <f t="shared" si="166"/>
        <v>Kata</v>
      </c>
      <c r="E424" s="156" t="str">
        <f t="shared" si="167"/>
        <v>Kata, -, 0-100 kg, Gyerek 2. (11-12</v>
      </c>
      <c r="F424" s="156" t="s">
        <v>525</v>
      </c>
      <c r="G424" s="157" t="str">
        <f t="shared" si="168"/>
        <v>17</v>
      </c>
      <c r="H424" s="156" t="str">
        <f t="shared" si="169"/>
        <v>32 fős egyenes kiesés</v>
      </c>
      <c r="I424" s="157" t="str">
        <f t="shared" si="171"/>
        <v>11-16</v>
      </c>
      <c r="J424" s="156" t="str">
        <f>"Jaksa György"</f>
        <v>Jaksa György</v>
      </c>
      <c r="K424" s="156" t="str">
        <f>"Victory"</f>
        <v>Victory</v>
      </c>
      <c r="L424" s="156" t="str">
        <f t="shared" si="163"/>
        <v>HUN</v>
      </c>
      <c r="M424" s="163">
        <v>0</v>
      </c>
      <c r="O424" s="154" t="s">
        <v>248</v>
      </c>
      <c r="P424" s="159">
        <v>46088</v>
      </c>
      <c r="Q424" s="154" t="str">
        <f t="shared" si="164"/>
        <v>Jaksa György - Victory</v>
      </c>
      <c r="R424" s="154" t="s">
        <v>636</v>
      </c>
      <c r="S424" s="154" t="str">
        <f t="shared" si="165"/>
        <v>Victory</v>
      </c>
      <c r="T424" s="154" t="s">
        <v>645</v>
      </c>
      <c r="U424" s="154" t="s">
        <v>796</v>
      </c>
      <c r="V424" s="154"/>
    </row>
    <row r="425" spans="1:22" s="158" customFormat="1" x14ac:dyDescent="0.3">
      <c r="A425" s="154" t="s">
        <v>776</v>
      </c>
      <c r="B425" s="155">
        <v>2</v>
      </c>
      <c r="C425" s="154">
        <v>348</v>
      </c>
      <c r="D425" s="156" t="str">
        <f t="shared" si="166"/>
        <v>Kata</v>
      </c>
      <c r="E425" s="156" t="str">
        <f t="shared" si="167"/>
        <v>Kata, -, 0-100 kg, Gyerek 2. (11-12</v>
      </c>
      <c r="F425" s="156" t="s">
        <v>525</v>
      </c>
      <c r="G425" s="157" t="str">
        <f t="shared" si="168"/>
        <v>17</v>
      </c>
      <c r="H425" s="156" t="str">
        <f t="shared" si="169"/>
        <v>32 fős egyenes kiesés</v>
      </c>
      <c r="I425" s="157" t="str">
        <f t="shared" si="171"/>
        <v>11-16</v>
      </c>
      <c r="J425" s="156" t="str">
        <f>"Tóth Gergő"</f>
        <v>Tóth Gergő</v>
      </c>
      <c r="K425" s="156" t="str">
        <f>"SONGOKU SE"</f>
        <v>SONGOKU SE</v>
      </c>
      <c r="L425" s="156" t="str">
        <f t="shared" si="163"/>
        <v>HUN</v>
      </c>
      <c r="M425" s="163">
        <v>0</v>
      </c>
      <c r="O425" s="154" t="s">
        <v>248</v>
      </c>
      <c r="P425" s="159">
        <v>46088</v>
      </c>
      <c r="Q425" s="154" t="str">
        <f t="shared" si="164"/>
        <v>Tóth Gergő - SONGOKU SE</v>
      </c>
      <c r="R425" s="154" t="s">
        <v>636</v>
      </c>
      <c r="S425" s="154" t="str">
        <f t="shared" si="165"/>
        <v>SONGOKU SE</v>
      </c>
      <c r="T425" s="154" t="s">
        <v>645</v>
      </c>
      <c r="U425" s="154" t="s">
        <v>796</v>
      </c>
      <c r="V425" s="154"/>
    </row>
    <row r="426" spans="1:22" s="158" customFormat="1" x14ac:dyDescent="0.3">
      <c r="A426" s="154" t="s">
        <v>776</v>
      </c>
      <c r="B426" s="155">
        <v>2</v>
      </c>
      <c r="C426" s="154">
        <v>349</v>
      </c>
      <c r="D426" s="156" t="str">
        <f t="shared" si="166"/>
        <v>Kata</v>
      </c>
      <c r="E426" s="156" t="str">
        <f t="shared" si="167"/>
        <v>Kata, -, 0-100 kg, Gyerek 2. (11-12</v>
      </c>
      <c r="F426" s="156" t="s">
        <v>525</v>
      </c>
      <c r="G426" s="157" t="str">
        <f t="shared" si="168"/>
        <v>17</v>
      </c>
      <c r="H426" s="156" t="str">
        <f t="shared" si="169"/>
        <v>32 fős egyenes kiesés</v>
      </c>
      <c r="I426" s="157" t="str">
        <f t="shared" si="171"/>
        <v>11-16</v>
      </c>
      <c r="J426" s="156" t="str">
        <f>"Berki Tamás"</f>
        <v>Berki Tamás</v>
      </c>
      <c r="K426" s="156" t="str">
        <f>"Victory"</f>
        <v>Victory</v>
      </c>
      <c r="L426" s="156" t="str">
        <f t="shared" si="163"/>
        <v>HUN</v>
      </c>
      <c r="M426" s="163">
        <v>0</v>
      </c>
      <c r="O426" s="154" t="s">
        <v>248</v>
      </c>
      <c r="P426" s="159">
        <v>46088</v>
      </c>
      <c r="Q426" s="154" t="str">
        <f t="shared" si="164"/>
        <v>Berki Tamás - Victory</v>
      </c>
      <c r="R426" s="154" t="s">
        <v>636</v>
      </c>
      <c r="S426" s="154" t="str">
        <f t="shared" si="165"/>
        <v>Victory</v>
      </c>
      <c r="T426" s="154" t="s">
        <v>645</v>
      </c>
      <c r="U426" s="154" t="s">
        <v>796</v>
      </c>
      <c r="V426" s="154"/>
    </row>
    <row r="427" spans="1:22" s="158" customFormat="1" x14ac:dyDescent="0.3">
      <c r="A427" s="154" t="s">
        <v>776</v>
      </c>
      <c r="B427" s="155">
        <v>2</v>
      </c>
      <c r="C427" s="154">
        <v>350</v>
      </c>
      <c r="D427" s="156" t="str">
        <f t="shared" ref="D427:D434" si="172">"Kumite"</f>
        <v>Kumite</v>
      </c>
      <c r="E427" s="156" t="str">
        <f>"Kumite, -, 0-35 kg, Gyerek 2. (11-12"</f>
        <v>Kumite, -, 0-35 kg, Gyerek 2. (11-12</v>
      </c>
      <c r="F427" s="156" t="s">
        <v>517</v>
      </c>
      <c r="G427" s="157" t="str">
        <f>"6"</f>
        <v>6</v>
      </c>
      <c r="H427" s="156" t="str">
        <f>"6 fős vegyes"</f>
        <v>6 fős vegyes</v>
      </c>
      <c r="I427" s="157" t="str">
        <f>"1"</f>
        <v>1</v>
      </c>
      <c r="J427" s="156" t="str">
        <f>"Ungai Eszter"</f>
        <v>Ungai Eszter</v>
      </c>
      <c r="K427" s="156" t="str">
        <f>"Hajdúszoboszló"</f>
        <v>Hajdúszoboszló</v>
      </c>
      <c r="L427" s="156" t="str">
        <f t="shared" si="163"/>
        <v>HUN</v>
      </c>
      <c r="M427" s="163">
        <v>6</v>
      </c>
      <c r="O427" s="154" t="s">
        <v>248</v>
      </c>
      <c r="P427" s="159">
        <v>46088</v>
      </c>
      <c r="Q427" s="154" t="str">
        <f t="shared" si="164"/>
        <v>Ungai Eszter - Hajdúszoboszló</v>
      </c>
      <c r="R427" s="154" t="s">
        <v>636</v>
      </c>
      <c r="S427" s="154" t="str">
        <f t="shared" si="165"/>
        <v>Hajdúszoboszló</v>
      </c>
      <c r="T427" s="154" t="s">
        <v>645</v>
      </c>
      <c r="U427" s="154" t="s">
        <v>796</v>
      </c>
      <c r="V427" s="154"/>
    </row>
    <row r="428" spans="1:22" s="158" customFormat="1" x14ac:dyDescent="0.3">
      <c r="A428" s="154" t="s">
        <v>776</v>
      </c>
      <c r="B428" s="155">
        <v>2</v>
      </c>
      <c r="C428" s="154">
        <v>351</v>
      </c>
      <c r="D428" s="156" t="str">
        <f t="shared" si="172"/>
        <v>Kumite</v>
      </c>
      <c r="E428" s="156" t="str">
        <f>"Kumite, -, 0-35 kg, Gyerek 2. (11-12"</f>
        <v>Kumite, -, 0-35 kg, Gyerek 2. (11-12</v>
      </c>
      <c r="F428" s="156" t="s">
        <v>517</v>
      </c>
      <c r="G428" s="157" t="str">
        <f>"6"</f>
        <v>6</v>
      </c>
      <c r="H428" s="156" t="str">
        <f>"6 fős vegyes"</f>
        <v>6 fős vegyes</v>
      </c>
      <c r="I428" s="157" t="str">
        <f>"2"</f>
        <v>2</v>
      </c>
      <c r="J428" s="156" t="str">
        <f>"Kigó Boróka"</f>
        <v>Kigó Boróka</v>
      </c>
      <c r="K428" s="156" t="str">
        <f>"Victory"</f>
        <v>Victory</v>
      </c>
      <c r="L428" s="156" t="str">
        <f t="shared" si="163"/>
        <v>HUN</v>
      </c>
      <c r="M428" s="163">
        <v>5</v>
      </c>
      <c r="O428" s="154" t="s">
        <v>248</v>
      </c>
      <c r="P428" s="159">
        <v>46088</v>
      </c>
      <c r="Q428" s="154" t="str">
        <f t="shared" si="164"/>
        <v>Kigó Boróka - Victory</v>
      </c>
      <c r="R428" s="154" t="s">
        <v>636</v>
      </c>
      <c r="S428" s="154" t="str">
        <f t="shared" si="165"/>
        <v>Victory</v>
      </c>
      <c r="T428" s="154" t="s">
        <v>645</v>
      </c>
      <c r="U428" s="154" t="s">
        <v>796</v>
      </c>
      <c r="V428" s="154"/>
    </row>
    <row r="429" spans="1:22" s="158" customFormat="1" x14ac:dyDescent="0.3">
      <c r="A429" s="154" t="s">
        <v>776</v>
      </c>
      <c r="B429" s="155">
        <v>2</v>
      </c>
      <c r="C429" s="154">
        <v>352</v>
      </c>
      <c r="D429" s="156" t="str">
        <f t="shared" si="172"/>
        <v>Kumite</v>
      </c>
      <c r="E429" s="156" t="str">
        <f>"Kumite, -, 0-35 kg, Gyerek 2. (11-12"</f>
        <v>Kumite, -, 0-35 kg, Gyerek 2. (11-12</v>
      </c>
      <c r="F429" s="156" t="s">
        <v>517</v>
      </c>
      <c r="G429" s="157" t="str">
        <f>"6"</f>
        <v>6</v>
      </c>
      <c r="H429" s="156" t="str">
        <f>"6 fős vegyes"</f>
        <v>6 fős vegyes</v>
      </c>
      <c r="I429" s="157" t="str">
        <f>"3"</f>
        <v>3</v>
      </c>
      <c r="J429" s="156" t="str">
        <f>"Fürjesi Eszter"</f>
        <v>Fürjesi Eszter</v>
      </c>
      <c r="K429" s="156" t="str">
        <f>"Shogun"</f>
        <v>Shogun</v>
      </c>
      <c r="L429" s="156" t="str">
        <f t="shared" si="163"/>
        <v>HUN</v>
      </c>
      <c r="M429" s="163">
        <v>3</v>
      </c>
      <c r="O429" s="154" t="s">
        <v>248</v>
      </c>
      <c r="P429" s="159">
        <v>46088</v>
      </c>
      <c r="Q429" s="154" t="str">
        <f t="shared" si="164"/>
        <v>Fürjesi Eszter - Shogun</v>
      </c>
      <c r="R429" s="154" t="s">
        <v>636</v>
      </c>
      <c r="S429" s="154" t="str">
        <f t="shared" si="165"/>
        <v>Shogun</v>
      </c>
      <c r="T429" s="154" t="s">
        <v>645</v>
      </c>
      <c r="U429" s="154" t="s">
        <v>796</v>
      </c>
      <c r="V429" s="154"/>
    </row>
    <row r="430" spans="1:22" s="158" customFormat="1" x14ac:dyDescent="0.3">
      <c r="A430" s="154" t="s">
        <v>776</v>
      </c>
      <c r="B430" s="155">
        <v>2</v>
      </c>
      <c r="C430" s="154">
        <v>353</v>
      </c>
      <c r="D430" s="156" t="str">
        <f t="shared" si="172"/>
        <v>Kumite</v>
      </c>
      <c r="E430" s="156" t="str">
        <f>"Kumite, -, 35-40 kg, Gyerek 2. (11-12"</f>
        <v>Kumite, -, 35-40 kg, Gyerek 2. (11-12</v>
      </c>
      <c r="F430" s="156" t="s">
        <v>518</v>
      </c>
      <c r="G430" s="157" t="str">
        <f>"2"</f>
        <v>2</v>
      </c>
      <c r="H430" s="156" t="str">
        <f>"2 fős egyenes kiesés"</f>
        <v>2 fős egyenes kiesés</v>
      </c>
      <c r="I430" s="157" t="str">
        <f>"1"</f>
        <v>1</v>
      </c>
      <c r="J430" s="156" t="str">
        <f>"Fagbola Esther"</f>
        <v>Fagbola Esther</v>
      </c>
      <c r="K430" s="156" t="str">
        <f>"Victory"</f>
        <v>Victory</v>
      </c>
      <c r="L430" s="156" t="str">
        <f t="shared" si="163"/>
        <v>HUN</v>
      </c>
      <c r="M430" s="163">
        <v>3</v>
      </c>
      <c r="O430" s="154" t="s">
        <v>248</v>
      </c>
      <c r="P430" s="159">
        <v>46088</v>
      </c>
      <c r="Q430" s="154" t="str">
        <f t="shared" si="164"/>
        <v>Fagbola Esther - Victory</v>
      </c>
      <c r="R430" s="154" t="s">
        <v>636</v>
      </c>
      <c r="S430" s="154" t="str">
        <f t="shared" si="165"/>
        <v>Victory</v>
      </c>
      <c r="T430" s="154" t="s">
        <v>645</v>
      </c>
      <c r="U430" s="154" t="s">
        <v>796</v>
      </c>
      <c r="V430" s="154"/>
    </row>
    <row r="431" spans="1:22" s="158" customFormat="1" x14ac:dyDescent="0.3">
      <c r="A431" s="154" t="s">
        <v>776</v>
      </c>
      <c r="B431" s="155">
        <v>2</v>
      </c>
      <c r="C431" s="154">
        <v>354</v>
      </c>
      <c r="D431" s="156" t="str">
        <f t="shared" si="172"/>
        <v>Kumite</v>
      </c>
      <c r="E431" s="156" t="str">
        <f>"Kumite, -, 35-40 kg, Gyerek 2. (11-12"</f>
        <v>Kumite, -, 35-40 kg, Gyerek 2. (11-12</v>
      </c>
      <c r="F431" s="156" t="s">
        <v>518</v>
      </c>
      <c r="G431" s="157" t="str">
        <f>"2"</f>
        <v>2</v>
      </c>
      <c r="H431" s="156" t="str">
        <f>"2 fős egyenes kiesés"</f>
        <v>2 fős egyenes kiesés</v>
      </c>
      <c r="I431" s="157" t="str">
        <f>"2"</f>
        <v>2</v>
      </c>
      <c r="J431" s="156" t="str">
        <f>"Téglási Kamilla"</f>
        <v>Téglási Kamilla</v>
      </c>
      <c r="K431" s="156" t="str">
        <f>"Kisvárda KKDOSC"</f>
        <v>Kisvárda KKDOSC</v>
      </c>
      <c r="L431" s="156" t="str">
        <f t="shared" si="163"/>
        <v>HUN</v>
      </c>
      <c r="M431" s="163">
        <v>0</v>
      </c>
      <c r="O431" s="154" t="s">
        <v>248</v>
      </c>
      <c r="P431" s="159">
        <v>46088</v>
      </c>
      <c r="Q431" s="154" t="str">
        <f t="shared" si="164"/>
        <v>Téglási Kamilla - Kisvárda KKDOSC</v>
      </c>
      <c r="R431" s="154" t="s">
        <v>636</v>
      </c>
      <c r="S431" s="154" t="str">
        <f t="shared" si="165"/>
        <v>Kisvárda KKDOSC</v>
      </c>
      <c r="T431" s="154" t="s">
        <v>645</v>
      </c>
      <c r="U431" s="154" t="s">
        <v>796</v>
      </c>
      <c r="V431" s="154"/>
    </row>
    <row r="432" spans="1:22" s="158" customFormat="1" x14ac:dyDescent="0.3">
      <c r="A432" s="154" t="s">
        <v>776</v>
      </c>
      <c r="B432" s="155">
        <v>2</v>
      </c>
      <c r="C432" s="154">
        <v>355</v>
      </c>
      <c r="D432" s="156" t="str">
        <f t="shared" si="172"/>
        <v>Kumite</v>
      </c>
      <c r="E432" s="156" t="str">
        <f>"Kumite, -, 45-200 kg, Gyerek 2. (11-12"</f>
        <v>Kumite, -, 45-200 kg, Gyerek 2. (11-12</v>
      </c>
      <c r="F432" s="156" t="s">
        <v>528</v>
      </c>
      <c r="G432" s="157" t="str">
        <f>"6"</f>
        <v>6</v>
      </c>
      <c r="H432" s="156" t="str">
        <f>"6 fős vegyes"</f>
        <v>6 fős vegyes</v>
      </c>
      <c r="I432" s="157" t="str">
        <f>"1"</f>
        <v>1</v>
      </c>
      <c r="J432" s="156" t="str">
        <f>"Marjai Boglárka"</f>
        <v>Marjai Boglárka</v>
      </c>
      <c r="K432" s="156" t="str">
        <f>"Kelemen-Team"</f>
        <v>Kelemen-Team</v>
      </c>
      <c r="L432" s="156" t="str">
        <f t="shared" si="163"/>
        <v>HUN</v>
      </c>
      <c r="M432" s="163">
        <v>6</v>
      </c>
      <c r="O432" s="154" t="s">
        <v>248</v>
      </c>
      <c r="P432" s="159">
        <v>46088</v>
      </c>
      <c r="Q432" s="154" t="str">
        <f t="shared" si="164"/>
        <v>Marjai Boglárka - Kelemen-Team</v>
      </c>
      <c r="R432" s="154" t="s">
        <v>636</v>
      </c>
      <c r="S432" s="154" t="str">
        <f t="shared" si="165"/>
        <v>Kelemen-Team</v>
      </c>
      <c r="T432" s="154" t="s">
        <v>645</v>
      </c>
      <c r="U432" s="154" t="s">
        <v>796</v>
      </c>
      <c r="V432" s="154"/>
    </row>
    <row r="433" spans="1:22" s="158" customFormat="1" x14ac:dyDescent="0.3">
      <c r="A433" s="154" t="s">
        <v>776</v>
      </c>
      <c r="B433" s="155">
        <v>2</v>
      </c>
      <c r="C433" s="154">
        <v>356</v>
      </c>
      <c r="D433" s="156" t="str">
        <f t="shared" si="172"/>
        <v>Kumite</v>
      </c>
      <c r="E433" s="156" t="str">
        <f>"Kumite, -, 45-200 kg, Gyerek 2. (11-12"</f>
        <v>Kumite, -, 45-200 kg, Gyerek 2. (11-12</v>
      </c>
      <c r="F433" s="156" t="s">
        <v>528</v>
      </c>
      <c r="G433" s="157" t="str">
        <f>"6"</f>
        <v>6</v>
      </c>
      <c r="H433" s="156" t="str">
        <f>"6 fős vegyes"</f>
        <v>6 fős vegyes</v>
      </c>
      <c r="I433" s="157" t="str">
        <f>"2"</f>
        <v>2</v>
      </c>
      <c r="J433" s="156" t="str">
        <f>"Szabó Lilla"</f>
        <v>Szabó Lilla</v>
      </c>
      <c r="K433" s="156" t="str">
        <f>"ShinzóDojo"</f>
        <v>ShinzóDojo</v>
      </c>
      <c r="L433" s="156" t="str">
        <f t="shared" si="163"/>
        <v>HUN</v>
      </c>
      <c r="M433" s="163">
        <v>5</v>
      </c>
      <c r="O433" s="154" t="s">
        <v>248</v>
      </c>
      <c r="P433" s="159">
        <v>46088</v>
      </c>
      <c r="Q433" s="154" t="str">
        <f t="shared" si="164"/>
        <v>Szabó Lilla - ShinzóDojo</v>
      </c>
      <c r="R433" s="154" t="s">
        <v>636</v>
      </c>
      <c r="S433" s="154" t="str">
        <f t="shared" si="165"/>
        <v>ShinzóDojo</v>
      </c>
      <c r="T433" s="154" t="s">
        <v>645</v>
      </c>
      <c r="U433" s="154" t="s">
        <v>796</v>
      </c>
      <c r="V433" s="154"/>
    </row>
    <row r="434" spans="1:22" s="158" customFormat="1" x14ac:dyDescent="0.3">
      <c r="A434" s="154" t="s">
        <v>776</v>
      </c>
      <c r="B434" s="155">
        <v>2</v>
      </c>
      <c r="C434" s="154">
        <v>357</v>
      </c>
      <c r="D434" s="156" t="str">
        <f t="shared" si="172"/>
        <v>Kumite</v>
      </c>
      <c r="E434" s="156" t="str">
        <f>"Kumite, -, 45-200 kg, Gyerek 2. (11-12"</f>
        <v>Kumite, -, 45-200 kg, Gyerek 2. (11-12</v>
      </c>
      <c r="F434" s="156" t="s">
        <v>528</v>
      </c>
      <c r="G434" s="157" t="str">
        <f>"6"</f>
        <v>6</v>
      </c>
      <c r="H434" s="156" t="str">
        <f>"6 fős vegyes"</f>
        <v>6 fős vegyes</v>
      </c>
      <c r="I434" s="157" t="str">
        <f>"3"</f>
        <v>3</v>
      </c>
      <c r="J434" s="156" t="str">
        <f>"Dászkál Dorottya"</f>
        <v>Dászkál Dorottya</v>
      </c>
      <c r="K434" s="156" t="str">
        <f>"Shogun"</f>
        <v>Shogun</v>
      </c>
      <c r="L434" s="156" t="str">
        <f t="shared" si="163"/>
        <v>HUN</v>
      </c>
      <c r="M434" s="163">
        <v>3</v>
      </c>
      <c r="O434" s="154" t="s">
        <v>248</v>
      </c>
      <c r="P434" s="159">
        <v>46088</v>
      </c>
      <c r="Q434" s="154" t="str">
        <f t="shared" si="164"/>
        <v>Dászkál Dorottya - Shogun</v>
      </c>
      <c r="R434" s="154" t="s">
        <v>636</v>
      </c>
      <c r="S434" s="154" t="str">
        <f t="shared" si="165"/>
        <v>Shogun</v>
      </c>
      <c r="T434" s="154" t="s">
        <v>645</v>
      </c>
      <c r="U434" s="154" t="s">
        <v>796</v>
      </c>
      <c r="V434" s="154"/>
    </row>
    <row r="435" spans="1:22" s="158" customFormat="1" x14ac:dyDescent="0.3">
      <c r="A435" s="154" t="s">
        <v>776</v>
      </c>
      <c r="B435" s="155">
        <v>2</v>
      </c>
      <c r="C435" s="154">
        <v>358</v>
      </c>
      <c r="D435" s="156" t="str">
        <f t="shared" ref="D435:D448" si="173">"Kata"</f>
        <v>Kata</v>
      </c>
      <c r="E435" s="156" t="str">
        <f t="shared" ref="E435:E448" si="174">"Kata, -, 0-100 kg, Gyerek 2. (11-12"</f>
        <v>Kata, -, 0-100 kg, Gyerek 2. (11-12</v>
      </c>
      <c r="F435" s="156" t="s">
        <v>526</v>
      </c>
      <c r="G435" s="157" t="str">
        <f t="shared" ref="G435:G448" si="175">"14"</f>
        <v>14</v>
      </c>
      <c r="H435" s="156" t="str">
        <f t="shared" ref="H435:H448" si="176">"16 fős egyenes kiesés"</f>
        <v>16 fős egyenes kiesés</v>
      </c>
      <c r="I435" s="157" t="str">
        <f>"1"</f>
        <v>1</v>
      </c>
      <c r="J435" s="156" t="str">
        <f>"Damu Zsanett"</f>
        <v>Damu Zsanett</v>
      </c>
      <c r="K435" s="156" t="str">
        <f>"Kagami"</f>
        <v>Kagami</v>
      </c>
      <c r="L435" s="156" t="str">
        <f t="shared" si="163"/>
        <v>HUN</v>
      </c>
      <c r="M435" s="163">
        <v>6</v>
      </c>
      <c r="O435" s="154" t="s">
        <v>248</v>
      </c>
      <c r="P435" s="159">
        <v>46088</v>
      </c>
      <c r="Q435" s="154" t="str">
        <f t="shared" si="164"/>
        <v>Damu Zsanett - Kagami</v>
      </c>
      <c r="R435" s="154" t="s">
        <v>636</v>
      </c>
      <c r="S435" s="154" t="str">
        <f t="shared" si="165"/>
        <v>Kagami</v>
      </c>
      <c r="T435" s="154" t="s">
        <v>645</v>
      </c>
      <c r="U435" s="154" t="s">
        <v>796</v>
      </c>
      <c r="V435" s="154"/>
    </row>
    <row r="436" spans="1:22" s="158" customFormat="1" x14ac:dyDescent="0.3">
      <c r="A436" s="154" t="s">
        <v>776</v>
      </c>
      <c r="B436" s="155">
        <v>2</v>
      </c>
      <c r="C436" s="154">
        <v>359</v>
      </c>
      <c r="D436" s="156" t="str">
        <f t="shared" si="173"/>
        <v>Kata</v>
      </c>
      <c r="E436" s="156" t="str">
        <f t="shared" si="174"/>
        <v>Kata, -, 0-100 kg, Gyerek 2. (11-12</v>
      </c>
      <c r="F436" s="156" t="s">
        <v>526</v>
      </c>
      <c r="G436" s="157" t="str">
        <f t="shared" si="175"/>
        <v>14</v>
      </c>
      <c r="H436" s="156" t="str">
        <f t="shared" si="176"/>
        <v>16 fős egyenes kiesés</v>
      </c>
      <c r="I436" s="157" t="str">
        <f>"2"</f>
        <v>2</v>
      </c>
      <c r="J436" s="156" t="str">
        <f>"MOLNÁR MINKA"</f>
        <v>MOLNÁR MINKA</v>
      </c>
      <c r="K436" s="156" t="str">
        <f>"Victory"</f>
        <v>Victory</v>
      </c>
      <c r="L436" s="156" t="str">
        <f t="shared" si="163"/>
        <v>HUN</v>
      </c>
      <c r="M436" s="163">
        <v>5</v>
      </c>
      <c r="O436" s="154" t="s">
        <v>248</v>
      </c>
      <c r="P436" s="159">
        <v>46088</v>
      </c>
      <c r="Q436" s="154" t="str">
        <f t="shared" si="164"/>
        <v>MOLNÁR MINKA - Victory</v>
      </c>
      <c r="R436" s="154" t="s">
        <v>636</v>
      </c>
      <c r="S436" s="154" t="str">
        <f t="shared" si="165"/>
        <v>Victory</v>
      </c>
      <c r="T436" s="154" t="s">
        <v>645</v>
      </c>
      <c r="U436" s="154" t="s">
        <v>796</v>
      </c>
      <c r="V436" s="154"/>
    </row>
    <row r="437" spans="1:22" s="158" customFormat="1" x14ac:dyDescent="0.3">
      <c r="A437" s="154" t="s">
        <v>776</v>
      </c>
      <c r="B437" s="155">
        <v>2</v>
      </c>
      <c r="C437" s="154">
        <v>360</v>
      </c>
      <c r="D437" s="156" t="str">
        <f t="shared" si="173"/>
        <v>Kata</v>
      </c>
      <c r="E437" s="156" t="str">
        <f t="shared" si="174"/>
        <v>Kata, -, 0-100 kg, Gyerek 2. (11-12</v>
      </c>
      <c r="F437" s="156" t="s">
        <v>526</v>
      </c>
      <c r="G437" s="157" t="str">
        <f t="shared" si="175"/>
        <v>14</v>
      </c>
      <c r="H437" s="156" t="str">
        <f t="shared" si="176"/>
        <v>16 fős egyenes kiesés</v>
      </c>
      <c r="I437" s="157" t="str">
        <f>"3"</f>
        <v>3</v>
      </c>
      <c r="J437" s="156" t="str">
        <f>"Huszár Hanna"</f>
        <v>Huszár Hanna</v>
      </c>
      <c r="K437" s="156" t="str">
        <f>"Kemecse SE"</f>
        <v>Kemecse SE</v>
      </c>
      <c r="L437" s="156" t="str">
        <f t="shared" si="163"/>
        <v>HUN</v>
      </c>
      <c r="M437" s="163">
        <v>3</v>
      </c>
      <c r="O437" s="154" t="s">
        <v>248</v>
      </c>
      <c r="P437" s="159">
        <v>46088</v>
      </c>
      <c r="Q437" s="154" t="str">
        <f t="shared" si="164"/>
        <v>Huszár Hanna - Kemecse SE</v>
      </c>
      <c r="R437" s="154" t="s">
        <v>636</v>
      </c>
      <c r="S437" s="154" t="str">
        <f t="shared" si="165"/>
        <v>Kemecse SE</v>
      </c>
      <c r="T437" s="154" t="s">
        <v>645</v>
      </c>
      <c r="U437" s="154" t="s">
        <v>796</v>
      </c>
      <c r="V437" s="154"/>
    </row>
    <row r="438" spans="1:22" s="158" customFormat="1" x14ac:dyDescent="0.3">
      <c r="A438" s="154" t="s">
        <v>776</v>
      </c>
      <c r="B438" s="155">
        <v>2</v>
      </c>
      <c r="C438" s="154">
        <v>361</v>
      </c>
      <c r="D438" s="156" t="str">
        <f t="shared" si="173"/>
        <v>Kata</v>
      </c>
      <c r="E438" s="156" t="str">
        <f t="shared" si="174"/>
        <v>Kata, -, 0-100 kg, Gyerek 2. (11-12</v>
      </c>
      <c r="F438" s="156" t="s">
        <v>526</v>
      </c>
      <c r="G438" s="157" t="str">
        <f t="shared" si="175"/>
        <v>14</v>
      </c>
      <c r="H438" s="156" t="str">
        <f t="shared" si="176"/>
        <v>16 fős egyenes kiesés</v>
      </c>
      <c r="I438" s="157" t="str">
        <f>"3"</f>
        <v>3</v>
      </c>
      <c r="J438" s="156" t="str">
        <f>"Fagbola Esther"</f>
        <v>Fagbola Esther</v>
      </c>
      <c r="K438" s="156" t="str">
        <f>"Victory"</f>
        <v>Victory</v>
      </c>
      <c r="L438" s="156" t="str">
        <f t="shared" si="163"/>
        <v>HUN</v>
      </c>
      <c r="M438" s="163">
        <v>3</v>
      </c>
      <c r="O438" s="154" t="s">
        <v>248</v>
      </c>
      <c r="P438" s="159">
        <v>46088</v>
      </c>
      <c r="Q438" s="154" t="str">
        <f t="shared" si="164"/>
        <v>Fagbola Esther - Victory</v>
      </c>
      <c r="R438" s="154" t="s">
        <v>636</v>
      </c>
      <c r="S438" s="154" t="str">
        <f t="shared" si="165"/>
        <v>Victory</v>
      </c>
      <c r="T438" s="154" t="s">
        <v>645</v>
      </c>
      <c r="U438" s="154" t="s">
        <v>796</v>
      </c>
      <c r="V438" s="154"/>
    </row>
    <row r="439" spans="1:22" s="158" customFormat="1" x14ac:dyDescent="0.3">
      <c r="A439" s="154" t="s">
        <v>776</v>
      </c>
      <c r="B439" s="155">
        <v>2</v>
      </c>
      <c r="C439" s="154">
        <v>362</v>
      </c>
      <c r="D439" s="156" t="str">
        <f t="shared" si="173"/>
        <v>Kata</v>
      </c>
      <c r="E439" s="156" t="str">
        <f t="shared" si="174"/>
        <v>Kata, -, 0-100 kg, Gyerek 2. (11-12</v>
      </c>
      <c r="F439" s="156" t="s">
        <v>526</v>
      </c>
      <c r="G439" s="157" t="str">
        <f t="shared" si="175"/>
        <v>14</v>
      </c>
      <c r="H439" s="156" t="str">
        <f t="shared" si="176"/>
        <v>16 fős egyenes kiesés</v>
      </c>
      <c r="I439" s="157" t="str">
        <f>"5"</f>
        <v>5</v>
      </c>
      <c r="J439" s="156" t="str">
        <f>"Kis Emma"</f>
        <v>Kis Emma</v>
      </c>
      <c r="K439" s="156" t="str">
        <f>"Shogun"</f>
        <v>Shogun</v>
      </c>
      <c r="L439" s="156" t="str">
        <f t="shared" si="163"/>
        <v>HUN</v>
      </c>
      <c r="M439" s="163">
        <v>1</v>
      </c>
      <c r="O439" s="154" t="s">
        <v>248</v>
      </c>
      <c r="P439" s="159">
        <v>46088</v>
      </c>
      <c r="Q439" s="154" t="str">
        <f t="shared" si="164"/>
        <v>Kis Emma - Shogun</v>
      </c>
      <c r="R439" s="154" t="s">
        <v>636</v>
      </c>
      <c r="S439" s="154" t="str">
        <f t="shared" si="165"/>
        <v>Shogun</v>
      </c>
      <c r="T439" s="154" t="s">
        <v>645</v>
      </c>
      <c r="U439" s="154" t="s">
        <v>796</v>
      </c>
      <c r="V439" s="154"/>
    </row>
    <row r="440" spans="1:22" s="158" customFormat="1" x14ac:dyDescent="0.3">
      <c r="A440" s="154" t="s">
        <v>776</v>
      </c>
      <c r="B440" s="155">
        <v>2</v>
      </c>
      <c r="C440" s="154">
        <v>363</v>
      </c>
      <c r="D440" s="156" t="str">
        <f t="shared" si="173"/>
        <v>Kata</v>
      </c>
      <c r="E440" s="156" t="str">
        <f t="shared" si="174"/>
        <v>Kata, -, 0-100 kg, Gyerek 2. (11-12</v>
      </c>
      <c r="F440" s="156" t="s">
        <v>526</v>
      </c>
      <c r="G440" s="157" t="str">
        <f t="shared" si="175"/>
        <v>14</v>
      </c>
      <c r="H440" s="156" t="str">
        <f t="shared" si="176"/>
        <v>16 fős egyenes kiesés</v>
      </c>
      <c r="I440" s="157" t="str">
        <f>"6"</f>
        <v>6</v>
      </c>
      <c r="J440" s="156" t="str">
        <f>"Téglási Kamilla"</f>
        <v>Téglási Kamilla</v>
      </c>
      <c r="K440" s="156" t="str">
        <f>"Kisvárda KKDOSC"</f>
        <v>Kisvárda KKDOSC</v>
      </c>
      <c r="L440" s="156" t="str">
        <f t="shared" si="163"/>
        <v>HUN</v>
      </c>
      <c r="M440" s="163">
        <v>1</v>
      </c>
      <c r="O440" s="154" t="s">
        <v>248</v>
      </c>
      <c r="P440" s="159">
        <v>46088</v>
      </c>
      <c r="Q440" s="154" t="str">
        <f t="shared" si="164"/>
        <v>Téglási Kamilla - Kisvárda KKDOSC</v>
      </c>
      <c r="R440" s="154" t="s">
        <v>636</v>
      </c>
      <c r="S440" s="154" t="str">
        <f t="shared" si="165"/>
        <v>Kisvárda KKDOSC</v>
      </c>
      <c r="T440" s="154" t="s">
        <v>645</v>
      </c>
      <c r="U440" s="154" t="s">
        <v>796</v>
      </c>
      <c r="V440" s="154"/>
    </row>
    <row r="441" spans="1:22" s="158" customFormat="1" x14ac:dyDescent="0.3">
      <c r="A441" s="154" t="s">
        <v>776</v>
      </c>
      <c r="B441" s="155">
        <v>2</v>
      </c>
      <c r="C441" s="154">
        <v>364</v>
      </c>
      <c r="D441" s="156" t="str">
        <f t="shared" si="173"/>
        <v>Kata</v>
      </c>
      <c r="E441" s="156" t="str">
        <f t="shared" si="174"/>
        <v>Kata, -, 0-100 kg, Gyerek 2. (11-12</v>
      </c>
      <c r="F441" s="156" t="s">
        <v>526</v>
      </c>
      <c r="G441" s="157" t="str">
        <f t="shared" si="175"/>
        <v>14</v>
      </c>
      <c r="H441" s="156" t="str">
        <f t="shared" si="176"/>
        <v>16 fős egyenes kiesés</v>
      </c>
      <c r="I441" s="157" t="str">
        <f>"7-8"</f>
        <v>7-8</v>
      </c>
      <c r="J441" s="156" t="str">
        <f>"Cserép Nóra"</f>
        <v>Cserép Nóra</v>
      </c>
      <c r="K441" s="156" t="str">
        <f>"Kelemen-Team"</f>
        <v>Kelemen-Team</v>
      </c>
      <c r="L441" s="156" t="str">
        <f t="shared" si="163"/>
        <v>HUN</v>
      </c>
      <c r="M441" s="163">
        <v>0</v>
      </c>
      <c r="N441" s="158" t="s">
        <v>704</v>
      </c>
      <c r="O441" s="154" t="s">
        <v>248</v>
      </c>
      <c r="P441" s="159">
        <v>46088</v>
      </c>
      <c r="Q441" s="154" t="str">
        <f t="shared" si="164"/>
        <v>Cserép Nóra - Kelemen-Team</v>
      </c>
      <c r="R441" s="154" t="s">
        <v>636</v>
      </c>
      <c r="S441" s="154" t="str">
        <f t="shared" si="165"/>
        <v>Kelemen-Team</v>
      </c>
      <c r="T441" s="154" t="s">
        <v>645</v>
      </c>
      <c r="U441" s="154" t="s">
        <v>796</v>
      </c>
      <c r="V441" s="154"/>
    </row>
    <row r="442" spans="1:22" s="158" customFormat="1" x14ac:dyDescent="0.3">
      <c r="A442" s="154" t="s">
        <v>776</v>
      </c>
      <c r="B442" s="155">
        <v>2</v>
      </c>
      <c r="C442" s="154">
        <v>299</v>
      </c>
      <c r="D442" s="156" t="str">
        <f>"Kata"</f>
        <v>Kata</v>
      </c>
      <c r="E442" s="156" t="str">
        <f>"Kata, -, 0-100 kg, Gyerek 2. (11-12"</f>
        <v>Kata, -, 0-100 kg, Gyerek 2. (11-12</v>
      </c>
      <c r="F442" s="156" t="s">
        <v>526</v>
      </c>
      <c r="G442" s="157" t="str">
        <f>"14"</f>
        <v>14</v>
      </c>
      <c r="H442" s="156" t="str">
        <f t="shared" si="151"/>
        <v>16 fős egyenes kiesés</v>
      </c>
      <c r="I442" s="157" t="str">
        <f>"7-8"</f>
        <v>7-8</v>
      </c>
      <c r="J442" s="156" t="str">
        <f>"Pista Nóra"</f>
        <v>Pista Nóra</v>
      </c>
      <c r="K442" s="156" t="str">
        <f>"Bendiák Dojo"</f>
        <v>Bendiák Dojo</v>
      </c>
      <c r="L442" s="156" t="str">
        <f t="shared" si="135"/>
        <v>HUN</v>
      </c>
      <c r="M442" s="163">
        <v>0</v>
      </c>
      <c r="N442" s="158" t="s">
        <v>704</v>
      </c>
      <c r="O442" s="154" t="s">
        <v>248</v>
      </c>
      <c r="P442" s="159">
        <v>46088</v>
      </c>
      <c r="Q442" s="154" t="str">
        <f>J442&amp;" - "&amp;K442</f>
        <v>Pista Nóra - Bendiák Dojo</v>
      </c>
      <c r="R442" s="154" t="s">
        <v>636</v>
      </c>
      <c r="S442" s="154" t="str">
        <f>K442</f>
        <v>Bendiák Dojo</v>
      </c>
      <c r="T442" s="154" t="s">
        <v>645</v>
      </c>
      <c r="U442" s="154" t="s">
        <v>796</v>
      </c>
      <c r="V442" s="154"/>
    </row>
    <row r="443" spans="1:22" s="158" customFormat="1" x14ac:dyDescent="0.3">
      <c r="A443" s="154" t="s">
        <v>776</v>
      </c>
      <c r="B443" s="155">
        <v>2</v>
      </c>
      <c r="C443" s="154">
        <v>365</v>
      </c>
      <c r="D443" s="156" t="str">
        <f t="shared" si="173"/>
        <v>Kata</v>
      </c>
      <c r="E443" s="156" t="str">
        <f t="shared" si="174"/>
        <v>Kata, -, 0-100 kg, Gyerek 2. (11-12</v>
      </c>
      <c r="F443" s="156" t="s">
        <v>526</v>
      </c>
      <c r="G443" s="157" t="str">
        <f t="shared" si="175"/>
        <v>14</v>
      </c>
      <c r="H443" s="156" t="str">
        <f t="shared" si="176"/>
        <v>16 fős egyenes kiesés</v>
      </c>
      <c r="I443" s="157" t="str">
        <f>"9"</f>
        <v>9</v>
      </c>
      <c r="J443" s="156" t="str">
        <f>"Varga Zoé"</f>
        <v>Varga Zoé</v>
      </c>
      <c r="K443" s="156" t="str">
        <f>"Kemecse SE"</f>
        <v>Kemecse SE</v>
      </c>
      <c r="L443" s="156" t="str">
        <f t="shared" si="163"/>
        <v>HUN</v>
      </c>
      <c r="M443" s="163">
        <v>0</v>
      </c>
      <c r="O443" s="154" t="s">
        <v>248</v>
      </c>
      <c r="P443" s="159">
        <v>46088</v>
      </c>
      <c r="Q443" s="154" t="str">
        <f t="shared" si="164"/>
        <v>Varga Zoé - Kemecse SE</v>
      </c>
      <c r="R443" s="154" t="s">
        <v>636</v>
      </c>
      <c r="S443" s="154" t="str">
        <f t="shared" si="165"/>
        <v>Kemecse SE</v>
      </c>
      <c r="T443" s="154" t="s">
        <v>645</v>
      </c>
      <c r="U443" s="154" t="s">
        <v>796</v>
      </c>
      <c r="V443" s="154"/>
    </row>
    <row r="444" spans="1:22" s="158" customFormat="1" x14ac:dyDescent="0.3">
      <c r="A444" s="154" t="s">
        <v>776</v>
      </c>
      <c r="B444" s="155">
        <v>2</v>
      </c>
      <c r="C444" s="154">
        <v>366</v>
      </c>
      <c r="D444" s="156" t="str">
        <f t="shared" si="173"/>
        <v>Kata</v>
      </c>
      <c r="E444" s="156" t="str">
        <f t="shared" si="174"/>
        <v>Kata, -, 0-100 kg, Gyerek 2. (11-12</v>
      </c>
      <c r="F444" s="156" t="s">
        <v>526</v>
      </c>
      <c r="G444" s="157" t="str">
        <f t="shared" si="175"/>
        <v>14</v>
      </c>
      <c r="H444" s="156" t="str">
        <f t="shared" si="176"/>
        <v>16 fős egyenes kiesés</v>
      </c>
      <c r="I444" s="157" t="str">
        <f>"10"</f>
        <v>10</v>
      </c>
      <c r="J444" s="156" t="str">
        <f>"Fürjesi Eszter"</f>
        <v>Fürjesi Eszter</v>
      </c>
      <c r="K444" s="156" t="str">
        <f>"Shogun"</f>
        <v>Shogun</v>
      </c>
      <c r="L444" s="156" t="str">
        <f t="shared" si="163"/>
        <v>HUN</v>
      </c>
      <c r="M444" s="163">
        <v>0</v>
      </c>
      <c r="O444" s="154" t="s">
        <v>248</v>
      </c>
      <c r="P444" s="159">
        <v>46088</v>
      </c>
      <c r="Q444" s="154" t="str">
        <f t="shared" si="164"/>
        <v>Fürjesi Eszter - Shogun</v>
      </c>
      <c r="R444" s="154" t="s">
        <v>636</v>
      </c>
      <c r="S444" s="154" t="str">
        <f t="shared" si="165"/>
        <v>Shogun</v>
      </c>
      <c r="T444" s="154" t="s">
        <v>645</v>
      </c>
      <c r="U444" s="154" t="s">
        <v>796</v>
      </c>
      <c r="V444" s="154"/>
    </row>
    <row r="445" spans="1:22" s="158" customFormat="1" x14ac:dyDescent="0.3">
      <c r="A445" s="154" t="s">
        <v>776</v>
      </c>
      <c r="B445" s="155">
        <v>2</v>
      </c>
      <c r="C445" s="154">
        <v>367</v>
      </c>
      <c r="D445" s="156" t="str">
        <f t="shared" si="173"/>
        <v>Kata</v>
      </c>
      <c r="E445" s="156" t="str">
        <f t="shared" si="174"/>
        <v>Kata, -, 0-100 kg, Gyerek 2. (11-12</v>
      </c>
      <c r="F445" s="156" t="s">
        <v>526</v>
      </c>
      <c r="G445" s="157" t="str">
        <f t="shared" si="175"/>
        <v>14</v>
      </c>
      <c r="H445" s="156" t="str">
        <f t="shared" si="176"/>
        <v>16 fős egyenes kiesés</v>
      </c>
      <c r="I445" s="157" t="str">
        <f>"11-16"</f>
        <v>11-16</v>
      </c>
      <c r="J445" s="156" t="str">
        <f>"Sárközi Nóra"</f>
        <v>Sárközi Nóra</v>
      </c>
      <c r="K445" s="156" t="str">
        <f>"Shogun"</f>
        <v>Shogun</v>
      </c>
      <c r="L445" s="156" t="str">
        <f t="shared" si="163"/>
        <v>HUN</v>
      </c>
      <c r="M445" s="163">
        <v>0</v>
      </c>
      <c r="O445" s="154" t="s">
        <v>248</v>
      </c>
      <c r="P445" s="159">
        <v>46088</v>
      </c>
      <c r="Q445" s="154" t="str">
        <f t="shared" si="164"/>
        <v>Sárközi Nóra - Shogun</v>
      </c>
      <c r="R445" s="154" t="s">
        <v>636</v>
      </c>
      <c r="S445" s="154" t="str">
        <f t="shared" si="165"/>
        <v>Shogun</v>
      </c>
      <c r="T445" s="154" t="s">
        <v>645</v>
      </c>
      <c r="U445" s="154" t="s">
        <v>796</v>
      </c>
      <c r="V445" s="154"/>
    </row>
    <row r="446" spans="1:22" s="158" customFormat="1" x14ac:dyDescent="0.3">
      <c r="A446" s="154" t="s">
        <v>776</v>
      </c>
      <c r="B446" s="155">
        <v>2</v>
      </c>
      <c r="C446" s="154">
        <v>368</v>
      </c>
      <c r="D446" s="156" t="str">
        <f t="shared" si="173"/>
        <v>Kata</v>
      </c>
      <c r="E446" s="156" t="str">
        <f t="shared" si="174"/>
        <v>Kata, -, 0-100 kg, Gyerek 2. (11-12</v>
      </c>
      <c r="F446" s="156" t="s">
        <v>526</v>
      </c>
      <c r="G446" s="157" t="str">
        <f t="shared" si="175"/>
        <v>14</v>
      </c>
      <c r="H446" s="156" t="str">
        <f t="shared" si="176"/>
        <v>16 fős egyenes kiesés</v>
      </c>
      <c r="I446" s="157" t="str">
        <f>"11-16"</f>
        <v>11-16</v>
      </c>
      <c r="J446" s="156" t="str">
        <f>"Kigó Boróka"</f>
        <v>Kigó Boróka</v>
      </c>
      <c r="K446" s="156" t="str">
        <f>"Victory"</f>
        <v>Victory</v>
      </c>
      <c r="L446" s="156" t="str">
        <f t="shared" si="163"/>
        <v>HUN</v>
      </c>
      <c r="M446" s="163">
        <v>0</v>
      </c>
      <c r="O446" s="154" t="s">
        <v>248</v>
      </c>
      <c r="P446" s="159">
        <v>46088</v>
      </c>
      <c r="Q446" s="154" t="str">
        <f t="shared" si="164"/>
        <v>Kigó Boróka - Victory</v>
      </c>
      <c r="R446" s="154" t="s">
        <v>636</v>
      </c>
      <c r="S446" s="154" t="str">
        <f t="shared" si="165"/>
        <v>Victory</v>
      </c>
      <c r="T446" s="154" t="s">
        <v>645</v>
      </c>
      <c r="U446" s="154" t="s">
        <v>796</v>
      </c>
      <c r="V446" s="154"/>
    </row>
    <row r="447" spans="1:22" s="158" customFormat="1" x14ac:dyDescent="0.3">
      <c r="A447" s="154" t="s">
        <v>776</v>
      </c>
      <c r="B447" s="155">
        <v>2</v>
      </c>
      <c r="C447" s="154">
        <v>369</v>
      </c>
      <c r="D447" s="156" t="str">
        <f t="shared" si="173"/>
        <v>Kata</v>
      </c>
      <c r="E447" s="156" t="str">
        <f t="shared" si="174"/>
        <v>Kata, -, 0-100 kg, Gyerek 2. (11-12</v>
      </c>
      <c r="F447" s="156" t="s">
        <v>526</v>
      </c>
      <c r="G447" s="157" t="str">
        <f t="shared" si="175"/>
        <v>14</v>
      </c>
      <c r="H447" s="156" t="str">
        <f t="shared" si="176"/>
        <v>16 fős egyenes kiesés</v>
      </c>
      <c r="I447" s="157" t="str">
        <f>"11-16"</f>
        <v>11-16</v>
      </c>
      <c r="J447" s="156" t="str">
        <f>"Szabó Lilla"</f>
        <v>Szabó Lilla</v>
      </c>
      <c r="K447" s="156" t="str">
        <f>"ShinzóDojo"</f>
        <v>ShinzóDojo</v>
      </c>
      <c r="L447" s="156" t="str">
        <f t="shared" si="163"/>
        <v>HUN</v>
      </c>
      <c r="M447" s="163">
        <v>0</v>
      </c>
      <c r="O447" s="154" t="s">
        <v>248</v>
      </c>
      <c r="P447" s="159">
        <v>46088</v>
      </c>
      <c r="Q447" s="154" t="str">
        <f t="shared" si="164"/>
        <v>Szabó Lilla - ShinzóDojo</v>
      </c>
      <c r="R447" s="154" t="s">
        <v>636</v>
      </c>
      <c r="S447" s="154" t="str">
        <f t="shared" si="165"/>
        <v>ShinzóDojo</v>
      </c>
      <c r="T447" s="154" t="s">
        <v>645</v>
      </c>
      <c r="U447" s="154" t="s">
        <v>796</v>
      </c>
      <c r="V447" s="154"/>
    </row>
    <row r="448" spans="1:22" s="158" customFormat="1" x14ac:dyDescent="0.3">
      <c r="A448" s="154" t="s">
        <v>776</v>
      </c>
      <c r="B448" s="155">
        <v>2</v>
      </c>
      <c r="C448" s="154">
        <v>370</v>
      </c>
      <c r="D448" s="156" t="str">
        <f t="shared" si="173"/>
        <v>Kata</v>
      </c>
      <c r="E448" s="156" t="str">
        <f t="shared" si="174"/>
        <v>Kata, -, 0-100 kg, Gyerek 2. (11-12</v>
      </c>
      <c r="F448" s="156" t="s">
        <v>526</v>
      </c>
      <c r="G448" s="157" t="str">
        <f t="shared" si="175"/>
        <v>14</v>
      </c>
      <c r="H448" s="156" t="str">
        <f t="shared" si="176"/>
        <v>16 fős egyenes kiesés</v>
      </c>
      <c r="I448" s="157" t="str">
        <f>"11-16"</f>
        <v>11-16</v>
      </c>
      <c r="J448" s="156" t="str">
        <f>"Dászkál Dorottya"</f>
        <v>Dászkál Dorottya</v>
      </c>
      <c r="K448" s="156" t="str">
        <f>"Shogun"</f>
        <v>Shogun</v>
      </c>
      <c r="L448" s="156" t="str">
        <f t="shared" si="163"/>
        <v>HUN</v>
      </c>
      <c r="M448" s="163">
        <v>0</v>
      </c>
      <c r="O448" s="154" t="s">
        <v>248</v>
      </c>
      <c r="P448" s="159">
        <v>46088</v>
      </c>
      <c r="Q448" s="154" t="str">
        <f t="shared" si="164"/>
        <v>Dászkál Dorottya - Shogun</v>
      </c>
      <c r="R448" s="154" t="s">
        <v>636</v>
      </c>
      <c r="S448" s="154" t="str">
        <f t="shared" si="165"/>
        <v>Shogun</v>
      </c>
      <c r="T448" s="154" t="s">
        <v>645</v>
      </c>
      <c r="U448" s="154" t="s">
        <v>796</v>
      </c>
      <c r="V448" s="154"/>
    </row>
    <row r="449" spans="1:22" s="158" customFormat="1" x14ac:dyDescent="0.3">
      <c r="A449" s="154" t="s">
        <v>776</v>
      </c>
      <c r="B449" s="155">
        <v>2</v>
      </c>
      <c r="C449" s="154">
        <v>371</v>
      </c>
      <c r="D449" s="156" t="str">
        <f t="shared" ref="D449:D469" si="177">"Kumite"</f>
        <v>Kumite</v>
      </c>
      <c r="E449" s="156" t="str">
        <f>"Kumite, -, 0-40 kg, Serdülő (13-14"</f>
        <v>Kumite, -, 0-40 kg, Serdülő (13-14</v>
      </c>
      <c r="F449" s="156" t="s">
        <v>529</v>
      </c>
      <c r="G449" s="157" t="str">
        <f>"5"</f>
        <v>5</v>
      </c>
      <c r="H449" s="156" t="str">
        <f>"5 fős körmérkőzés"</f>
        <v>5 fős körmérkőzés</v>
      </c>
      <c r="I449" s="157" t="str">
        <f>"1"</f>
        <v>1</v>
      </c>
      <c r="J449" s="156" t="str">
        <f>"Veress Dávid"</f>
        <v>Veress Dávid</v>
      </c>
      <c r="K449" s="156" t="str">
        <f>"KHSE"</f>
        <v>KHSE</v>
      </c>
      <c r="L449" s="156" t="str">
        <f t="shared" si="163"/>
        <v>HUN</v>
      </c>
      <c r="M449" s="163">
        <v>8</v>
      </c>
      <c r="O449" s="154" t="s">
        <v>248</v>
      </c>
      <c r="P449" s="159">
        <v>46088</v>
      </c>
      <c r="Q449" s="154" t="str">
        <f t="shared" si="164"/>
        <v>Veress Dávid - KHSE</v>
      </c>
      <c r="R449" s="154" t="s">
        <v>636</v>
      </c>
      <c r="S449" s="154" t="str">
        <f t="shared" si="165"/>
        <v>KHSE</v>
      </c>
      <c r="T449" s="154" t="s">
        <v>645</v>
      </c>
      <c r="U449" s="154" t="s">
        <v>797</v>
      </c>
      <c r="V449" s="154"/>
    </row>
    <row r="450" spans="1:22" s="158" customFormat="1" x14ac:dyDescent="0.3">
      <c r="A450" s="154" t="s">
        <v>776</v>
      </c>
      <c r="B450" s="155">
        <v>2</v>
      </c>
      <c r="C450" s="154">
        <v>372</v>
      </c>
      <c r="D450" s="156" t="str">
        <f t="shared" si="177"/>
        <v>Kumite</v>
      </c>
      <c r="E450" s="156" t="str">
        <f>"Kumite, -, 0-40 kg, Serdülő (13-14"</f>
        <v>Kumite, -, 0-40 kg, Serdülő (13-14</v>
      </c>
      <c r="F450" s="156" t="s">
        <v>529</v>
      </c>
      <c r="G450" s="157" t="str">
        <f>"5"</f>
        <v>5</v>
      </c>
      <c r="H450" s="156" t="str">
        <f>"5 fős körmérkőzés"</f>
        <v>5 fős körmérkőzés</v>
      </c>
      <c r="I450" s="157" t="str">
        <f>"2"</f>
        <v>2</v>
      </c>
      <c r="J450" s="156" t="str">
        <f>"Melczner Márk"</f>
        <v>Melczner Márk</v>
      </c>
      <c r="K450" s="156" t="str">
        <f>"Victory"</f>
        <v>Victory</v>
      </c>
      <c r="L450" s="156" t="str">
        <f t="shared" si="163"/>
        <v>HUN</v>
      </c>
      <c r="M450" s="163">
        <v>6</v>
      </c>
      <c r="O450" s="154" t="s">
        <v>248</v>
      </c>
      <c r="P450" s="159">
        <v>46088</v>
      </c>
      <c r="Q450" s="154" t="str">
        <f t="shared" si="164"/>
        <v>Melczner Márk - Victory</v>
      </c>
      <c r="R450" s="154" t="s">
        <v>636</v>
      </c>
      <c r="S450" s="154" t="str">
        <f t="shared" si="165"/>
        <v>Victory</v>
      </c>
      <c r="T450" s="154" t="s">
        <v>645</v>
      </c>
      <c r="U450" s="154" t="s">
        <v>797</v>
      </c>
      <c r="V450" s="154"/>
    </row>
    <row r="451" spans="1:22" s="158" customFormat="1" x14ac:dyDescent="0.3">
      <c r="A451" s="154" t="s">
        <v>776</v>
      </c>
      <c r="B451" s="155">
        <v>2</v>
      </c>
      <c r="C451" s="154">
        <v>373</v>
      </c>
      <c r="D451" s="156" t="str">
        <f t="shared" si="177"/>
        <v>Kumite</v>
      </c>
      <c r="E451" s="156" t="str">
        <f>"Kumite, -, 0-40 kg, Serdülő (13-14"</f>
        <v>Kumite, -, 0-40 kg, Serdülő (13-14</v>
      </c>
      <c r="F451" s="156" t="s">
        <v>529</v>
      </c>
      <c r="G451" s="157" t="str">
        <f>"5"</f>
        <v>5</v>
      </c>
      <c r="H451" s="156" t="str">
        <f>"5 fős körmérkőzés"</f>
        <v>5 fős körmérkőzés</v>
      </c>
      <c r="I451" s="157" t="str">
        <f>"3"</f>
        <v>3</v>
      </c>
      <c r="J451" s="156" t="str">
        <f>"Kis Ádám Zsolt"</f>
        <v>Kis Ádám Zsolt</v>
      </c>
      <c r="K451" s="156" t="str">
        <f>"KYO Fighter SE"</f>
        <v>KYO Fighter SE</v>
      </c>
      <c r="L451" s="156" t="str">
        <f t="shared" si="163"/>
        <v>HUN</v>
      </c>
      <c r="M451" s="163">
        <v>4</v>
      </c>
      <c r="O451" s="154" t="s">
        <v>248</v>
      </c>
      <c r="P451" s="159">
        <v>46088</v>
      </c>
      <c r="Q451" s="154" t="str">
        <f>J451&amp;" - "&amp;K451</f>
        <v>Kis Ádám Zsolt - KYO Fighter SE</v>
      </c>
      <c r="R451" s="154" t="s">
        <v>636</v>
      </c>
      <c r="S451" s="154" t="str">
        <f>K451</f>
        <v>KYO Fighter SE</v>
      </c>
      <c r="T451" s="154" t="s">
        <v>645</v>
      </c>
      <c r="U451" s="154" t="s">
        <v>797</v>
      </c>
      <c r="V451" s="154"/>
    </row>
    <row r="452" spans="1:22" s="158" customFormat="1" x14ac:dyDescent="0.3">
      <c r="A452" s="154" t="s">
        <v>776</v>
      </c>
      <c r="B452" s="155">
        <v>2</v>
      </c>
      <c r="C452" s="154">
        <v>373</v>
      </c>
      <c r="D452" s="156" t="str">
        <f t="shared" si="177"/>
        <v>Kumite</v>
      </c>
      <c r="E452" s="156" t="str">
        <f>"Kumite, -, 0-40 kg, Serdülő (13-14"</f>
        <v>Kumite, -, 0-40 kg, Serdülő (13-14</v>
      </c>
      <c r="F452" s="156" t="s">
        <v>529</v>
      </c>
      <c r="G452" s="157" t="str">
        <f>"5"</f>
        <v>5</v>
      </c>
      <c r="H452" s="156" t="str">
        <f>"5 fős körmérkőzés"</f>
        <v>5 fős körmérkőzés</v>
      </c>
      <c r="I452" s="157">
        <v>4</v>
      </c>
      <c r="J452" s="156" t="s">
        <v>805</v>
      </c>
      <c r="K452" s="156" t="s">
        <v>35</v>
      </c>
      <c r="L452" s="156" t="str">
        <f t="shared" si="163"/>
        <v>HUN</v>
      </c>
      <c r="M452" s="163">
        <v>3</v>
      </c>
      <c r="O452" s="154" t="s">
        <v>248</v>
      </c>
      <c r="P452" s="159">
        <v>46088</v>
      </c>
      <c r="Q452" s="154" t="str">
        <f>J452&amp;" - "&amp;K452</f>
        <v>Andrési Balázs - KHSE</v>
      </c>
      <c r="R452" s="154" t="s">
        <v>636</v>
      </c>
      <c r="S452" s="154" t="str">
        <f>K452</f>
        <v>KHSE</v>
      </c>
      <c r="T452" s="154" t="s">
        <v>645</v>
      </c>
      <c r="U452" s="154" t="s">
        <v>797</v>
      </c>
      <c r="V452" s="154"/>
    </row>
    <row r="453" spans="1:22" s="158" customFormat="1" x14ac:dyDescent="0.3">
      <c r="A453" s="154" t="s">
        <v>776</v>
      </c>
      <c r="B453" s="155">
        <v>2</v>
      </c>
      <c r="C453" s="154">
        <v>374</v>
      </c>
      <c r="D453" s="156" t="str">
        <f t="shared" si="177"/>
        <v>Kumite</v>
      </c>
      <c r="E453" s="156" t="str">
        <f>"Kumite, -, 40-45 kg, Serdülő (13-14"</f>
        <v>Kumite, -, 40-45 kg, Serdülő (13-14</v>
      </c>
      <c r="F453" s="156" t="s">
        <v>530</v>
      </c>
      <c r="G453" s="157" t="str">
        <f t="shared" ref="G453:G469" si="178">"4"</f>
        <v>4</v>
      </c>
      <c r="H453" s="156" t="str">
        <f t="shared" ref="H453:H469" si="179">"4 fős körmérkőzés"</f>
        <v>4 fős körmérkőzés</v>
      </c>
      <c r="I453" s="157" t="str">
        <f>"1"</f>
        <v>1</v>
      </c>
      <c r="J453" s="156" t="str">
        <f>"Békési Nándor István"</f>
        <v>Békési Nándor István</v>
      </c>
      <c r="K453" s="156" t="str">
        <f>"Shogun"</f>
        <v>Shogun</v>
      </c>
      <c r="L453" s="156" t="str">
        <f t="shared" si="163"/>
        <v>HUN</v>
      </c>
      <c r="M453" s="163">
        <v>6</v>
      </c>
      <c r="O453" s="154" t="s">
        <v>248</v>
      </c>
      <c r="P453" s="159">
        <v>46088</v>
      </c>
      <c r="Q453" s="154" t="str">
        <f t="shared" si="164"/>
        <v>Békési Nándor István - Shogun</v>
      </c>
      <c r="R453" s="154" t="s">
        <v>636</v>
      </c>
      <c r="S453" s="154" t="str">
        <f t="shared" si="165"/>
        <v>Shogun</v>
      </c>
      <c r="T453" s="154" t="s">
        <v>645</v>
      </c>
      <c r="U453" s="154" t="s">
        <v>797</v>
      </c>
      <c r="V453" s="154"/>
    </row>
    <row r="454" spans="1:22" s="158" customFormat="1" x14ac:dyDescent="0.3">
      <c r="A454" s="154" t="s">
        <v>776</v>
      </c>
      <c r="B454" s="155">
        <v>2</v>
      </c>
      <c r="C454" s="154">
        <v>375</v>
      </c>
      <c r="D454" s="156" t="str">
        <f t="shared" si="177"/>
        <v>Kumite</v>
      </c>
      <c r="E454" s="156" t="str">
        <f>"Kumite, -, 40-45 kg, Serdülő (13-14"</f>
        <v>Kumite, -, 40-45 kg, Serdülő (13-14</v>
      </c>
      <c r="F454" s="156" t="s">
        <v>530</v>
      </c>
      <c r="G454" s="157" t="str">
        <f t="shared" si="178"/>
        <v>4</v>
      </c>
      <c r="H454" s="156" t="str">
        <f t="shared" si="179"/>
        <v>4 fős körmérkőzés</v>
      </c>
      <c r="I454" s="157" t="str">
        <f>"2"</f>
        <v>2</v>
      </c>
      <c r="J454" s="156" t="str">
        <f>"Takács Sárkány Balázs"</f>
        <v>Takács Sárkány Balázs</v>
      </c>
      <c r="K454" s="156" t="str">
        <f>"KHSE"</f>
        <v>KHSE</v>
      </c>
      <c r="L454" s="156" t="str">
        <f t="shared" si="163"/>
        <v>HUN</v>
      </c>
      <c r="M454" s="163">
        <v>5</v>
      </c>
      <c r="O454" s="154" t="s">
        <v>248</v>
      </c>
      <c r="P454" s="159">
        <v>46088</v>
      </c>
      <c r="Q454" s="154" t="str">
        <f t="shared" si="164"/>
        <v>Takács Sárkány Balázs - KHSE</v>
      </c>
      <c r="R454" s="154" t="s">
        <v>636</v>
      </c>
      <c r="S454" s="154" t="str">
        <f t="shared" si="165"/>
        <v>KHSE</v>
      </c>
      <c r="T454" s="154" t="s">
        <v>645</v>
      </c>
      <c r="U454" s="154" t="s">
        <v>797</v>
      </c>
      <c r="V454" s="154"/>
    </row>
    <row r="455" spans="1:22" s="158" customFormat="1" x14ac:dyDescent="0.3">
      <c r="A455" s="154" t="s">
        <v>776</v>
      </c>
      <c r="B455" s="155">
        <v>2</v>
      </c>
      <c r="C455" s="154">
        <v>376</v>
      </c>
      <c r="D455" s="156" t="str">
        <f t="shared" si="177"/>
        <v>Kumite</v>
      </c>
      <c r="E455" s="156" t="str">
        <f>"Kumite, -, 40-45 kg, Serdülő (13-14"</f>
        <v>Kumite, -, 40-45 kg, Serdülő (13-14</v>
      </c>
      <c r="F455" s="156" t="s">
        <v>530</v>
      </c>
      <c r="G455" s="157" t="str">
        <f t="shared" si="178"/>
        <v>4</v>
      </c>
      <c r="H455" s="156" t="str">
        <f t="shared" si="179"/>
        <v>4 fős körmérkőzés</v>
      </c>
      <c r="I455" s="157" t="str">
        <f>"3"</f>
        <v>3</v>
      </c>
      <c r="J455" s="156" t="str">
        <f>"Kurucz Tamás Timuzsin"</f>
        <v>Kurucz Tamás Timuzsin</v>
      </c>
      <c r="K455" s="156" t="str">
        <f>"Shogun"</f>
        <v>Shogun</v>
      </c>
      <c r="L455" s="156" t="str">
        <f t="shared" si="163"/>
        <v>HUN</v>
      </c>
      <c r="M455" s="163">
        <v>3</v>
      </c>
      <c r="O455" s="154" t="s">
        <v>248</v>
      </c>
      <c r="P455" s="159">
        <v>46088</v>
      </c>
      <c r="Q455" s="154" t="str">
        <f t="shared" si="164"/>
        <v>Kurucz Tamás Timuzsin - Shogun</v>
      </c>
      <c r="R455" s="154" t="s">
        <v>636</v>
      </c>
      <c r="S455" s="154" t="str">
        <f t="shared" si="165"/>
        <v>Shogun</v>
      </c>
      <c r="T455" s="154" t="s">
        <v>645</v>
      </c>
      <c r="U455" s="154" t="s">
        <v>797</v>
      </c>
      <c r="V455" s="154"/>
    </row>
    <row r="456" spans="1:22" s="158" customFormat="1" x14ac:dyDescent="0.3">
      <c r="A456" s="154" t="s">
        <v>776</v>
      </c>
      <c r="B456" s="155">
        <v>2</v>
      </c>
      <c r="C456" s="154">
        <v>377</v>
      </c>
      <c r="D456" s="156" t="str">
        <f t="shared" si="177"/>
        <v>Kumite</v>
      </c>
      <c r="E456" s="156" t="str">
        <f>"Kumite, -, 45-50 kg, Serdülő (13-14"</f>
        <v>Kumite, -, 45-50 kg, Serdülő (13-14</v>
      </c>
      <c r="F456" s="156" t="s">
        <v>531</v>
      </c>
      <c r="G456" s="157" t="str">
        <f t="shared" si="178"/>
        <v>4</v>
      </c>
      <c r="H456" s="156" t="str">
        <f t="shared" si="179"/>
        <v>4 fős körmérkőzés</v>
      </c>
      <c r="I456" s="157" t="str">
        <f>"1"</f>
        <v>1</v>
      </c>
      <c r="J456" s="156" t="str">
        <f>"Pista Áron"</f>
        <v>Pista Áron</v>
      </c>
      <c r="K456" s="156" t="str">
        <f>"Bendiák Dojo"</f>
        <v>Bendiák Dojo</v>
      </c>
      <c r="L456" s="156" t="str">
        <f t="shared" si="163"/>
        <v>HUN</v>
      </c>
      <c r="M456" s="163">
        <v>6</v>
      </c>
      <c r="O456" s="154" t="s">
        <v>248</v>
      </c>
      <c r="P456" s="159">
        <v>46088</v>
      </c>
      <c r="Q456" s="154" t="str">
        <f t="shared" si="164"/>
        <v>Pista Áron - Bendiák Dojo</v>
      </c>
      <c r="R456" s="154" t="s">
        <v>636</v>
      </c>
      <c r="S456" s="154" t="str">
        <f t="shared" si="165"/>
        <v>Bendiák Dojo</v>
      </c>
      <c r="T456" s="154" t="s">
        <v>645</v>
      </c>
      <c r="U456" s="154" t="s">
        <v>797</v>
      </c>
      <c r="V456" s="154"/>
    </row>
    <row r="457" spans="1:22" s="158" customFormat="1" x14ac:dyDescent="0.3">
      <c r="A457" s="154" t="s">
        <v>776</v>
      </c>
      <c r="B457" s="155">
        <v>2</v>
      </c>
      <c r="C457" s="154">
        <v>378</v>
      </c>
      <c r="D457" s="156" t="str">
        <f t="shared" si="177"/>
        <v>Kumite</v>
      </c>
      <c r="E457" s="156" t="str">
        <f>"Kumite, -, 45-50 kg, Serdülő (13-14"</f>
        <v>Kumite, -, 45-50 kg, Serdülő (13-14</v>
      </c>
      <c r="F457" s="156" t="s">
        <v>531</v>
      </c>
      <c r="G457" s="157" t="str">
        <f t="shared" si="178"/>
        <v>4</v>
      </c>
      <c r="H457" s="156" t="str">
        <f t="shared" si="179"/>
        <v>4 fős körmérkőzés</v>
      </c>
      <c r="I457" s="157" t="str">
        <f>"2"</f>
        <v>2</v>
      </c>
      <c r="J457" s="156" t="str">
        <f>"Remenyik Dániel"</f>
        <v>Remenyik Dániel</v>
      </c>
      <c r="K457" s="156" t="str">
        <f>"Shogun"</f>
        <v>Shogun</v>
      </c>
      <c r="L457" s="156" t="str">
        <f t="shared" si="163"/>
        <v>HUN</v>
      </c>
      <c r="M457" s="163">
        <v>5</v>
      </c>
      <c r="O457" s="154" t="s">
        <v>248</v>
      </c>
      <c r="P457" s="159">
        <v>46088</v>
      </c>
      <c r="Q457" s="154" t="str">
        <f t="shared" si="164"/>
        <v>Remenyik Dániel - Shogun</v>
      </c>
      <c r="R457" s="154" t="s">
        <v>636</v>
      </c>
      <c r="S457" s="154" t="str">
        <f t="shared" si="165"/>
        <v>Shogun</v>
      </c>
      <c r="T457" s="154" t="s">
        <v>645</v>
      </c>
      <c r="U457" s="154" t="s">
        <v>797</v>
      </c>
      <c r="V457" s="154"/>
    </row>
    <row r="458" spans="1:22" s="158" customFormat="1" x14ac:dyDescent="0.3">
      <c r="A458" s="154" t="s">
        <v>776</v>
      </c>
      <c r="B458" s="155">
        <v>2</v>
      </c>
      <c r="C458" s="154">
        <v>379</v>
      </c>
      <c r="D458" s="156" t="str">
        <f t="shared" si="177"/>
        <v>Kumite</v>
      </c>
      <c r="E458" s="156" t="str">
        <f>"Kumite, -, 45-50 kg, Serdülő (13-14"</f>
        <v>Kumite, -, 45-50 kg, Serdülő (13-14</v>
      </c>
      <c r="F458" s="156" t="s">
        <v>531</v>
      </c>
      <c r="G458" s="157" t="str">
        <f t="shared" si="178"/>
        <v>4</v>
      </c>
      <c r="H458" s="156" t="str">
        <f t="shared" si="179"/>
        <v>4 fős körmérkőzés</v>
      </c>
      <c r="I458" s="157" t="str">
        <f>"3"</f>
        <v>3</v>
      </c>
      <c r="J458" s="156" t="str">
        <f>"Turcsán Barnabás"</f>
        <v>Turcsán Barnabás</v>
      </c>
      <c r="K458" s="156" t="str">
        <f>"Borza Dojo"</f>
        <v>Borza Dojo</v>
      </c>
      <c r="L458" s="156" t="str">
        <f t="shared" si="163"/>
        <v>HUN</v>
      </c>
      <c r="M458" s="163">
        <v>3</v>
      </c>
      <c r="O458" s="154" t="s">
        <v>248</v>
      </c>
      <c r="P458" s="159">
        <v>46088</v>
      </c>
      <c r="Q458" s="154" t="str">
        <f t="shared" si="164"/>
        <v>Turcsán Barnabás - Borza Dojo</v>
      </c>
      <c r="R458" s="154" t="s">
        <v>637</v>
      </c>
      <c r="S458" s="154" t="str">
        <f t="shared" si="165"/>
        <v>Borza Dojo</v>
      </c>
      <c r="T458" s="154" t="s">
        <v>645</v>
      </c>
      <c r="U458" s="154" t="s">
        <v>797</v>
      </c>
      <c r="V458" s="154"/>
    </row>
    <row r="459" spans="1:22" s="158" customFormat="1" x14ac:dyDescent="0.3">
      <c r="A459" s="154" t="s">
        <v>776</v>
      </c>
      <c r="B459" s="155">
        <v>2</v>
      </c>
      <c r="C459" s="154">
        <v>379</v>
      </c>
      <c r="D459" s="156" t="str">
        <f t="shared" si="177"/>
        <v>Kumite</v>
      </c>
      <c r="E459" s="156" t="str">
        <f>"Kumite, -, 45-50 kg, Serdülő (13-14"</f>
        <v>Kumite, -, 45-50 kg, Serdülő (13-14</v>
      </c>
      <c r="F459" s="156" t="s">
        <v>531</v>
      </c>
      <c r="G459" s="157" t="str">
        <f t="shared" si="178"/>
        <v>4</v>
      </c>
      <c r="H459" s="156" t="str">
        <f t="shared" si="179"/>
        <v>4 fős körmérkőzés</v>
      </c>
      <c r="I459" s="157">
        <v>4</v>
      </c>
      <c r="J459" s="156" t="s">
        <v>800</v>
      </c>
      <c r="K459" s="156" t="s">
        <v>82</v>
      </c>
      <c r="L459" s="156" t="str">
        <f t="shared" si="163"/>
        <v>HUN</v>
      </c>
      <c r="M459" s="163">
        <v>2</v>
      </c>
      <c r="N459" s="158" t="s">
        <v>801</v>
      </c>
      <c r="O459" s="154" t="s">
        <v>248</v>
      </c>
      <c r="P459" s="159">
        <v>46088</v>
      </c>
      <c r="Q459" s="154" t="str">
        <f t="shared" ref="Q459" si="180">J459&amp;" - "&amp;K459</f>
        <v>Szymon Fraczek - Bátor KSE</v>
      </c>
      <c r="R459" s="154" t="s">
        <v>636</v>
      </c>
      <c r="S459" s="154" t="str">
        <f t="shared" ref="S459" si="181">K459</f>
        <v>Bátor KSE</v>
      </c>
      <c r="T459" s="154" t="s">
        <v>645</v>
      </c>
      <c r="U459" s="154" t="s">
        <v>797</v>
      </c>
      <c r="V459" s="154"/>
    </row>
    <row r="460" spans="1:22" s="158" customFormat="1" x14ac:dyDescent="0.3">
      <c r="A460" s="154" t="s">
        <v>776</v>
      </c>
      <c r="B460" s="155">
        <v>2</v>
      </c>
      <c r="C460" s="154">
        <v>380</v>
      </c>
      <c r="D460" s="156" t="str">
        <f t="shared" si="177"/>
        <v>Kumite</v>
      </c>
      <c r="E460" s="156" t="str">
        <f>"Kumite, -, 50-60 kg, Serdülő (13-14"</f>
        <v>Kumite, -, 50-60 kg, Serdülő (13-14</v>
      </c>
      <c r="F460" s="156" t="s">
        <v>532</v>
      </c>
      <c r="G460" s="157" t="str">
        <f t="shared" si="178"/>
        <v>4</v>
      </c>
      <c r="H460" s="156" t="str">
        <f t="shared" si="179"/>
        <v>4 fős körmérkőzés</v>
      </c>
      <c r="I460" s="157" t="str">
        <f>"1"</f>
        <v>1</v>
      </c>
      <c r="J460" s="156" t="str">
        <f>"Sádt Zétény"</f>
        <v>Sádt Zétény</v>
      </c>
      <c r="K460" s="156" t="str">
        <f>"Buke Reikon HRSE"</f>
        <v>Buke Reikon HRSE</v>
      </c>
      <c r="L460" s="156" t="str">
        <f t="shared" si="163"/>
        <v>HUN</v>
      </c>
      <c r="M460" s="163">
        <v>6</v>
      </c>
      <c r="O460" s="154" t="s">
        <v>248</v>
      </c>
      <c r="P460" s="159">
        <v>46088</v>
      </c>
      <c r="Q460" s="154" t="str">
        <f t="shared" si="164"/>
        <v>Sádt Zétény - Buke Reikon HRSE</v>
      </c>
      <c r="R460" s="154" t="s">
        <v>636</v>
      </c>
      <c r="S460" s="154" t="str">
        <f t="shared" si="165"/>
        <v>Buke Reikon HRSE</v>
      </c>
      <c r="T460" s="154" t="s">
        <v>645</v>
      </c>
      <c r="U460" s="154" t="s">
        <v>797</v>
      </c>
      <c r="V460" s="154"/>
    </row>
    <row r="461" spans="1:22" s="158" customFormat="1" x14ac:dyDescent="0.3">
      <c r="A461" s="154" t="s">
        <v>776</v>
      </c>
      <c r="B461" s="155">
        <v>2</v>
      </c>
      <c r="C461" s="154">
        <v>381</v>
      </c>
      <c r="D461" s="156" t="str">
        <f t="shared" si="177"/>
        <v>Kumite</v>
      </c>
      <c r="E461" s="156" t="str">
        <f>"Kumite, -, 50-60 kg, Serdülő (13-14"</f>
        <v>Kumite, -, 50-60 kg, Serdülő (13-14</v>
      </c>
      <c r="F461" s="156" t="s">
        <v>532</v>
      </c>
      <c r="G461" s="157" t="str">
        <f t="shared" si="178"/>
        <v>4</v>
      </c>
      <c r="H461" s="156" t="str">
        <f t="shared" si="179"/>
        <v>4 fős körmérkőzés</v>
      </c>
      <c r="I461" s="157" t="str">
        <f>"2"</f>
        <v>2</v>
      </c>
      <c r="J461" s="156" t="str">
        <f>"Tángyes Ricardo"</f>
        <v>Tángyes Ricardo</v>
      </c>
      <c r="K461" s="156" t="str">
        <f>"Kisvárda KKDOSC"</f>
        <v>Kisvárda KKDOSC</v>
      </c>
      <c r="L461" s="156" t="str">
        <f t="shared" si="163"/>
        <v>HUN</v>
      </c>
      <c r="M461" s="163">
        <v>5</v>
      </c>
      <c r="O461" s="154" t="s">
        <v>248</v>
      </c>
      <c r="P461" s="159">
        <v>46088</v>
      </c>
      <c r="Q461" s="154" t="str">
        <f t="shared" si="164"/>
        <v>Tángyes Ricardo - Kisvárda KKDOSC</v>
      </c>
      <c r="R461" s="154" t="s">
        <v>636</v>
      </c>
      <c r="S461" s="154" t="str">
        <f t="shared" si="165"/>
        <v>Kisvárda KKDOSC</v>
      </c>
      <c r="T461" s="154" t="s">
        <v>645</v>
      </c>
      <c r="U461" s="154" t="s">
        <v>797</v>
      </c>
      <c r="V461" s="154"/>
    </row>
    <row r="462" spans="1:22" s="158" customFormat="1" x14ac:dyDescent="0.3">
      <c r="A462" s="154" t="s">
        <v>776</v>
      </c>
      <c r="B462" s="155">
        <v>2</v>
      </c>
      <c r="C462" s="154">
        <v>382</v>
      </c>
      <c r="D462" s="156" t="str">
        <f t="shared" si="177"/>
        <v>Kumite</v>
      </c>
      <c r="E462" s="156" t="str">
        <f>"Kumite, -, 50-60 kg, Serdülő (13-14"</f>
        <v>Kumite, -, 50-60 kg, Serdülő (13-14</v>
      </c>
      <c r="F462" s="156" t="s">
        <v>532</v>
      </c>
      <c r="G462" s="157" t="str">
        <f t="shared" si="178"/>
        <v>4</v>
      </c>
      <c r="H462" s="156" t="str">
        <f t="shared" si="179"/>
        <v>4 fős körmérkőzés</v>
      </c>
      <c r="I462" s="157" t="str">
        <f>"3"</f>
        <v>3</v>
      </c>
      <c r="J462" s="156" t="str">
        <f>"Szutor Levente"</f>
        <v>Szutor Levente</v>
      </c>
      <c r="K462" s="156" t="str">
        <f>"Shogun"</f>
        <v>Shogun</v>
      </c>
      <c r="L462" s="156" t="str">
        <f t="shared" si="163"/>
        <v>HUN</v>
      </c>
      <c r="M462" s="163">
        <v>3</v>
      </c>
      <c r="O462" s="154" t="s">
        <v>248</v>
      </c>
      <c r="P462" s="159">
        <v>46088</v>
      </c>
      <c r="Q462" s="154" t="str">
        <f t="shared" si="164"/>
        <v>Szutor Levente - Shogun</v>
      </c>
      <c r="R462" s="154" t="s">
        <v>636</v>
      </c>
      <c r="S462" s="154" t="str">
        <f t="shared" si="165"/>
        <v>Shogun</v>
      </c>
      <c r="T462" s="154" t="s">
        <v>645</v>
      </c>
      <c r="U462" s="154" t="s">
        <v>797</v>
      </c>
      <c r="V462" s="154"/>
    </row>
    <row r="463" spans="1:22" s="158" customFormat="1" x14ac:dyDescent="0.3">
      <c r="A463" s="154" t="s">
        <v>776</v>
      </c>
      <c r="B463" s="155">
        <v>2</v>
      </c>
      <c r="C463" s="154">
        <v>383</v>
      </c>
      <c r="D463" s="156" t="str">
        <f t="shared" si="177"/>
        <v>Kumite</v>
      </c>
      <c r="E463" s="156" t="str">
        <f>"Kumite, -, 70-999 kg, Serdülő (13-14"</f>
        <v>Kumite, -, 70-999 kg, Serdülő (13-14</v>
      </c>
      <c r="F463" s="156" t="s">
        <v>535</v>
      </c>
      <c r="G463" s="157" t="str">
        <f t="shared" si="178"/>
        <v>4</v>
      </c>
      <c r="H463" s="156" t="str">
        <f t="shared" si="179"/>
        <v>4 fős körmérkőzés</v>
      </c>
      <c r="I463" s="157" t="str">
        <f>"1"</f>
        <v>1</v>
      </c>
      <c r="J463" s="156" t="str">
        <f>"Elek János"</f>
        <v>Elek János</v>
      </c>
      <c r="K463" s="156" t="str">
        <f>"KHSE"</f>
        <v>KHSE</v>
      </c>
      <c r="L463" s="156" t="str">
        <f t="shared" si="163"/>
        <v>HUN</v>
      </c>
      <c r="M463" s="163">
        <v>6</v>
      </c>
      <c r="O463" s="154" t="s">
        <v>248</v>
      </c>
      <c r="P463" s="159">
        <v>46088</v>
      </c>
      <c r="Q463" s="154" t="str">
        <f t="shared" si="164"/>
        <v>Elek János - KHSE</v>
      </c>
      <c r="R463" s="154" t="s">
        <v>636</v>
      </c>
      <c r="S463" s="154" t="str">
        <f t="shared" si="165"/>
        <v>KHSE</v>
      </c>
      <c r="T463" s="154" t="s">
        <v>645</v>
      </c>
      <c r="U463" s="154" t="s">
        <v>797</v>
      </c>
      <c r="V463" s="154"/>
    </row>
    <row r="464" spans="1:22" s="158" customFormat="1" x14ac:dyDescent="0.3">
      <c r="A464" s="154" t="s">
        <v>776</v>
      </c>
      <c r="B464" s="155">
        <v>2</v>
      </c>
      <c r="C464" s="154">
        <v>384</v>
      </c>
      <c r="D464" s="156" t="str">
        <f t="shared" si="177"/>
        <v>Kumite</v>
      </c>
      <c r="E464" s="156" t="str">
        <f>"Kumite, -, 70-999 kg, Serdülő (13-14"</f>
        <v>Kumite, -, 70-999 kg, Serdülő (13-14</v>
      </c>
      <c r="F464" s="156" t="s">
        <v>535</v>
      </c>
      <c r="G464" s="157" t="str">
        <f t="shared" si="178"/>
        <v>4</v>
      </c>
      <c r="H464" s="156" t="str">
        <f t="shared" si="179"/>
        <v>4 fős körmérkőzés</v>
      </c>
      <c r="I464" s="157" t="str">
        <f>"2"</f>
        <v>2</v>
      </c>
      <c r="J464" s="156" t="str">
        <f>"Riczu Bendegúz"</f>
        <v>Riczu Bendegúz</v>
      </c>
      <c r="K464" s="156" t="str">
        <f>"Nozomu Dojo"</f>
        <v>Nozomu Dojo</v>
      </c>
      <c r="L464" s="156" t="str">
        <f t="shared" si="163"/>
        <v>HUN</v>
      </c>
      <c r="M464" s="163">
        <v>5</v>
      </c>
      <c r="O464" s="154" t="s">
        <v>248</v>
      </c>
      <c r="P464" s="159">
        <v>46088</v>
      </c>
      <c r="Q464" s="154" t="str">
        <f t="shared" si="164"/>
        <v>Riczu Bendegúz - Nozomu Dojo</v>
      </c>
      <c r="R464" s="154" t="s">
        <v>636</v>
      </c>
      <c r="S464" s="154" t="str">
        <f t="shared" si="165"/>
        <v>Nozomu Dojo</v>
      </c>
      <c r="T464" s="154" t="s">
        <v>645</v>
      </c>
      <c r="U464" s="154" t="s">
        <v>797</v>
      </c>
      <c r="V464" s="154"/>
    </row>
    <row r="465" spans="1:22" s="158" customFormat="1" x14ac:dyDescent="0.3">
      <c r="A465" s="154" t="s">
        <v>776</v>
      </c>
      <c r="B465" s="155">
        <v>2</v>
      </c>
      <c r="C465" s="154">
        <v>385</v>
      </c>
      <c r="D465" s="156" t="str">
        <f t="shared" si="177"/>
        <v>Kumite</v>
      </c>
      <c r="E465" s="156" t="str">
        <f>"Kumite, -, 70-999 kg, Serdülő (13-14"</f>
        <v>Kumite, -, 70-999 kg, Serdülő (13-14</v>
      </c>
      <c r="F465" s="156" t="s">
        <v>535</v>
      </c>
      <c r="G465" s="157" t="str">
        <f t="shared" si="178"/>
        <v>4</v>
      </c>
      <c r="H465" s="156" t="str">
        <f t="shared" si="179"/>
        <v>4 fős körmérkőzés</v>
      </c>
      <c r="I465" s="157" t="str">
        <f>"3"</f>
        <v>3</v>
      </c>
      <c r="J465" s="156" t="str">
        <f>"Virág Marcell Máté"</f>
        <v>Virág Marcell Máté</v>
      </c>
      <c r="K465" s="156" t="str">
        <f>"KHSE"</f>
        <v>KHSE</v>
      </c>
      <c r="L465" s="156" t="str">
        <f t="shared" si="163"/>
        <v>HUN</v>
      </c>
      <c r="M465" s="163">
        <v>3</v>
      </c>
      <c r="O465" s="154" t="s">
        <v>248</v>
      </c>
      <c r="P465" s="159">
        <v>46088</v>
      </c>
      <c r="Q465" s="154" t="str">
        <f t="shared" si="164"/>
        <v>Virág Marcell Máté - KHSE</v>
      </c>
      <c r="R465" s="154" t="s">
        <v>636</v>
      </c>
      <c r="S465" s="154" t="str">
        <f t="shared" si="165"/>
        <v>KHSE</v>
      </c>
      <c r="T465" s="154" t="s">
        <v>645</v>
      </c>
      <c r="U465" s="154" t="s">
        <v>797</v>
      </c>
      <c r="V465" s="154"/>
    </row>
    <row r="466" spans="1:22" s="158" customFormat="1" x14ac:dyDescent="0.3">
      <c r="A466" s="154" t="s">
        <v>776</v>
      </c>
      <c r="B466" s="155">
        <v>2</v>
      </c>
      <c r="C466" s="154">
        <v>386</v>
      </c>
      <c r="D466" s="156" t="str">
        <f t="shared" si="177"/>
        <v>Kumite</v>
      </c>
      <c r="E466" s="156" t="str">
        <f>"Kumite, -, 60-70 kg, Serdülő (13-14"</f>
        <v>Kumite, -, 60-70 kg, Serdülő (13-14</v>
      </c>
      <c r="F466" s="156" t="s">
        <v>533</v>
      </c>
      <c r="G466" s="157" t="str">
        <f t="shared" si="178"/>
        <v>4</v>
      </c>
      <c r="H466" s="156" t="str">
        <f t="shared" si="179"/>
        <v>4 fős körmérkőzés</v>
      </c>
      <c r="I466" s="157" t="str">
        <f>"1"</f>
        <v>1</v>
      </c>
      <c r="J466" s="156" t="str">
        <f>"Száraz Zsombor"</f>
        <v>Száraz Zsombor</v>
      </c>
      <c r="K466" s="156" t="str">
        <f>"Derecske BUDO"</f>
        <v>Derecske BUDO</v>
      </c>
      <c r="L466" s="156" t="str">
        <f t="shared" si="163"/>
        <v>HUN</v>
      </c>
      <c r="M466" s="163">
        <v>6</v>
      </c>
      <c r="O466" s="154" t="s">
        <v>248</v>
      </c>
      <c r="P466" s="159">
        <v>46088</v>
      </c>
      <c r="Q466" s="154" t="str">
        <f t="shared" si="164"/>
        <v>Száraz Zsombor - Derecske BUDO</v>
      </c>
      <c r="R466" s="154" t="s">
        <v>636</v>
      </c>
      <c r="S466" s="154" t="str">
        <f t="shared" si="165"/>
        <v>Derecske BUDO</v>
      </c>
      <c r="T466" s="154" t="s">
        <v>645</v>
      </c>
      <c r="U466" s="154" t="s">
        <v>797</v>
      </c>
      <c r="V466" s="154"/>
    </row>
    <row r="467" spans="1:22" s="158" customFormat="1" x14ac:dyDescent="0.3">
      <c r="A467" s="154" t="s">
        <v>776</v>
      </c>
      <c r="B467" s="155">
        <v>2</v>
      </c>
      <c r="C467" s="154">
        <v>387</v>
      </c>
      <c r="D467" s="156" t="str">
        <f t="shared" si="177"/>
        <v>Kumite</v>
      </c>
      <c r="E467" s="156" t="str">
        <f>"Kumite, -, 60-70 kg, Serdülő (13-14"</f>
        <v>Kumite, -, 60-70 kg, Serdülő (13-14</v>
      </c>
      <c r="F467" s="156" t="s">
        <v>533</v>
      </c>
      <c r="G467" s="157" t="str">
        <f t="shared" si="178"/>
        <v>4</v>
      </c>
      <c r="H467" s="156" t="str">
        <f t="shared" si="179"/>
        <v>4 fős körmérkőzés</v>
      </c>
      <c r="I467" s="157" t="str">
        <f>"2"</f>
        <v>2</v>
      </c>
      <c r="J467" s="156" t="str">
        <f>"Kovács Máté Noel"</f>
        <v>Kovács Máté Noel</v>
      </c>
      <c r="K467" s="156" t="str">
        <f>"Bátor KSE"</f>
        <v>Bátor KSE</v>
      </c>
      <c r="L467" s="156" t="str">
        <f t="shared" si="163"/>
        <v>HUN</v>
      </c>
      <c r="M467" s="163">
        <v>5</v>
      </c>
      <c r="N467" s="158" t="s">
        <v>160</v>
      </c>
      <c r="O467" s="154" t="s">
        <v>248</v>
      </c>
      <c r="P467" s="159">
        <v>46088</v>
      </c>
      <c r="Q467" s="154" t="str">
        <f t="shared" si="164"/>
        <v>Kovács Máté Noel - Bátor KSE</v>
      </c>
      <c r="R467" s="154" t="s">
        <v>636</v>
      </c>
      <c r="S467" s="154" t="str">
        <f t="shared" si="165"/>
        <v>Bátor KSE</v>
      </c>
      <c r="T467" s="154" t="s">
        <v>645</v>
      </c>
      <c r="U467" s="154" t="s">
        <v>797</v>
      </c>
      <c r="V467" s="154"/>
    </row>
    <row r="468" spans="1:22" s="158" customFormat="1" x14ac:dyDescent="0.3">
      <c r="A468" s="154" t="s">
        <v>776</v>
      </c>
      <c r="B468" s="155">
        <v>2</v>
      </c>
      <c r="C468" s="154">
        <v>388</v>
      </c>
      <c r="D468" s="156" t="str">
        <f t="shared" si="177"/>
        <v>Kumite</v>
      </c>
      <c r="E468" s="156" t="str">
        <f>"Kumite, -, 60-70 kg, Serdülő (13-14"</f>
        <v>Kumite, -, 60-70 kg, Serdülő (13-14</v>
      </c>
      <c r="F468" s="156" t="s">
        <v>533</v>
      </c>
      <c r="G468" s="157" t="str">
        <f t="shared" si="178"/>
        <v>4</v>
      </c>
      <c r="H468" s="156" t="str">
        <f t="shared" si="179"/>
        <v>4 fős körmérkőzés</v>
      </c>
      <c r="I468" s="157" t="str">
        <f>"2"</f>
        <v>2</v>
      </c>
      <c r="J468" s="156" t="str">
        <f>"Tokaji Bocsárd Norbert"</f>
        <v>Tokaji Bocsárd Norbert</v>
      </c>
      <c r="K468" s="156" t="str">
        <f>"KHSE"</f>
        <v>KHSE</v>
      </c>
      <c r="L468" s="156" t="str">
        <f t="shared" si="163"/>
        <v>HUN</v>
      </c>
      <c r="M468" s="163">
        <v>5</v>
      </c>
      <c r="N468" s="158" t="s">
        <v>160</v>
      </c>
      <c r="O468" s="154" t="s">
        <v>248</v>
      </c>
      <c r="P468" s="159">
        <v>46088</v>
      </c>
      <c r="Q468" s="154" t="str">
        <f t="shared" si="164"/>
        <v>Tokaji Bocsárd Norbert - KHSE</v>
      </c>
      <c r="R468" s="154" t="s">
        <v>636</v>
      </c>
      <c r="S468" s="154" t="str">
        <f t="shared" si="165"/>
        <v>KHSE</v>
      </c>
      <c r="T468" s="154" t="s">
        <v>645</v>
      </c>
      <c r="U468" s="154" t="s">
        <v>797</v>
      </c>
      <c r="V468" s="154"/>
    </row>
    <row r="469" spans="1:22" s="158" customFormat="1" x14ac:dyDescent="0.3">
      <c r="A469" s="154" t="s">
        <v>776</v>
      </c>
      <c r="B469" s="155">
        <v>2</v>
      </c>
      <c r="C469" s="154">
        <v>389</v>
      </c>
      <c r="D469" s="156" t="str">
        <f t="shared" si="177"/>
        <v>Kumite</v>
      </c>
      <c r="E469" s="156" t="str">
        <f>"Kumite, -, 60-70 kg, Serdülő (13-14"</f>
        <v>Kumite, -, 60-70 kg, Serdülő (13-14</v>
      </c>
      <c r="F469" s="156" t="s">
        <v>533</v>
      </c>
      <c r="G469" s="157" t="str">
        <f t="shared" si="178"/>
        <v>4</v>
      </c>
      <c r="H469" s="156" t="str">
        <f t="shared" si="179"/>
        <v>4 fős körmérkőzés</v>
      </c>
      <c r="I469" s="157" t="str">
        <f>"3"</f>
        <v>3</v>
      </c>
      <c r="J469" s="156" t="str">
        <f>"Farkas Álmos"</f>
        <v>Farkas Álmos</v>
      </c>
      <c r="K469" s="156" t="str">
        <f>"KYO Fighter SE"</f>
        <v>KYO Fighter SE</v>
      </c>
      <c r="L469" s="156" t="str">
        <f t="shared" si="163"/>
        <v>HUN</v>
      </c>
      <c r="M469" s="163">
        <v>3</v>
      </c>
      <c r="N469" s="158" t="s">
        <v>160</v>
      </c>
      <c r="O469" s="154" t="s">
        <v>248</v>
      </c>
      <c r="P469" s="159">
        <v>46088</v>
      </c>
      <c r="Q469" s="154" t="str">
        <f t="shared" si="164"/>
        <v>Farkas Álmos - KYO Fighter SE</v>
      </c>
      <c r="R469" s="154" t="s">
        <v>636</v>
      </c>
      <c r="S469" s="154" t="str">
        <f t="shared" si="165"/>
        <v>KYO Fighter SE</v>
      </c>
      <c r="T469" s="154" t="s">
        <v>645</v>
      </c>
      <c r="U469" s="154" t="s">
        <v>797</v>
      </c>
      <c r="V469" s="154"/>
    </row>
    <row r="470" spans="1:22" s="158" customFormat="1" x14ac:dyDescent="0.3">
      <c r="A470" s="154" t="s">
        <v>776</v>
      </c>
      <c r="B470" s="155">
        <v>2</v>
      </c>
      <c r="C470" s="154">
        <v>390</v>
      </c>
      <c r="D470" s="156" t="str">
        <f t="shared" ref="D470:D480" si="182">"Kata"</f>
        <v>Kata</v>
      </c>
      <c r="E470" s="156" t="str">
        <f t="shared" ref="E470:E480" si="183">"Kata, -, 0-150 kg, Serdülő (13-14"</f>
        <v>Kata, -, 0-150 kg, Serdülő (13-14</v>
      </c>
      <c r="F470" s="156" t="s">
        <v>537</v>
      </c>
      <c r="G470" s="157" t="str">
        <f t="shared" ref="G470:G480" si="184">"11"</f>
        <v>11</v>
      </c>
      <c r="H470" s="156" t="str">
        <f t="shared" ref="H470:H480" si="185">"16 fős egyenes kiesés"</f>
        <v>16 fős egyenes kiesés</v>
      </c>
      <c r="I470" s="157" t="str">
        <f>"1"</f>
        <v>1</v>
      </c>
      <c r="J470" s="156" t="str">
        <f>"Remenyik Dániel"</f>
        <v>Remenyik Dániel</v>
      </c>
      <c r="K470" s="156" t="str">
        <f>"Shogun"</f>
        <v>Shogun</v>
      </c>
      <c r="L470" s="156" t="str">
        <f t="shared" si="163"/>
        <v>HUN</v>
      </c>
      <c r="M470" s="163">
        <v>6</v>
      </c>
      <c r="O470" s="154" t="s">
        <v>248</v>
      </c>
      <c r="P470" s="159">
        <v>46088</v>
      </c>
      <c r="Q470" s="154" t="str">
        <f t="shared" si="164"/>
        <v>Remenyik Dániel - Shogun</v>
      </c>
      <c r="R470" s="154" t="s">
        <v>636</v>
      </c>
      <c r="S470" s="154" t="str">
        <f t="shared" si="165"/>
        <v>Shogun</v>
      </c>
      <c r="T470" s="154" t="s">
        <v>645</v>
      </c>
      <c r="U470" s="154" t="s">
        <v>797</v>
      </c>
      <c r="V470" s="154"/>
    </row>
    <row r="471" spans="1:22" s="158" customFormat="1" x14ac:dyDescent="0.3">
      <c r="A471" s="154" t="s">
        <v>776</v>
      </c>
      <c r="B471" s="155">
        <v>2</v>
      </c>
      <c r="C471" s="154">
        <v>391</v>
      </c>
      <c r="D471" s="156" t="str">
        <f t="shared" si="182"/>
        <v>Kata</v>
      </c>
      <c r="E471" s="156" t="str">
        <f t="shared" si="183"/>
        <v>Kata, -, 0-150 kg, Serdülő (13-14</v>
      </c>
      <c r="F471" s="156" t="s">
        <v>537</v>
      </c>
      <c r="G471" s="157" t="str">
        <f t="shared" si="184"/>
        <v>11</v>
      </c>
      <c r="H471" s="156" t="str">
        <f t="shared" si="185"/>
        <v>16 fős egyenes kiesés</v>
      </c>
      <c r="I471" s="157" t="str">
        <f>"2"</f>
        <v>2</v>
      </c>
      <c r="J471" s="156" t="str">
        <f>"Kis Ádám Zsolt"</f>
        <v>Kis Ádám Zsolt</v>
      </c>
      <c r="K471" s="156" t="str">
        <f>"KYO Fighter SE"</f>
        <v>KYO Fighter SE</v>
      </c>
      <c r="L471" s="156" t="str">
        <f t="shared" si="163"/>
        <v>HUN</v>
      </c>
      <c r="M471" s="163">
        <v>5</v>
      </c>
      <c r="O471" s="154" t="s">
        <v>248</v>
      </c>
      <c r="P471" s="159">
        <v>46088</v>
      </c>
      <c r="Q471" s="154" t="str">
        <f t="shared" si="164"/>
        <v>Kis Ádám Zsolt - KYO Fighter SE</v>
      </c>
      <c r="R471" s="154" t="s">
        <v>636</v>
      </c>
      <c r="S471" s="154" t="str">
        <f t="shared" si="165"/>
        <v>KYO Fighter SE</v>
      </c>
      <c r="T471" s="154" t="s">
        <v>645</v>
      </c>
      <c r="U471" s="154" t="s">
        <v>797</v>
      </c>
      <c r="V471" s="154"/>
    </row>
    <row r="472" spans="1:22" s="158" customFormat="1" x14ac:dyDescent="0.3">
      <c r="A472" s="154" t="s">
        <v>776</v>
      </c>
      <c r="B472" s="155">
        <v>2</v>
      </c>
      <c r="C472" s="154">
        <v>392</v>
      </c>
      <c r="D472" s="156" t="str">
        <f t="shared" si="182"/>
        <v>Kata</v>
      </c>
      <c r="E472" s="156" t="str">
        <f t="shared" si="183"/>
        <v>Kata, -, 0-150 kg, Serdülő (13-14</v>
      </c>
      <c r="F472" s="156" t="s">
        <v>537</v>
      </c>
      <c r="G472" s="157" t="str">
        <f t="shared" si="184"/>
        <v>11</v>
      </c>
      <c r="H472" s="156" t="str">
        <f t="shared" si="185"/>
        <v>16 fős egyenes kiesés</v>
      </c>
      <c r="I472" s="157" t="str">
        <f>"3"</f>
        <v>3</v>
      </c>
      <c r="J472" s="156" t="str">
        <f>"Turcsán Barnabás"</f>
        <v>Turcsán Barnabás</v>
      </c>
      <c r="K472" s="156" t="str">
        <f>"Borza Dojo"</f>
        <v>Borza Dojo</v>
      </c>
      <c r="L472" s="156" t="str">
        <f t="shared" si="163"/>
        <v>HUN</v>
      </c>
      <c r="M472" s="163">
        <v>3</v>
      </c>
      <c r="O472" s="154" t="s">
        <v>248</v>
      </c>
      <c r="P472" s="159">
        <v>46088</v>
      </c>
      <c r="Q472" s="154" t="str">
        <f t="shared" si="164"/>
        <v>Turcsán Barnabás - Borza Dojo</v>
      </c>
      <c r="R472" s="154" t="s">
        <v>637</v>
      </c>
      <c r="S472" s="154" t="str">
        <f t="shared" si="165"/>
        <v>Borza Dojo</v>
      </c>
      <c r="T472" s="154" t="s">
        <v>645</v>
      </c>
      <c r="U472" s="154" t="s">
        <v>797</v>
      </c>
      <c r="V472" s="154"/>
    </row>
    <row r="473" spans="1:22" s="158" customFormat="1" x14ac:dyDescent="0.3">
      <c r="A473" s="154" t="s">
        <v>776</v>
      </c>
      <c r="B473" s="155">
        <v>2</v>
      </c>
      <c r="C473" s="154">
        <v>393</v>
      </c>
      <c r="D473" s="156" t="str">
        <f t="shared" si="182"/>
        <v>Kata</v>
      </c>
      <c r="E473" s="156" t="str">
        <f t="shared" si="183"/>
        <v>Kata, -, 0-150 kg, Serdülő (13-14</v>
      </c>
      <c r="F473" s="156" t="s">
        <v>537</v>
      </c>
      <c r="G473" s="157" t="str">
        <f t="shared" si="184"/>
        <v>11</v>
      </c>
      <c r="H473" s="156" t="str">
        <f t="shared" si="185"/>
        <v>16 fős egyenes kiesés</v>
      </c>
      <c r="I473" s="157" t="str">
        <f>"3"</f>
        <v>3</v>
      </c>
      <c r="J473" s="156" t="str">
        <f>"Avramov Dávid"</f>
        <v>Avramov Dávid</v>
      </c>
      <c r="K473" s="156" t="str">
        <f>"TADASHII "</f>
        <v xml:space="preserve">TADASHII </v>
      </c>
      <c r="L473" s="156" t="str">
        <f t="shared" si="163"/>
        <v>HUN</v>
      </c>
      <c r="M473" s="163">
        <v>3</v>
      </c>
      <c r="O473" s="154" t="s">
        <v>248</v>
      </c>
      <c r="P473" s="159">
        <v>46088</v>
      </c>
      <c r="Q473" s="154" t="str">
        <f t="shared" si="164"/>
        <v xml:space="preserve">Avramov Dávid - TADASHII </v>
      </c>
      <c r="R473" s="154" t="s">
        <v>637</v>
      </c>
      <c r="S473" s="154" t="str">
        <f t="shared" si="165"/>
        <v xml:space="preserve">TADASHII </v>
      </c>
      <c r="T473" s="154" t="s">
        <v>645</v>
      </c>
      <c r="U473" s="154" t="s">
        <v>797</v>
      </c>
      <c r="V473" s="154"/>
    </row>
    <row r="474" spans="1:22" s="158" customFormat="1" x14ac:dyDescent="0.3">
      <c r="A474" s="154" t="s">
        <v>776</v>
      </c>
      <c r="B474" s="155">
        <v>2</v>
      </c>
      <c r="C474" s="154">
        <v>394</v>
      </c>
      <c r="D474" s="156" t="str">
        <f t="shared" si="182"/>
        <v>Kata</v>
      </c>
      <c r="E474" s="156" t="str">
        <f t="shared" si="183"/>
        <v>Kata, -, 0-150 kg, Serdülő (13-14</v>
      </c>
      <c r="F474" s="156" t="s">
        <v>537</v>
      </c>
      <c r="G474" s="157" t="str">
        <f t="shared" si="184"/>
        <v>11</v>
      </c>
      <c r="H474" s="156" t="str">
        <f t="shared" si="185"/>
        <v>16 fős egyenes kiesés</v>
      </c>
      <c r="I474" s="157" t="str">
        <f>"5"</f>
        <v>5</v>
      </c>
      <c r="J474" s="156" t="str">
        <f>"Székely Lázár"</f>
        <v>Székely Lázár</v>
      </c>
      <c r="K474" s="156" t="str">
        <f>"KYO Fighter SE"</f>
        <v>KYO Fighter SE</v>
      </c>
      <c r="L474" s="156" t="str">
        <f t="shared" si="163"/>
        <v>HUN</v>
      </c>
      <c r="M474" s="163">
        <v>1</v>
      </c>
      <c r="O474" s="154" t="s">
        <v>248</v>
      </c>
      <c r="P474" s="159">
        <v>46088</v>
      </c>
      <c r="Q474" s="154" t="str">
        <f t="shared" si="164"/>
        <v>Székely Lázár - KYO Fighter SE</v>
      </c>
      <c r="R474" s="154" t="s">
        <v>636</v>
      </c>
      <c r="S474" s="154" t="str">
        <f t="shared" si="165"/>
        <v>KYO Fighter SE</v>
      </c>
      <c r="T474" s="154" t="s">
        <v>645</v>
      </c>
      <c r="U474" s="154" t="s">
        <v>797</v>
      </c>
      <c r="V474" s="154"/>
    </row>
    <row r="475" spans="1:22" s="158" customFormat="1" x14ac:dyDescent="0.3">
      <c r="A475" s="154" t="s">
        <v>776</v>
      </c>
      <c r="B475" s="155">
        <v>2</v>
      </c>
      <c r="C475" s="154">
        <v>395</v>
      </c>
      <c r="D475" s="156" t="str">
        <f t="shared" si="182"/>
        <v>Kata</v>
      </c>
      <c r="E475" s="156" t="str">
        <f t="shared" si="183"/>
        <v>Kata, -, 0-150 kg, Serdülő (13-14</v>
      </c>
      <c r="F475" s="156" t="s">
        <v>537</v>
      </c>
      <c r="G475" s="157" t="str">
        <f t="shared" si="184"/>
        <v>11</v>
      </c>
      <c r="H475" s="156" t="str">
        <f t="shared" si="185"/>
        <v>16 fős egyenes kiesés</v>
      </c>
      <c r="I475" s="157" t="str">
        <f>"6"</f>
        <v>6</v>
      </c>
      <c r="J475" s="156" t="str">
        <f>"Berényi Bence"</f>
        <v>Berényi Bence</v>
      </c>
      <c r="K475" s="156" t="str">
        <f>"Shogun"</f>
        <v>Shogun</v>
      </c>
      <c r="L475" s="156" t="str">
        <f t="shared" si="163"/>
        <v>HUN</v>
      </c>
      <c r="M475" s="163">
        <v>0</v>
      </c>
      <c r="N475" s="158" t="s">
        <v>704</v>
      </c>
      <c r="O475" s="154" t="s">
        <v>248</v>
      </c>
      <c r="P475" s="159">
        <v>46088</v>
      </c>
      <c r="Q475" s="154" t="str">
        <f t="shared" si="164"/>
        <v>Berényi Bence - Shogun</v>
      </c>
      <c r="R475" s="154" t="s">
        <v>636</v>
      </c>
      <c r="S475" s="154" t="str">
        <f t="shared" si="165"/>
        <v>Shogun</v>
      </c>
      <c r="T475" s="154" t="s">
        <v>645</v>
      </c>
      <c r="U475" s="154" t="s">
        <v>797</v>
      </c>
      <c r="V475" s="154"/>
    </row>
    <row r="476" spans="1:22" s="158" customFormat="1" x14ac:dyDescent="0.3">
      <c r="A476" s="154" t="s">
        <v>776</v>
      </c>
      <c r="B476" s="155">
        <v>2</v>
      </c>
      <c r="C476" s="154">
        <v>396</v>
      </c>
      <c r="D476" s="156" t="str">
        <f t="shared" si="182"/>
        <v>Kata</v>
      </c>
      <c r="E476" s="156" t="str">
        <f t="shared" si="183"/>
        <v>Kata, -, 0-150 kg, Serdülő (13-14</v>
      </c>
      <c r="F476" s="156" t="s">
        <v>537</v>
      </c>
      <c r="G476" s="157" t="str">
        <f t="shared" si="184"/>
        <v>11</v>
      </c>
      <c r="H476" s="156" t="str">
        <f t="shared" si="185"/>
        <v>16 fős egyenes kiesés</v>
      </c>
      <c r="I476" s="157" t="str">
        <f>"7-8"</f>
        <v>7-8</v>
      </c>
      <c r="J476" s="156" t="str">
        <f>"Kurucz Tamás Timuzsin"</f>
        <v>Kurucz Tamás Timuzsin</v>
      </c>
      <c r="K476" s="156" t="str">
        <f>"Shogun"</f>
        <v>Shogun</v>
      </c>
      <c r="L476" s="156" t="str">
        <f t="shared" si="163"/>
        <v>HUN</v>
      </c>
      <c r="M476" s="163">
        <v>0</v>
      </c>
      <c r="N476" s="158" t="s">
        <v>704</v>
      </c>
      <c r="O476" s="154" t="s">
        <v>248</v>
      </c>
      <c r="P476" s="159">
        <v>46088</v>
      </c>
      <c r="Q476" s="154" t="str">
        <f t="shared" si="164"/>
        <v>Kurucz Tamás Timuzsin - Shogun</v>
      </c>
      <c r="R476" s="154" t="s">
        <v>636</v>
      </c>
      <c r="S476" s="154" t="str">
        <f t="shared" si="165"/>
        <v>Shogun</v>
      </c>
      <c r="T476" s="154" t="s">
        <v>645</v>
      </c>
      <c r="U476" s="154" t="s">
        <v>797</v>
      </c>
      <c r="V476" s="154"/>
    </row>
    <row r="477" spans="1:22" s="158" customFormat="1" x14ac:dyDescent="0.3">
      <c r="A477" s="154" t="s">
        <v>776</v>
      </c>
      <c r="B477" s="155">
        <v>2</v>
      </c>
      <c r="C477" s="154">
        <v>397</v>
      </c>
      <c r="D477" s="156" t="str">
        <f t="shared" si="182"/>
        <v>Kata</v>
      </c>
      <c r="E477" s="156" t="str">
        <f t="shared" si="183"/>
        <v>Kata, -, 0-150 kg, Serdülő (13-14</v>
      </c>
      <c r="F477" s="156" t="s">
        <v>537</v>
      </c>
      <c r="G477" s="157" t="str">
        <f t="shared" si="184"/>
        <v>11</v>
      </c>
      <c r="H477" s="156" t="str">
        <f t="shared" si="185"/>
        <v>16 fős egyenes kiesés</v>
      </c>
      <c r="I477" s="157" t="str">
        <f>"7-8"</f>
        <v>7-8</v>
      </c>
      <c r="J477" s="156" t="str">
        <f>"Maklaga Norbert"</f>
        <v>Maklaga Norbert</v>
      </c>
      <c r="K477" s="156" t="str">
        <f>"Kagami"</f>
        <v>Kagami</v>
      </c>
      <c r="L477" s="156" t="str">
        <f t="shared" ref="L477:L542" si="186">"HUN"</f>
        <v>HUN</v>
      </c>
      <c r="M477" s="163">
        <v>0</v>
      </c>
      <c r="N477" s="158" t="s">
        <v>704</v>
      </c>
      <c r="O477" s="154" t="s">
        <v>248</v>
      </c>
      <c r="P477" s="159">
        <v>46088</v>
      </c>
      <c r="Q477" s="154" t="str">
        <f t="shared" ref="Q477:Q542" si="187">J477&amp;" - "&amp;K477</f>
        <v>Maklaga Norbert - Kagami</v>
      </c>
      <c r="R477" s="154" t="s">
        <v>636</v>
      </c>
      <c r="S477" s="154" t="str">
        <f t="shared" ref="S477:S542" si="188">K477</f>
        <v>Kagami</v>
      </c>
      <c r="T477" s="154" t="s">
        <v>645</v>
      </c>
      <c r="U477" s="154" t="s">
        <v>797</v>
      </c>
      <c r="V477" s="154"/>
    </row>
    <row r="478" spans="1:22" s="158" customFormat="1" x14ac:dyDescent="0.3">
      <c r="A478" s="154" t="s">
        <v>776</v>
      </c>
      <c r="B478" s="155">
        <v>2</v>
      </c>
      <c r="C478" s="154">
        <v>398</v>
      </c>
      <c r="D478" s="156" t="str">
        <f t="shared" si="182"/>
        <v>Kata</v>
      </c>
      <c r="E478" s="156" t="str">
        <f t="shared" si="183"/>
        <v>Kata, -, 0-150 kg, Serdülő (13-14</v>
      </c>
      <c r="F478" s="156" t="s">
        <v>537</v>
      </c>
      <c r="G478" s="157" t="str">
        <f t="shared" si="184"/>
        <v>11</v>
      </c>
      <c r="H478" s="156" t="str">
        <f t="shared" si="185"/>
        <v>16 fős egyenes kiesés</v>
      </c>
      <c r="I478" s="157" t="str">
        <f>"10"</f>
        <v>10</v>
      </c>
      <c r="J478" s="156" t="str">
        <f>"Patai Dávid"</f>
        <v>Patai Dávid</v>
      </c>
      <c r="K478" s="156" t="str">
        <f>"ShinzóDojo"</f>
        <v>ShinzóDojo</v>
      </c>
      <c r="L478" s="156" t="str">
        <f t="shared" si="186"/>
        <v>HUN</v>
      </c>
      <c r="M478" s="163">
        <v>0</v>
      </c>
      <c r="O478" s="154" t="s">
        <v>248</v>
      </c>
      <c r="P478" s="159">
        <v>46088</v>
      </c>
      <c r="Q478" s="154" t="str">
        <f t="shared" si="187"/>
        <v>Patai Dávid - ShinzóDojo</v>
      </c>
      <c r="R478" s="154" t="s">
        <v>636</v>
      </c>
      <c r="S478" s="154" t="str">
        <f t="shared" si="188"/>
        <v>ShinzóDojo</v>
      </c>
      <c r="T478" s="154" t="s">
        <v>645</v>
      </c>
      <c r="U478" s="154" t="s">
        <v>797</v>
      </c>
      <c r="V478" s="154"/>
    </row>
    <row r="479" spans="1:22" s="158" customFormat="1" x14ac:dyDescent="0.3">
      <c r="A479" s="154" t="s">
        <v>776</v>
      </c>
      <c r="B479" s="155">
        <v>2</v>
      </c>
      <c r="C479" s="154">
        <v>399</v>
      </c>
      <c r="D479" s="156" t="str">
        <f t="shared" si="182"/>
        <v>Kata</v>
      </c>
      <c r="E479" s="156" t="str">
        <f t="shared" si="183"/>
        <v>Kata, -, 0-150 kg, Serdülő (13-14</v>
      </c>
      <c r="F479" s="156" t="s">
        <v>537</v>
      </c>
      <c r="G479" s="157" t="str">
        <f t="shared" si="184"/>
        <v>11</v>
      </c>
      <c r="H479" s="156" t="str">
        <f t="shared" si="185"/>
        <v>16 fős egyenes kiesés</v>
      </c>
      <c r="I479" s="157" t="str">
        <f>"11-16"</f>
        <v>11-16</v>
      </c>
      <c r="J479" s="156" t="str">
        <f>"Botlik Tibor"</f>
        <v>Botlik Tibor</v>
      </c>
      <c r="K479" s="156" t="str">
        <f>"Nintai KKSE"</f>
        <v>Nintai KKSE</v>
      </c>
      <c r="L479" s="156" t="str">
        <f t="shared" si="186"/>
        <v>HUN</v>
      </c>
      <c r="M479" s="163">
        <v>0</v>
      </c>
      <c r="O479" s="154" t="s">
        <v>248</v>
      </c>
      <c r="P479" s="159">
        <v>46088</v>
      </c>
      <c r="Q479" s="154" t="str">
        <f t="shared" si="187"/>
        <v>Botlik Tibor - Nintai KKSE</v>
      </c>
      <c r="R479" s="154" t="s">
        <v>637</v>
      </c>
      <c r="S479" s="154" t="str">
        <f t="shared" si="188"/>
        <v>Nintai KKSE</v>
      </c>
      <c r="T479" s="154" t="s">
        <v>645</v>
      </c>
      <c r="U479" s="154" t="s">
        <v>797</v>
      </c>
      <c r="V479" s="154"/>
    </row>
    <row r="480" spans="1:22" s="158" customFormat="1" x14ac:dyDescent="0.3">
      <c r="A480" s="154" t="s">
        <v>776</v>
      </c>
      <c r="B480" s="155">
        <v>2</v>
      </c>
      <c r="C480" s="154">
        <v>400</v>
      </c>
      <c r="D480" s="156" t="str">
        <f t="shared" si="182"/>
        <v>Kata</v>
      </c>
      <c r="E480" s="156" t="str">
        <f t="shared" si="183"/>
        <v>Kata, -, 0-150 kg, Serdülő (13-14</v>
      </c>
      <c r="F480" s="156" t="s">
        <v>537</v>
      </c>
      <c r="G480" s="157" t="str">
        <f t="shared" si="184"/>
        <v>11</v>
      </c>
      <c r="H480" s="156" t="str">
        <f t="shared" si="185"/>
        <v>16 fős egyenes kiesés</v>
      </c>
      <c r="I480" s="157" t="str">
        <f>"11-16"</f>
        <v>11-16</v>
      </c>
      <c r="J480" s="156" t="str">
        <f>"Kovács Mihály Ágoston"</f>
        <v>Kovács Mihály Ágoston</v>
      </c>
      <c r="K480" s="156" t="str">
        <f>"Borza Dojo"</f>
        <v>Borza Dojo</v>
      </c>
      <c r="L480" s="156" t="str">
        <f t="shared" si="186"/>
        <v>HUN</v>
      </c>
      <c r="M480" s="163">
        <v>0</v>
      </c>
      <c r="O480" s="154" t="s">
        <v>248</v>
      </c>
      <c r="P480" s="159">
        <v>46088</v>
      </c>
      <c r="Q480" s="154" t="str">
        <f t="shared" si="187"/>
        <v>Kovács Mihály Ágoston - Borza Dojo</v>
      </c>
      <c r="R480" s="154" t="s">
        <v>637</v>
      </c>
      <c r="S480" s="154" t="str">
        <f t="shared" si="188"/>
        <v>Borza Dojo</v>
      </c>
      <c r="T480" s="154" t="s">
        <v>645</v>
      </c>
      <c r="U480" s="154" t="s">
        <v>797</v>
      </c>
      <c r="V480" s="154"/>
    </row>
    <row r="481" spans="1:22" s="158" customFormat="1" x14ac:dyDescent="0.3">
      <c r="A481" s="154" t="s">
        <v>776</v>
      </c>
      <c r="B481" s="155">
        <v>2</v>
      </c>
      <c r="C481" s="154">
        <v>401</v>
      </c>
      <c r="D481" s="156" t="str">
        <f t="shared" ref="D481:D488" si="189">"Kumite"</f>
        <v>Kumite</v>
      </c>
      <c r="E481" s="156" t="str">
        <f>"Kumite, -, 45-55 kg, Serdülő (13-14"</f>
        <v>Kumite, -, 45-55 kg, Serdülő (13-14</v>
      </c>
      <c r="F481" s="156" t="s">
        <v>539</v>
      </c>
      <c r="G481" s="157" t="str">
        <f>"6"</f>
        <v>6</v>
      </c>
      <c r="H481" s="156" t="str">
        <f>"6 fős vegyes"</f>
        <v>6 fős vegyes</v>
      </c>
      <c r="I481" s="157" t="str">
        <f>"1"</f>
        <v>1</v>
      </c>
      <c r="J481" s="156" t="str">
        <f>"Sóskuti Lili"</f>
        <v>Sóskuti Lili</v>
      </c>
      <c r="K481" s="156" t="str">
        <f>"Keizoku SE"</f>
        <v>Keizoku SE</v>
      </c>
      <c r="L481" s="156" t="str">
        <f t="shared" si="186"/>
        <v>HUN</v>
      </c>
      <c r="M481" s="163">
        <v>6</v>
      </c>
      <c r="O481" s="154" t="s">
        <v>248</v>
      </c>
      <c r="P481" s="159">
        <v>46088</v>
      </c>
      <c r="Q481" s="154" t="str">
        <f t="shared" si="187"/>
        <v>Sóskuti Lili - Keizoku SE</v>
      </c>
      <c r="R481" s="154" t="s">
        <v>636</v>
      </c>
      <c r="S481" s="154" t="str">
        <f t="shared" si="188"/>
        <v>Keizoku SE</v>
      </c>
      <c r="T481" s="154" t="s">
        <v>645</v>
      </c>
      <c r="U481" s="154" t="s">
        <v>797</v>
      </c>
      <c r="V481" s="154"/>
    </row>
    <row r="482" spans="1:22" s="158" customFormat="1" x14ac:dyDescent="0.3">
      <c r="A482" s="154" t="s">
        <v>776</v>
      </c>
      <c r="B482" s="155">
        <v>2</v>
      </c>
      <c r="C482" s="154">
        <v>402</v>
      </c>
      <c r="D482" s="156" t="str">
        <f t="shared" si="189"/>
        <v>Kumite</v>
      </c>
      <c r="E482" s="156" t="str">
        <f>"Kumite, -, 45-55 kg, Serdülő (13-14"</f>
        <v>Kumite, -, 45-55 kg, Serdülő (13-14</v>
      </c>
      <c r="F482" s="156" t="s">
        <v>539</v>
      </c>
      <c r="G482" s="157" t="str">
        <f>"6"</f>
        <v>6</v>
      </c>
      <c r="H482" s="156" t="str">
        <f>"6 fős vegyes"</f>
        <v>6 fős vegyes</v>
      </c>
      <c r="I482" s="157" t="str">
        <f>"2"</f>
        <v>2</v>
      </c>
      <c r="J482" s="156" t="str">
        <f>"Galyas Edit"</f>
        <v>Galyas Edit</v>
      </c>
      <c r="K482" s="156" t="str">
        <f>"Nyíradonyi KKE"</f>
        <v>Nyíradonyi KKE</v>
      </c>
      <c r="L482" s="156" t="str">
        <f t="shared" si="186"/>
        <v>HUN</v>
      </c>
      <c r="M482" s="163">
        <v>5</v>
      </c>
      <c r="O482" s="154" t="s">
        <v>248</v>
      </c>
      <c r="P482" s="159">
        <v>46088</v>
      </c>
      <c r="Q482" s="154" t="str">
        <f t="shared" si="187"/>
        <v>Galyas Edit - Nyíradonyi KKE</v>
      </c>
      <c r="R482" s="154" t="s">
        <v>636</v>
      </c>
      <c r="S482" s="154" t="str">
        <f t="shared" si="188"/>
        <v>Nyíradonyi KKE</v>
      </c>
      <c r="T482" s="154" t="s">
        <v>645</v>
      </c>
      <c r="U482" s="154" t="s">
        <v>797</v>
      </c>
      <c r="V482" s="154"/>
    </row>
    <row r="483" spans="1:22" s="158" customFormat="1" x14ac:dyDescent="0.3">
      <c r="A483" s="154" t="s">
        <v>776</v>
      </c>
      <c r="B483" s="155">
        <v>2</v>
      </c>
      <c r="C483" s="154">
        <v>403</v>
      </c>
      <c r="D483" s="156" t="str">
        <f t="shared" si="189"/>
        <v>Kumite</v>
      </c>
      <c r="E483" s="156" t="str">
        <f>"Kumite, -, 45-55 kg, Serdülő (13-14"</f>
        <v>Kumite, -, 45-55 kg, Serdülő (13-14</v>
      </c>
      <c r="F483" s="156" t="s">
        <v>539</v>
      </c>
      <c r="G483" s="157" t="str">
        <f>"6"</f>
        <v>6</v>
      </c>
      <c r="H483" s="156" t="str">
        <f>"6 fős vegyes"</f>
        <v>6 fős vegyes</v>
      </c>
      <c r="I483" s="157" t="str">
        <f>"3"</f>
        <v>3</v>
      </c>
      <c r="J483" s="156" t="str">
        <f>"Gonda Lea"</f>
        <v>Gonda Lea</v>
      </c>
      <c r="K483" s="156" t="str">
        <f>"Kelemen-Team"</f>
        <v>Kelemen-Team</v>
      </c>
      <c r="L483" s="156" t="str">
        <f t="shared" si="186"/>
        <v>HUN</v>
      </c>
      <c r="M483" s="163">
        <v>3</v>
      </c>
      <c r="O483" s="154" t="s">
        <v>248</v>
      </c>
      <c r="P483" s="159">
        <v>46088</v>
      </c>
      <c r="Q483" s="154" t="str">
        <f t="shared" si="187"/>
        <v>Gonda Lea - Kelemen-Team</v>
      </c>
      <c r="R483" s="154" t="s">
        <v>636</v>
      </c>
      <c r="S483" s="154" t="str">
        <f t="shared" si="188"/>
        <v>Kelemen-Team</v>
      </c>
      <c r="T483" s="154" t="s">
        <v>645</v>
      </c>
      <c r="U483" s="154" t="s">
        <v>797</v>
      </c>
      <c r="V483" s="154"/>
    </row>
    <row r="484" spans="1:22" s="158" customFormat="1" x14ac:dyDescent="0.3">
      <c r="A484" s="154" t="s">
        <v>776</v>
      </c>
      <c r="B484" s="155">
        <v>2</v>
      </c>
      <c r="C484" s="154">
        <v>404</v>
      </c>
      <c r="D484" s="156" t="str">
        <f t="shared" si="189"/>
        <v>Kumite</v>
      </c>
      <c r="E484" s="156" t="str">
        <f>"Kumite, -, 55-65 kg, Serdülő (13-14"</f>
        <v>Kumite, -, 55-65 kg, Serdülő (13-14</v>
      </c>
      <c r="F484" s="156" t="s">
        <v>540</v>
      </c>
      <c r="G484" s="157" t="str">
        <f>"2"</f>
        <v>2</v>
      </c>
      <c r="H484" s="156" t="str">
        <f>"2 fős egyenes kiesés"</f>
        <v>2 fős egyenes kiesés</v>
      </c>
      <c r="I484" s="157" t="str">
        <f>"1"</f>
        <v>1</v>
      </c>
      <c r="J484" s="156" t="str">
        <f>"Nándori Emma"</f>
        <v>Nándori Emma</v>
      </c>
      <c r="K484" s="156" t="str">
        <f>"Kemecse SE"</f>
        <v>Kemecse SE</v>
      </c>
      <c r="L484" s="156" t="str">
        <f t="shared" si="186"/>
        <v>HUN</v>
      </c>
      <c r="M484" s="163">
        <v>3</v>
      </c>
      <c r="O484" s="154" t="s">
        <v>248</v>
      </c>
      <c r="P484" s="159">
        <v>46088</v>
      </c>
      <c r="Q484" s="154" t="str">
        <f t="shared" si="187"/>
        <v>Nándori Emma - Kemecse SE</v>
      </c>
      <c r="R484" s="154" t="s">
        <v>636</v>
      </c>
      <c r="S484" s="154" t="str">
        <f t="shared" si="188"/>
        <v>Kemecse SE</v>
      </c>
      <c r="T484" s="154" t="s">
        <v>645</v>
      </c>
      <c r="U484" s="154" t="s">
        <v>797</v>
      </c>
      <c r="V484" s="154"/>
    </row>
    <row r="485" spans="1:22" s="158" customFormat="1" x14ac:dyDescent="0.3">
      <c r="A485" s="154" t="s">
        <v>776</v>
      </c>
      <c r="B485" s="155">
        <v>2</v>
      </c>
      <c r="C485" s="154">
        <v>405</v>
      </c>
      <c r="D485" s="156" t="str">
        <f t="shared" si="189"/>
        <v>Kumite</v>
      </c>
      <c r="E485" s="156" t="str">
        <f>"Kumite, -, 55-65 kg, Serdülő (13-14"</f>
        <v>Kumite, -, 55-65 kg, Serdülő (13-14</v>
      </c>
      <c r="F485" s="156" t="s">
        <v>540</v>
      </c>
      <c r="G485" s="157" t="str">
        <f>"2"</f>
        <v>2</v>
      </c>
      <c r="H485" s="156" t="str">
        <f>"2 fős egyenes kiesés"</f>
        <v>2 fős egyenes kiesés</v>
      </c>
      <c r="I485" s="157" t="str">
        <f>"2"</f>
        <v>2</v>
      </c>
      <c r="J485" s="156" t="str">
        <f>"Szabó Zsófi"</f>
        <v>Szabó Zsófi</v>
      </c>
      <c r="K485" s="156" t="str">
        <f>"ShinzóDojo"</f>
        <v>ShinzóDojo</v>
      </c>
      <c r="L485" s="156" t="str">
        <f t="shared" si="186"/>
        <v>HUN</v>
      </c>
      <c r="M485" s="163">
        <v>0</v>
      </c>
      <c r="O485" s="154" t="s">
        <v>248</v>
      </c>
      <c r="P485" s="159">
        <v>46088</v>
      </c>
      <c r="Q485" s="154" t="str">
        <f t="shared" si="187"/>
        <v>Szabó Zsófi - ShinzóDojo</v>
      </c>
      <c r="R485" s="154" t="s">
        <v>636</v>
      </c>
      <c r="S485" s="154" t="str">
        <f t="shared" si="188"/>
        <v>ShinzóDojo</v>
      </c>
      <c r="T485" s="154" t="s">
        <v>645</v>
      </c>
      <c r="U485" s="154" t="s">
        <v>797</v>
      </c>
      <c r="V485" s="154"/>
    </row>
    <row r="486" spans="1:22" s="158" customFormat="1" x14ac:dyDescent="0.3">
      <c r="A486" s="154" t="s">
        <v>776</v>
      </c>
      <c r="B486" s="155">
        <v>2</v>
      </c>
      <c r="C486" s="154">
        <v>406</v>
      </c>
      <c r="D486" s="156" t="str">
        <f t="shared" si="189"/>
        <v>Kumite</v>
      </c>
      <c r="E486" s="156" t="str">
        <f>"Kumite, -, 40-45 kg, Serdülő (13-14"</f>
        <v>Kumite, -, 40-45 kg, Serdülő (13-14</v>
      </c>
      <c r="F486" s="156" t="s">
        <v>536</v>
      </c>
      <c r="G486" s="157" t="str">
        <f>"4"</f>
        <v>4</v>
      </c>
      <c r="H486" s="156" t="str">
        <f>"4 fős körmérkőzés"</f>
        <v>4 fős körmérkőzés</v>
      </c>
      <c r="I486" s="157" t="str">
        <f>"1"</f>
        <v>1</v>
      </c>
      <c r="J486" s="156" t="str">
        <f>"Csató Réka"</f>
        <v>Csató Réka</v>
      </c>
      <c r="K486" s="156" t="str">
        <f>"Keizoku SE"</f>
        <v>Keizoku SE</v>
      </c>
      <c r="L486" s="156" t="str">
        <f t="shared" si="186"/>
        <v>HUN</v>
      </c>
      <c r="M486" s="163">
        <v>6</v>
      </c>
      <c r="O486" s="154" t="s">
        <v>248</v>
      </c>
      <c r="P486" s="159">
        <v>46088</v>
      </c>
      <c r="Q486" s="154" t="str">
        <f t="shared" si="187"/>
        <v>Csató Réka - Keizoku SE</v>
      </c>
      <c r="R486" s="154" t="s">
        <v>636</v>
      </c>
      <c r="S486" s="154" t="str">
        <f t="shared" si="188"/>
        <v>Keizoku SE</v>
      </c>
      <c r="T486" s="154" t="s">
        <v>645</v>
      </c>
      <c r="U486" s="154" t="s">
        <v>797</v>
      </c>
      <c r="V486" s="154"/>
    </row>
    <row r="487" spans="1:22" s="158" customFormat="1" x14ac:dyDescent="0.3">
      <c r="A487" s="154" t="s">
        <v>776</v>
      </c>
      <c r="B487" s="155">
        <v>2</v>
      </c>
      <c r="C487" s="154">
        <v>407</v>
      </c>
      <c r="D487" s="156" t="str">
        <f t="shared" si="189"/>
        <v>Kumite</v>
      </c>
      <c r="E487" s="156" t="str">
        <f>"Kumite, -, 40-45 kg, Serdülő (13-14"</f>
        <v>Kumite, -, 40-45 kg, Serdülő (13-14</v>
      </c>
      <c r="F487" s="156" t="s">
        <v>536</v>
      </c>
      <c r="G487" s="157" t="str">
        <f>"4"</f>
        <v>4</v>
      </c>
      <c r="H487" s="156" t="str">
        <f>"4 fős körmérkőzés"</f>
        <v>4 fős körmérkőzés</v>
      </c>
      <c r="I487" s="157" t="str">
        <f>"2"</f>
        <v>2</v>
      </c>
      <c r="J487" s="156" t="str">
        <f>"Koszorus Brigitta"</f>
        <v>Koszorus Brigitta</v>
      </c>
      <c r="K487" s="156" t="str">
        <f>"SONGOKU SE"</f>
        <v>SONGOKU SE</v>
      </c>
      <c r="L487" s="156" t="str">
        <f t="shared" si="186"/>
        <v>HUN</v>
      </c>
      <c r="M487" s="163">
        <v>5</v>
      </c>
      <c r="O487" s="154" t="s">
        <v>248</v>
      </c>
      <c r="P487" s="159">
        <v>46088</v>
      </c>
      <c r="Q487" s="154" t="str">
        <f t="shared" si="187"/>
        <v>Koszorus Brigitta - SONGOKU SE</v>
      </c>
      <c r="R487" s="154" t="s">
        <v>636</v>
      </c>
      <c r="S487" s="154" t="str">
        <f t="shared" si="188"/>
        <v>SONGOKU SE</v>
      </c>
      <c r="T487" s="154" t="s">
        <v>645</v>
      </c>
      <c r="U487" s="154" t="s">
        <v>797</v>
      </c>
      <c r="V487" s="154"/>
    </row>
    <row r="488" spans="1:22" s="158" customFormat="1" x14ac:dyDescent="0.3">
      <c r="A488" s="154" t="s">
        <v>776</v>
      </c>
      <c r="B488" s="155">
        <v>2</v>
      </c>
      <c r="C488" s="154">
        <v>408</v>
      </c>
      <c r="D488" s="156" t="str">
        <f t="shared" si="189"/>
        <v>Kumite</v>
      </c>
      <c r="E488" s="156" t="str">
        <f>"Kumite, -, 40-45 kg, Serdülő (13-14"</f>
        <v>Kumite, -, 40-45 kg, Serdülő (13-14</v>
      </c>
      <c r="F488" s="156" t="s">
        <v>536</v>
      </c>
      <c r="G488" s="157" t="str">
        <f>"4"</f>
        <v>4</v>
      </c>
      <c r="H488" s="156" t="str">
        <f>"4 fős körmérkőzés"</f>
        <v>4 fős körmérkőzés</v>
      </c>
      <c r="I488" s="157" t="str">
        <f>"3"</f>
        <v>3</v>
      </c>
      <c r="J488" s="156" t="str">
        <f>"Almási Petra"</f>
        <v>Almási Petra</v>
      </c>
      <c r="K488" s="156" t="str">
        <f>"KHSE"</f>
        <v>KHSE</v>
      </c>
      <c r="L488" s="156" t="str">
        <f t="shared" si="186"/>
        <v>HUN</v>
      </c>
      <c r="M488" s="163">
        <v>3</v>
      </c>
      <c r="O488" s="154" t="s">
        <v>248</v>
      </c>
      <c r="P488" s="159">
        <v>46088</v>
      </c>
      <c r="Q488" s="154" t="str">
        <f t="shared" si="187"/>
        <v>Almási Petra - KHSE</v>
      </c>
      <c r="R488" s="154" t="s">
        <v>636</v>
      </c>
      <c r="S488" s="154" t="str">
        <f t="shared" si="188"/>
        <v>KHSE</v>
      </c>
      <c r="T488" s="154" t="s">
        <v>645</v>
      </c>
      <c r="U488" s="154" t="s">
        <v>797</v>
      </c>
      <c r="V488" s="154"/>
    </row>
    <row r="489" spans="1:22" s="158" customFormat="1" x14ac:dyDescent="0.3">
      <c r="A489" s="154" t="s">
        <v>776</v>
      </c>
      <c r="B489" s="155">
        <v>2</v>
      </c>
      <c r="C489" s="154">
        <v>409</v>
      </c>
      <c r="D489" s="156" t="str">
        <f t="shared" ref="D489:D495" si="190">"Kata"</f>
        <v>Kata</v>
      </c>
      <c r="E489" s="156" t="str">
        <f t="shared" ref="E489:E495" si="191">"Kata, -, 0-150 kg, Serdülő (13-14"</f>
        <v>Kata, -, 0-150 kg, Serdülő (13-14</v>
      </c>
      <c r="F489" s="156" t="s">
        <v>538</v>
      </c>
      <c r="G489" s="157" t="str">
        <f t="shared" ref="G489:G495" si="192">"7"</f>
        <v>7</v>
      </c>
      <c r="H489" s="156" t="str">
        <f t="shared" ref="H489:H495" si="193">"8 fős egyenes kiesés"</f>
        <v>8 fős egyenes kiesés</v>
      </c>
      <c r="I489" s="157" t="str">
        <f>"1"</f>
        <v>1</v>
      </c>
      <c r="J489" s="156" t="str">
        <f>"Szabó Zsófi"</f>
        <v>Szabó Zsófi</v>
      </c>
      <c r="K489" s="156" t="str">
        <f>"ShinzóDojo"</f>
        <v>ShinzóDojo</v>
      </c>
      <c r="L489" s="156" t="str">
        <f t="shared" si="186"/>
        <v>HUN</v>
      </c>
      <c r="M489" s="163">
        <v>5</v>
      </c>
      <c r="O489" s="154" t="s">
        <v>248</v>
      </c>
      <c r="P489" s="159">
        <v>46088</v>
      </c>
      <c r="Q489" s="154" t="str">
        <f t="shared" si="187"/>
        <v>Szabó Zsófi - ShinzóDojo</v>
      </c>
      <c r="R489" s="154" t="s">
        <v>636</v>
      </c>
      <c r="S489" s="154" t="str">
        <f t="shared" si="188"/>
        <v>ShinzóDojo</v>
      </c>
      <c r="T489" s="154" t="s">
        <v>645</v>
      </c>
      <c r="U489" s="154" t="s">
        <v>797</v>
      </c>
      <c r="V489" s="154"/>
    </row>
    <row r="490" spans="1:22" s="158" customFormat="1" x14ac:dyDescent="0.3">
      <c r="A490" s="154" t="s">
        <v>776</v>
      </c>
      <c r="B490" s="155">
        <v>2</v>
      </c>
      <c r="C490" s="154">
        <v>410</v>
      </c>
      <c r="D490" s="156" t="str">
        <f t="shared" si="190"/>
        <v>Kata</v>
      </c>
      <c r="E490" s="156" t="str">
        <f t="shared" si="191"/>
        <v>Kata, -, 0-150 kg, Serdülő (13-14</v>
      </c>
      <c r="F490" s="156" t="s">
        <v>538</v>
      </c>
      <c r="G490" s="157" t="str">
        <f t="shared" si="192"/>
        <v>7</v>
      </c>
      <c r="H490" s="156" t="str">
        <f t="shared" si="193"/>
        <v>8 fős egyenes kiesés</v>
      </c>
      <c r="I490" s="157" t="str">
        <f>"2"</f>
        <v>2</v>
      </c>
      <c r="J490" s="156" t="str">
        <f>"Nándori Emma"</f>
        <v>Nándori Emma</v>
      </c>
      <c r="K490" s="156" t="str">
        <f>"Kemecse SE"</f>
        <v>Kemecse SE</v>
      </c>
      <c r="L490" s="156" t="str">
        <f t="shared" si="186"/>
        <v>HUN</v>
      </c>
      <c r="M490" s="163">
        <v>4</v>
      </c>
      <c r="O490" s="154" t="s">
        <v>248</v>
      </c>
      <c r="P490" s="159">
        <v>46088</v>
      </c>
      <c r="Q490" s="154" t="str">
        <f t="shared" si="187"/>
        <v>Nándori Emma - Kemecse SE</v>
      </c>
      <c r="R490" s="154" t="s">
        <v>636</v>
      </c>
      <c r="S490" s="154" t="str">
        <f t="shared" si="188"/>
        <v>Kemecse SE</v>
      </c>
      <c r="T490" s="154" t="s">
        <v>645</v>
      </c>
      <c r="U490" s="154" t="s">
        <v>797</v>
      </c>
      <c r="V490" s="154"/>
    </row>
    <row r="491" spans="1:22" s="158" customFormat="1" x14ac:dyDescent="0.3">
      <c r="A491" s="154" t="s">
        <v>776</v>
      </c>
      <c r="B491" s="155">
        <v>2</v>
      </c>
      <c r="C491" s="154">
        <v>411</v>
      </c>
      <c r="D491" s="156" t="str">
        <f t="shared" si="190"/>
        <v>Kata</v>
      </c>
      <c r="E491" s="156" t="str">
        <f t="shared" si="191"/>
        <v>Kata, -, 0-150 kg, Serdülő (13-14</v>
      </c>
      <c r="F491" s="156" t="s">
        <v>538</v>
      </c>
      <c r="G491" s="157" t="str">
        <f t="shared" si="192"/>
        <v>7</v>
      </c>
      <c r="H491" s="156" t="str">
        <f t="shared" si="193"/>
        <v>8 fős egyenes kiesés</v>
      </c>
      <c r="I491" s="157" t="str">
        <f>"3"</f>
        <v>3</v>
      </c>
      <c r="J491" s="156" t="str">
        <f>"Kiss Jázmin"</f>
        <v>Kiss Jázmin</v>
      </c>
      <c r="K491" s="156" t="str">
        <f>"TADASHII "</f>
        <v xml:space="preserve">TADASHII </v>
      </c>
      <c r="L491" s="156" t="str">
        <f t="shared" si="186"/>
        <v>HUN</v>
      </c>
      <c r="M491" s="163">
        <v>2</v>
      </c>
      <c r="O491" s="154" t="s">
        <v>248</v>
      </c>
      <c r="P491" s="159">
        <v>46088</v>
      </c>
      <c r="Q491" s="154" t="str">
        <f t="shared" si="187"/>
        <v xml:space="preserve">Kiss Jázmin - TADASHII </v>
      </c>
      <c r="R491" s="154" t="s">
        <v>637</v>
      </c>
      <c r="S491" s="154" t="str">
        <f t="shared" si="188"/>
        <v xml:space="preserve">TADASHII </v>
      </c>
      <c r="T491" s="154" t="s">
        <v>645</v>
      </c>
      <c r="U491" s="154" t="s">
        <v>797</v>
      </c>
      <c r="V491" s="154"/>
    </row>
    <row r="492" spans="1:22" s="158" customFormat="1" x14ac:dyDescent="0.3">
      <c r="A492" s="154" t="s">
        <v>776</v>
      </c>
      <c r="B492" s="155">
        <v>2</v>
      </c>
      <c r="C492" s="154">
        <v>412</v>
      </c>
      <c r="D492" s="156" t="str">
        <f t="shared" si="190"/>
        <v>Kata</v>
      </c>
      <c r="E492" s="156" t="str">
        <f t="shared" si="191"/>
        <v>Kata, -, 0-150 kg, Serdülő (13-14</v>
      </c>
      <c r="F492" s="156" t="s">
        <v>538</v>
      </c>
      <c r="G492" s="157" t="str">
        <f t="shared" si="192"/>
        <v>7</v>
      </c>
      <c r="H492" s="156" t="str">
        <f t="shared" si="193"/>
        <v>8 fős egyenes kiesés</v>
      </c>
      <c r="I492" s="157" t="str">
        <f>"3"</f>
        <v>3</v>
      </c>
      <c r="J492" s="156" t="str">
        <f>"Novák Noémi"</f>
        <v>Novák Noémi</v>
      </c>
      <c r="K492" s="156" t="str">
        <f>"Bendiák Dojo"</f>
        <v>Bendiák Dojo</v>
      </c>
      <c r="L492" s="156" t="str">
        <f t="shared" si="186"/>
        <v>HUN</v>
      </c>
      <c r="M492" s="163">
        <v>2</v>
      </c>
      <c r="O492" s="154" t="s">
        <v>248</v>
      </c>
      <c r="P492" s="159">
        <v>46088</v>
      </c>
      <c r="Q492" s="154" t="str">
        <f t="shared" si="187"/>
        <v>Novák Noémi - Bendiák Dojo</v>
      </c>
      <c r="R492" s="154" t="s">
        <v>636</v>
      </c>
      <c r="S492" s="154" t="str">
        <f t="shared" si="188"/>
        <v>Bendiák Dojo</v>
      </c>
      <c r="T492" s="154" t="s">
        <v>645</v>
      </c>
      <c r="U492" s="154" t="s">
        <v>797</v>
      </c>
      <c r="V492" s="154"/>
    </row>
    <row r="493" spans="1:22" s="158" customFormat="1" x14ac:dyDescent="0.3">
      <c r="A493" s="154" t="s">
        <v>776</v>
      </c>
      <c r="B493" s="155">
        <v>2</v>
      </c>
      <c r="C493" s="154">
        <v>413</v>
      </c>
      <c r="D493" s="156" t="str">
        <f t="shared" si="190"/>
        <v>Kata</v>
      </c>
      <c r="E493" s="156" t="str">
        <f t="shared" si="191"/>
        <v>Kata, -, 0-150 kg, Serdülő (13-14</v>
      </c>
      <c r="F493" s="156" t="s">
        <v>538</v>
      </c>
      <c r="G493" s="157" t="str">
        <f t="shared" si="192"/>
        <v>7</v>
      </c>
      <c r="H493" s="156" t="str">
        <f t="shared" si="193"/>
        <v>8 fős egyenes kiesés</v>
      </c>
      <c r="I493" s="157" t="str">
        <f>"5"</f>
        <v>5</v>
      </c>
      <c r="J493" s="156" t="str">
        <f>"Csató Réka"</f>
        <v>Csató Réka</v>
      </c>
      <c r="K493" s="156" t="str">
        <f>"Keizoku SE"</f>
        <v>Keizoku SE</v>
      </c>
      <c r="L493" s="156" t="str">
        <f t="shared" si="186"/>
        <v>HUN</v>
      </c>
      <c r="M493" s="163">
        <v>0</v>
      </c>
      <c r="O493" s="154" t="s">
        <v>248</v>
      </c>
      <c r="P493" s="159">
        <v>46088</v>
      </c>
      <c r="Q493" s="154" t="str">
        <f t="shared" si="187"/>
        <v>Csató Réka - Keizoku SE</v>
      </c>
      <c r="R493" s="154" t="s">
        <v>636</v>
      </c>
      <c r="S493" s="154" t="str">
        <f t="shared" si="188"/>
        <v>Keizoku SE</v>
      </c>
      <c r="T493" s="154" t="s">
        <v>645</v>
      </c>
      <c r="U493" s="154" t="s">
        <v>797</v>
      </c>
      <c r="V493" s="154"/>
    </row>
    <row r="494" spans="1:22" s="158" customFormat="1" x14ac:dyDescent="0.3">
      <c r="A494" s="154" t="s">
        <v>776</v>
      </c>
      <c r="B494" s="155">
        <v>2</v>
      </c>
      <c r="C494" s="154">
        <v>414</v>
      </c>
      <c r="D494" s="156" t="str">
        <f t="shared" si="190"/>
        <v>Kata</v>
      </c>
      <c r="E494" s="156" t="str">
        <f t="shared" si="191"/>
        <v>Kata, -, 0-150 kg, Serdülő (13-14</v>
      </c>
      <c r="F494" s="156" t="s">
        <v>538</v>
      </c>
      <c r="G494" s="157" t="str">
        <f t="shared" si="192"/>
        <v>7</v>
      </c>
      <c r="H494" s="156" t="str">
        <f t="shared" si="193"/>
        <v>8 fős egyenes kiesés</v>
      </c>
      <c r="I494" s="157" t="str">
        <f>"7-8"</f>
        <v>7-8</v>
      </c>
      <c r="J494" s="156" t="str">
        <f>"Bakó Panna"</f>
        <v>Bakó Panna</v>
      </c>
      <c r="K494" s="156" t="str">
        <f>"Kemecse SE"</f>
        <v>Kemecse SE</v>
      </c>
      <c r="L494" s="156" t="str">
        <f t="shared" si="186"/>
        <v>HUN</v>
      </c>
      <c r="M494" s="163">
        <v>0</v>
      </c>
      <c r="O494" s="154" t="s">
        <v>248</v>
      </c>
      <c r="P494" s="159">
        <v>46088</v>
      </c>
      <c r="Q494" s="154" t="str">
        <f t="shared" si="187"/>
        <v>Bakó Panna - Kemecse SE</v>
      </c>
      <c r="R494" s="154" t="s">
        <v>636</v>
      </c>
      <c r="S494" s="154" t="str">
        <f t="shared" si="188"/>
        <v>Kemecse SE</v>
      </c>
      <c r="T494" s="154" t="s">
        <v>645</v>
      </c>
      <c r="U494" s="154" t="s">
        <v>797</v>
      </c>
      <c r="V494" s="154"/>
    </row>
    <row r="495" spans="1:22" s="158" customFormat="1" x14ac:dyDescent="0.3">
      <c r="A495" s="154" t="s">
        <v>776</v>
      </c>
      <c r="B495" s="155">
        <v>2</v>
      </c>
      <c r="C495" s="154">
        <v>415</v>
      </c>
      <c r="D495" s="156" t="str">
        <f t="shared" si="190"/>
        <v>Kata</v>
      </c>
      <c r="E495" s="156" t="str">
        <f t="shared" si="191"/>
        <v>Kata, -, 0-150 kg, Serdülő (13-14</v>
      </c>
      <c r="F495" s="156" t="s">
        <v>538</v>
      </c>
      <c r="G495" s="157" t="str">
        <f t="shared" si="192"/>
        <v>7</v>
      </c>
      <c r="H495" s="156" t="str">
        <f t="shared" si="193"/>
        <v>8 fős egyenes kiesés</v>
      </c>
      <c r="I495" s="157" t="str">
        <f>"7-8"</f>
        <v>7-8</v>
      </c>
      <c r="J495" s="156" t="str">
        <f>"Nagy Blanka"</f>
        <v>Nagy Blanka</v>
      </c>
      <c r="K495" s="156" t="str">
        <f>"Shogun"</f>
        <v>Shogun</v>
      </c>
      <c r="L495" s="156" t="str">
        <f t="shared" si="186"/>
        <v>HUN</v>
      </c>
      <c r="M495" s="163">
        <v>0</v>
      </c>
      <c r="O495" s="154" t="s">
        <v>248</v>
      </c>
      <c r="P495" s="159">
        <v>46088</v>
      </c>
      <c r="Q495" s="154" t="str">
        <f t="shared" si="187"/>
        <v>Nagy Blanka - Shogun</v>
      </c>
      <c r="R495" s="154" t="s">
        <v>636</v>
      </c>
      <c r="S495" s="154" t="str">
        <f t="shared" si="188"/>
        <v>Shogun</v>
      </c>
      <c r="T495" s="154" t="s">
        <v>645</v>
      </c>
      <c r="U495" s="154" t="s">
        <v>797</v>
      </c>
      <c r="V495" s="154"/>
    </row>
    <row r="496" spans="1:22" s="158" customFormat="1" x14ac:dyDescent="0.3">
      <c r="A496" s="154" t="s">
        <v>776</v>
      </c>
      <c r="B496" s="155">
        <v>2</v>
      </c>
      <c r="C496" s="154">
        <v>416</v>
      </c>
      <c r="D496" s="156" t="str">
        <f t="shared" ref="D496:D517" si="194">"Kumite"</f>
        <v>Kumite</v>
      </c>
      <c r="E496" s="156" t="str">
        <f>"Kumite, -, 0-50 kg, Ifjúsági (15-16"</f>
        <v>Kumite, -, 0-50 kg, Ifjúsági (15-16</v>
      </c>
      <c r="F496" s="156" t="s">
        <v>541</v>
      </c>
      <c r="G496" s="157" t="str">
        <f>"6"</f>
        <v>6</v>
      </c>
      <c r="H496" s="156" t="str">
        <f>"6 fős vegyes"</f>
        <v>6 fős vegyes</v>
      </c>
      <c r="I496" s="157" t="str">
        <f>"1"</f>
        <v>1</v>
      </c>
      <c r="J496" s="156" t="str">
        <f>"Dorka Zalán"</f>
        <v>Dorka Zalán</v>
      </c>
      <c r="K496" s="156" t="str">
        <f>"KHSE"</f>
        <v>KHSE</v>
      </c>
      <c r="L496" s="156" t="str">
        <f t="shared" si="186"/>
        <v>HUN</v>
      </c>
      <c r="M496" s="163">
        <v>6</v>
      </c>
      <c r="O496" s="154" t="s">
        <v>248</v>
      </c>
      <c r="P496" s="159">
        <v>46088</v>
      </c>
      <c r="Q496" s="154" t="str">
        <f t="shared" si="187"/>
        <v>Dorka Zalán - KHSE</v>
      </c>
      <c r="R496" s="154" t="s">
        <v>636</v>
      </c>
      <c r="S496" s="154" t="str">
        <f t="shared" si="188"/>
        <v>KHSE</v>
      </c>
      <c r="T496" s="154" t="s">
        <v>645</v>
      </c>
      <c r="U496" s="154" t="s">
        <v>798</v>
      </c>
      <c r="V496" s="154"/>
    </row>
    <row r="497" spans="1:22" s="158" customFormat="1" x14ac:dyDescent="0.3">
      <c r="A497" s="154" t="s">
        <v>776</v>
      </c>
      <c r="B497" s="155">
        <v>2</v>
      </c>
      <c r="C497" s="154">
        <v>417</v>
      </c>
      <c r="D497" s="156" t="str">
        <f t="shared" si="194"/>
        <v>Kumite</v>
      </c>
      <c r="E497" s="156" t="str">
        <f>"Kumite, -, 0-50 kg, Ifjúsági (15-16"</f>
        <v>Kumite, -, 0-50 kg, Ifjúsági (15-16</v>
      </c>
      <c r="F497" s="156" t="s">
        <v>541</v>
      </c>
      <c r="G497" s="157" t="str">
        <f>"6"</f>
        <v>6</v>
      </c>
      <c r="H497" s="156" t="str">
        <f>"6 fős vegyes"</f>
        <v>6 fős vegyes</v>
      </c>
      <c r="I497" s="157" t="str">
        <f>"2"</f>
        <v>2</v>
      </c>
      <c r="J497" s="156" t="str">
        <f>"Stoffán Ádám Vilmos"</f>
        <v>Stoffán Ádám Vilmos</v>
      </c>
      <c r="K497" s="156" t="str">
        <f>"Victory"</f>
        <v>Victory</v>
      </c>
      <c r="L497" s="156" t="str">
        <f t="shared" si="186"/>
        <v>HUN</v>
      </c>
      <c r="M497" s="163">
        <v>5</v>
      </c>
      <c r="O497" s="154" t="s">
        <v>248</v>
      </c>
      <c r="P497" s="159">
        <v>46088</v>
      </c>
      <c r="Q497" s="154" t="str">
        <f t="shared" si="187"/>
        <v>Stoffán Ádám Vilmos - Victory</v>
      </c>
      <c r="R497" s="154" t="s">
        <v>636</v>
      </c>
      <c r="S497" s="154" t="str">
        <f t="shared" si="188"/>
        <v>Victory</v>
      </c>
      <c r="T497" s="154" t="s">
        <v>645</v>
      </c>
      <c r="U497" s="154" t="s">
        <v>798</v>
      </c>
      <c r="V497" s="154"/>
    </row>
    <row r="498" spans="1:22" s="158" customFormat="1" x14ac:dyDescent="0.3">
      <c r="A498" s="154" t="s">
        <v>776</v>
      </c>
      <c r="B498" s="155">
        <v>2</v>
      </c>
      <c r="C498" s="154">
        <v>418</v>
      </c>
      <c r="D498" s="156" t="str">
        <f t="shared" si="194"/>
        <v>Kumite</v>
      </c>
      <c r="E498" s="156" t="str">
        <f>"Kumite, -, 0-50 kg, Ifjúsági (15-16"</f>
        <v>Kumite, -, 0-50 kg, Ifjúsági (15-16</v>
      </c>
      <c r="F498" s="156" t="s">
        <v>541</v>
      </c>
      <c r="G498" s="157" t="str">
        <f>"6"</f>
        <v>6</v>
      </c>
      <c r="H498" s="156" t="str">
        <f>"6 fős vegyes"</f>
        <v>6 fős vegyes</v>
      </c>
      <c r="I498" s="157" t="str">
        <f>"3"</f>
        <v>3</v>
      </c>
      <c r="J498" s="156" t="str">
        <f>"Zhang Dávid"</f>
        <v>Zhang Dávid</v>
      </c>
      <c r="K498" s="156" t="str">
        <f>"KHSE"</f>
        <v>KHSE</v>
      </c>
      <c r="L498" s="156" t="str">
        <f t="shared" si="186"/>
        <v>HUN</v>
      </c>
      <c r="M498" s="163">
        <v>3</v>
      </c>
      <c r="O498" s="154" t="s">
        <v>248</v>
      </c>
      <c r="P498" s="159">
        <v>46088</v>
      </c>
      <c r="Q498" s="154" t="str">
        <f t="shared" si="187"/>
        <v>Zhang Dávid - KHSE</v>
      </c>
      <c r="R498" s="154" t="s">
        <v>636</v>
      </c>
      <c r="S498" s="154" t="str">
        <f t="shared" si="188"/>
        <v>KHSE</v>
      </c>
      <c r="T498" s="154" t="s">
        <v>645</v>
      </c>
      <c r="U498" s="154" t="s">
        <v>798</v>
      </c>
      <c r="V498" s="154"/>
    </row>
    <row r="499" spans="1:22" s="158" customFormat="1" x14ac:dyDescent="0.3">
      <c r="A499" s="154" t="s">
        <v>776</v>
      </c>
      <c r="B499" s="155">
        <v>2</v>
      </c>
      <c r="C499" s="154">
        <v>419</v>
      </c>
      <c r="D499" s="156" t="str">
        <f t="shared" si="194"/>
        <v>Kumite</v>
      </c>
      <c r="E499" s="156" t="str">
        <f>"Kumite, -, 50-55 kg, Ifjúsági (15-16"</f>
        <v>Kumite, -, 50-55 kg, Ifjúsági (15-16</v>
      </c>
      <c r="F499" s="156" t="s">
        <v>542</v>
      </c>
      <c r="G499" s="157" t="str">
        <f>"5"</f>
        <v>5</v>
      </c>
      <c r="H499" s="156" t="str">
        <f>"5 fős körmérkőzés"</f>
        <v>5 fős körmérkőzés</v>
      </c>
      <c r="I499" s="157" t="str">
        <f>"1"</f>
        <v>1</v>
      </c>
      <c r="J499" s="156" t="str">
        <f>"Berényi Imre Márk"</f>
        <v>Berényi Imre Márk</v>
      </c>
      <c r="K499" s="156" t="str">
        <f>"Shogun"</f>
        <v>Shogun</v>
      </c>
      <c r="L499" s="156" t="str">
        <f t="shared" si="186"/>
        <v>HUN</v>
      </c>
      <c r="M499" s="163">
        <v>8</v>
      </c>
      <c r="O499" s="154" t="s">
        <v>248</v>
      </c>
      <c r="P499" s="159">
        <v>46088</v>
      </c>
      <c r="Q499" s="154" t="str">
        <f t="shared" si="187"/>
        <v>Berényi Imre Márk - Shogun</v>
      </c>
      <c r="R499" s="154" t="s">
        <v>636</v>
      </c>
      <c r="S499" s="154" t="str">
        <f t="shared" si="188"/>
        <v>Shogun</v>
      </c>
      <c r="T499" s="154" t="s">
        <v>645</v>
      </c>
      <c r="U499" s="154" t="s">
        <v>798</v>
      </c>
      <c r="V499" s="154"/>
    </row>
    <row r="500" spans="1:22" s="158" customFormat="1" x14ac:dyDescent="0.3">
      <c r="A500" s="154" t="s">
        <v>776</v>
      </c>
      <c r="B500" s="155">
        <v>2</v>
      </c>
      <c r="C500" s="154">
        <v>420</v>
      </c>
      <c r="D500" s="156" t="str">
        <f t="shared" si="194"/>
        <v>Kumite</v>
      </c>
      <c r="E500" s="156" t="str">
        <f>"Kumite, -, 50-55 kg, Ifjúsági (15-16"</f>
        <v>Kumite, -, 50-55 kg, Ifjúsági (15-16</v>
      </c>
      <c r="F500" s="156" t="s">
        <v>542</v>
      </c>
      <c r="G500" s="157" t="str">
        <f>"5"</f>
        <v>5</v>
      </c>
      <c r="H500" s="156" t="str">
        <f>"5 fős körmérkőzés"</f>
        <v>5 fős körmérkőzés</v>
      </c>
      <c r="I500" s="157" t="str">
        <f>"2"</f>
        <v>2</v>
      </c>
      <c r="J500" s="156" t="str">
        <f>"Balázs Máté"</f>
        <v>Balázs Máté</v>
      </c>
      <c r="K500" s="156" t="str">
        <f>"KHSE"</f>
        <v>KHSE</v>
      </c>
      <c r="L500" s="156" t="str">
        <f t="shared" si="186"/>
        <v>HUN</v>
      </c>
      <c r="M500" s="163">
        <v>6</v>
      </c>
      <c r="O500" s="154" t="s">
        <v>248</v>
      </c>
      <c r="P500" s="159">
        <v>46088</v>
      </c>
      <c r="Q500" s="154" t="str">
        <f t="shared" si="187"/>
        <v>Balázs Máté - KHSE</v>
      </c>
      <c r="R500" s="154" t="s">
        <v>636</v>
      </c>
      <c r="S500" s="154" t="str">
        <f t="shared" si="188"/>
        <v>KHSE</v>
      </c>
      <c r="T500" s="154" t="s">
        <v>645</v>
      </c>
      <c r="U500" s="154" t="s">
        <v>798</v>
      </c>
      <c r="V500" s="154"/>
    </row>
    <row r="501" spans="1:22" s="158" customFormat="1" x14ac:dyDescent="0.3">
      <c r="A501" s="154" t="s">
        <v>776</v>
      </c>
      <c r="B501" s="155">
        <v>2</v>
      </c>
      <c r="C501" s="154">
        <v>421</v>
      </c>
      <c r="D501" s="156" t="str">
        <f t="shared" si="194"/>
        <v>Kumite</v>
      </c>
      <c r="E501" s="156" t="str">
        <f>"Kumite, -, 50-55 kg, Ifjúsági (15-16"</f>
        <v>Kumite, -, 50-55 kg, Ifjúsági (15-16</v>
      </c>
      <c r="F501" s="156" t="s">
        <v>542</v>
      </c>
      <c r="G501" s="157" t="str">
        <f>"5"</f>
        <v>5</v>
      </c>
      <c r="H501" s="156" t="str">
        <f>"5 fős körmérkőzés"</f>
        <v>5 fős körmérkőzés</v>
      </c>
      <c r="I501" s="157" t="str">
        <f>"3"</f>
        <v>3</v>
      </c>
      <c r="J501" s="156" t="str">
        <f>"Dániel László"</f>
        <v>Dániel László</v>
      </c>
      <c r="K501" s="156" t="str">
        <f>"Kelemen-Team"</f>
        <v>Kelemen-Team</v>
      </c>
      <c r="L501" s="156" t="str">
        <f t="shared" si="186"/>
        <v>HUN</v>
      </c>
      <c r="M501" s="163">
        <v>4</v>
      </c>
      <c r="O501" s="154" t="s">
        <v>248</v>
      </c>
      <c r="P501" s="159">
        <v>46088</v>
      </c>
      <c r="Q501" s="154" t="str">
        <f t="shared" ref="Q501" si="195">J501&amp;" - "&amp;K501</f>
        <v>Dániel László - Kelemen-Team</v>
      </c>
      <c r="R501" s="154" t="s">
        <v>636</v>
      </c>
      <c r="S501" s="154" t="str">
        <f t="shared" ref="S501" si="196">K501</f>
        <v>Kelemen-Team</v>
      </c>
      <c r="T501" s="154" t="s">
        <v>645</v>
      </c>
      <c r="U501" s="154" t="s">
        <v>798</v>
      </c>
      <c r="V501" s="154"/>
    </row>
    <row r="502" spans="1:22" s="158" customFormat="1" x14ac:dyDescent="0.3">
      <c r="A502" s="154" t="s">
        <v>776</v>
      </c>
      <c r="B502" s="155">
        <v>2</v>
      </c>
      <c r="C502" s="154">
        <v>421</v>
      </c>
      <c r="D502" s="156" t="str">
        <f t="shared" si="194"/>
        <v>Kumite</v>
      </c>
      <c r="E502" s="156" t="str">
        <f>"Kumite, -, 50-55 kg, Ifjúsági (15-16"</f>
        <v>Kumite, -, 50-55 kg, Ifjúsági (15-16</v>
      </c>
      <c r="F502" s="156" t="s">
        <v>542</v>
      </c>
      <c r="G502" s="157" t="str">
        <f>"5"</f>
        <v>5</v>
      </c>
      <c r="H502" s="156" t="str">
        <f>"5 fős körmérkőzés"</f>
        <v>5 fős körmérkőzés</v>
      </c>
      <c r="I502" s="157">
        <v>4</v>
      </c>
      <c r="J502" s="156" t="s">
        <v>806</v>
      </c>
      <c r="K502" s="156" t="s">
        <v>87</v>
      </c>
      <c r="L502" s="156" t="str">
        <f t="shared" si="186"/>
        <v>HUN</v>
      </c>
      <c r="M502" s="163">
        <v>3</v>
      </c>
      <c r="O502" s="154" t="s">
        <v>248</v>
      </c>
      <c r="P502" s="159">
        <v>46088</v>
      </c>
      <c r="Q502" s="154" t="str">
        <f t="shared" si="187"/>
        <v>Dürgő Máté - Victory</v>
      </c>
      <c r="R502" s="154" t="s">
        <v>636</v>
      </c>
      <c r="S502" s="154" t="str">
        <f t="shared" si="188"/>
        <v>Victory</v>
      </c>
      <c r="T502" s="154" t="s">
        <v>645</v>
      </c>
      <c r="U502" s="154" t="s">
        <v>798</v>
      </c>
      <c r="V502" s="154"/>
    </row>
    <row r="503" spans="1:22" s="158" customFormat="1" x14ac:dyDescent="0.3">
      <c r="A503" s="154" t="s">
        <v>776</v>
      </c>
      <c r="B503" s="155">
        <v>2</v>
      </c>
      <c r="C503" s="154">
        <v>422</v>
      </c>
      <c r="D503" s="156" t="str">
        <f t="shared" si="194"/>
        <v>Kumite</v>
      </c>
      <c r="E503" s="156" t="str">
        <f>"Kumite, -, 55-60 kg, Ifjúsági (15-16"</f>
        <v>Kumite, -, 55-60 kg, Ifjúsági (15-16</v>
      </c>
      <c r="F503" s="156" t="s">
        <v>544</v>
      </c>
      <c r="G503" s="157" t="str">
        <f t="shared" ref="G503:G508" si="197">"4"</f>
        <v>4</v>
      </c>
      <c r="H503" s="156" t="str">
        <f t="shared" ref="H503:H508" si="198">"4 fős körmérkőzés"</f>
        <v>4 fős körmérkőzés</v>
      </c>
      <c r="I503" s="157" t="str">
        <f>"1"</f>
        <v>1</v>
      </c>
      <c r="J503" s="156" t="str">
        <f>"Ménes Milán"</f>
        <v>Ménes Milán</v>
      </c>
      <c r="K503" s="156" t="str">
        <f>"KHSE"</f>
        <v>KHSE</v>
      </c>
      <c r="L503" s="156" t="str">
        <f t="shared" si="186"/>
        <v>HUN</v>
      </c>
      <c r="M503" s="163">
        <v>6</v>
      </c>
      <c r="O503" s="154" t="s">
        <v>248</v>
      </c>
      <c r="P503" s="159">
        <v>46088</v>
      </c>
      <c r="Q503" s="154" t="str">
        <f t="shared" si="187"/>
        <v>Ménes Milán - KHSE</v>
      </c>
      <c r="R503" s="154" t="s">
        <v>636</v>
      </c>
      <c r="S503" s="154" t="str">
        <f t="shared" si="188"/>
        <v>KHSE</v>
      </c>
      <c r="T503" s="154" t="s">
        <v>645</v>
      </c>
      <c r="U503" s="154" t="s">
        <v>798</v>
      </c>
      <c r="V503" s="154"/>
    </row>
    <row r="504" spans="1:22" s="158" customFormat="1" x14ac:dyDescent="0.3">
      <c r="A504" s="154" t="s">
        <v>776</v>
      </c>
      <c r="B504" s="155">
        <v>2</v>
      </c>
      <c r="C504" s="154">
        <v>423</v>
      </c>
      <c r="D504" s="156" t="str">
        <f t="shared" si="194"/>
        <v>Kumite</v>
      </c>
      <c r="E504" s="156" t="str">
        <f>"Kumite, -, 55-60 kg, Ifjúsági (15-16"</f>
        <v>Kumite, -, 55-60 kg, Ifjúsági (15-16</v>
      </c>
      <c r="F504" s="156" t="s">
        <v>544</v>
      </c>
      <c r="G504" s="157" t="str">
        <f t="shared" si="197"/>
        <v>4</v>
      </c>
      <c r="H504" s="156" t="str">
        <f t="shared" si="198"/>
        <v>4 fős körmérkőzés</v>
      </c>
      <c r="I504" s="157" t="str">
        <f>"2"</f>
        <v>2</v>
      </c>
      <c r="J504" s="156" t="str">
        <f>"Banka Boldizsár"</f>
        <v>Banka Boldizsár</v>
      </c>
      <c r="K504" s="156" t="str">
        <f>"KYO Fighter SE"</f>
        <v>KYO Fighter SE</v>
      </c>
      <c r="L504" s="156" t="str">
        <f t="shared" si="186"/>
        <v>HUN</v>
      </c>
      <c r="M504" s="163">
        <v>5</v>
      </c>
      <c r="O504" s="154" t="s">
        <v>248</v>
      </c>
      <c r="P504" s="159">
        <v>46088</v>
      </c>
      <c r="Q504" s="154" t="str">
        <f t="shared" si="187"/>
        <v>Banka Boldizsár - KYO Fighter SE</v>
      </c>
      <c r="R504" s="154" t="s">
        <v>636</v>
      </c>
      <c r="S504" s="154" t="str">
        <f t="shared" si="188"/>
        <v>KYO Fighter SE</v>
      </c>
      <c r="T504" s="154" t="s">
        <v>645</v>
      </c>
      <c r="U504" s="154" t="s">
        <v>798</v>
      </c>
      <c r="V504" s="154"/>
    </row>
    <row r="505" spans="1:22" s="158" customFormat="1" x14ac:dyDescent="0.3">
      <c r="A505" s="154" t="s">
        <v>776</v>
      </c>
      <c r="B505" s="155">
        <v>2</v>
      </c>
      <c r="C505" s="154">
        <v>424</v>
      </c>
      <c r="D505" s="156" t="str">
        <f t="shared" si="194"/>
        <v>Kumite</v>
      </c>
      <c r="E505" s="156" t="str">
        <f>"Kumite, -, 55-60 kg, Ifjúsági (15-16"</f>
        <v>Kumite, -, 55-60 kg, Ifjúsági (15-16</v>
      </c>
      <c r="F505" s="156" t="s">
        <v>544</v>
      </c>
      <c r="G505" s="157" t="str">
        <f t="shared" si="197"/>
        <v>4</v>
      </c>
      <c r="H505" s="156" t="str">
        <f t="shared" si="198"/>
        <v>4 fős körmérkőzés</v>
      </c>
      <c r="I505" s="157" t="str">
        <f>"3"</f>
        <v>3</v>
      </c>
      <c r="J505" s="156" t="str">
        <f>"Bartus Marcell"</f>
        <v>Bartus Marcell</v>
      </c>
      <c r="K505" s="156" t="str">
        <f>"KYO Fighter SE"</f>
        <v>KYO Fighter SE</v>
      </c>
      <c r="L505" s="156" t="str">
        <f t="shared" si="186"/>
        <v>HUN</v>
      </c>
      <c r="M505" s="163">
        <v>3</v>
      </c>
      <c r="O505" s="154" t="s">
        <v>248</v>
      </c>
      <c r="P505" s="159">
        <v>46088</v>
      </c>
      <c r="Q505" s="154" t="str">
        <f t="shared" si="187"/>
        <v>Bartus Marcell - KYO Fighter SE</v>
      </c>
      <c r="R505" s="154" t="s">
        <v>636</v>
      </c>
      <c r="S505" s="154" t="str">
        <f t="shared" si="188"/>
        <v>KYO Fighter SE</v>
      </c>
      <c r="T505" s="154" t="s">
        <v>645</v>
      </c>
      <c r="U505" s="154" t="s">
        <v>798</v>
      </c>
      <c r="V505" s="154"/>
    </row>
    <row r="506" spans="1:22" s="158" customFormat="1" x14ac:dyDescent="0.3">
      <c r="A506" s="154" t="s">
        <v>776</v>
      </c>
      <c r="B506" s="155">
        <v>2</v>
      </c>
      <c r="C506" s="154">
        <v>425</v>
      </c>
      <c r="D506" s="156" t="str">
        <f t="shared" si="194"/>
        <v>Kumite</v>
      </c>
      <c r="E506" s="156" t="str">
        <f>"Kumite, -, 60-65 kg, Ifjúsági (15-16"</f>
        <v>Kumite, -, 60-65 kg, Ifjúsági (15-16</v>
      </c>
      <c r="F506" s="156" t="s">
        <v>555</v>
      </c>
      <c r="G506" s="157" t="str">
        <f t="shared" si="197"/>
        <v>4</v>
      </c>
      <c r="H506" s="156" t="str">
        <f t="shared" si="198"/>
        <v>4 fős körmérkőzés</v>
      </c>
      <c r="I506" s="157" t="str">
        <f>"1"</f>
        <v>1</v>
      </c>
      <c r="J506" s="156" t="str">
        <f>"Balogh Levente"</f>
        <v>Balogh Levente</v>
      </c>
      <c r="K506" s="156" t="str">
        <f>"Wheelmaker dojo SE"</f>
        <v>Wheelmaker dojo SE</v>
      </c>
      <c r="L506" s="156" t="str">
        <f t="shared" si="186"/>
        <v>HUN</v>
      </c>
      <c r="M506" s="163">
        <v>6</v>
      </c>
      <c r="O506" s="154" t="s">
        <v>248</v>
      </c>
      <c r="P506" s="159">
        <v>46088</v>
      </c>
      <c r="Q506" s="154" t="str">
        <f t="shared" si="187"/>
        <v>Balogh Levente - Wheelmaker dojo SE</v>
      </c>
      <c r="R506" s="154" t="s">
        <v>637</v>
      </c>
      <c r="S506" s="154" t="str">
        <f t="shared" si="188"/>
        <v>Wheelmaker dojo SE</v>
      </c>
      <c r="T506" s="154" t="s">
        <v>645</v>
      </c>
      <c r="U506" s="154" t="s">
        <v>798</v>
      </c>
      <c r="V506" s="154"/>
    </row>
    <row r="507" spans="1:22" s="158" customFormat="1" x14ac:dyDescent="0.3">
      <c r="A507" s="154" t="s">
        <v>776</v>
      </c>
      <c r="B507" s="155">
        <v>2</v>
      </c>
      <c r="C507" s="154">
        <v>426</v>
      </c>
      <c r="D507" s="156" t="str">
        <f t="shared" si="194"/>
        <v>Kumite</v>
      </c>
      <c r="E507" s="156" t="str">
        <f>"Kumite, -, 60-65 kg, Ifjúsági (15-16"</f>
        <v>Kumite, -, 60-65 kg, Ifjúsági (15-16</v>
      </c>
      <c r="F507" s="156" t="s">
        <v>555</v>
      </c>
      <c r="G507" s="157" t="str">
        <f t="shared" si="197"/>
        <v>4</v>
      </c>
      <c r="H507" s="156" t="str">
        <f t="shared" si="198"/>
        <v>4 fős körmérkőzés</v>
      </c>
      <c r="I507" s="157" t="str">
        <f>"2"</f>
        <v>2</v>
      </c>
      <c r="J507" s="156" t="str">
        <f>"Tarsoly Norbert"</f>
        <v>Tarsoly Norbert</v>
      </c>
      <c r="K507" s="156" t="str">
        <f>"Nintai KKSE"</f>
        <v>Nintai KKSE</v>
      </c>
      <c r="L507" s="156" t="str">
        <f t="shared" si="186"/>
        <v>HUN</v>
      </c>
      <c r="M507" s="163">
        <v>5</v>
      </c>
      <c r="O507" s="154" t="s">
        <v>248</v>
      </c>
      <c r="P507" s="159">
        <v>46088</v>
      </c>
      <c r="Q507" s="154" t="str">
        <f t="shared" si="187"/>
        <v>Tarsoly Norbert - Nintai KKSE</v>
      </c>
      <c r="R507" s="154" t="s">
        <v>637</v>
      </c>
      <c r="S507" s="154" t="str">
        <f t="shared" si="188"/>
        <v>Nintai KKSE</v>
      </c>
      <c r="T507" s="154" t="s">
        <v>645</v>
      </c>
      <c r="U507" s="154" t="s">
        <v>798</v>
      </c>
      <c r="V507" s="154"/>
    </row>
    <row r="508" spans="1:22" s="158" customFormat="1" x14ac:dyDescent="0.3">
      <c r="A508" s="154" t="s">
        <v>776</v>
      </c>
      <c r="B508" s="155">
        <v>2</v>
      </c>
      <c r="C508" s="154">
        <v>427</v>
      </c>
      <c r="D508" s="156" t="str">
        <f t="shared" si="194"/>
        <v>Kumite</v>
      </c>
      <c r="E508" s="156" t="str">
        <f>"Kumite, -, 60-65 kg, Ifjúsági (15-16"</f>
        <v>Kumite, -, 60-65 kg, Ifjúsági (15-16</v>
      </c>
      <c r="F508" s="156" t="s">
        <v>555</v>
      </c>
      <c r="G508" s="157" t="str">
        <f t="shared" si="197"/>
        <v>4</v>
      </c>
      <c r="H508" s="156" t="str">
        <f t="shared" si="198"/>
        <v>4 fős körmérkőzés</v>
      </c>
      <c r="I508" s="157" t="str">
        <f>"3"</f>
        <v>3</v>
      </c>
      <c r="J508" s="156" t="str">
        <f>"Tutor Barnabás "</f>
        <v xml:space="preserve">Tutor Barnabás </v>
      </c>
      <c r="K508" s="156" t="str">
        <f>"Derecske BUDO"</f>
        <v>Derecske BUDO</v>
      </c>
      <c r="L508" s="156" t="str">
        <f t="shared" si="186"/>
        <v>HUN</v>
      </c>
      <c r="M508" s="163">
        <v>3</v>
      </c>
      <c r="O508" s="154" t="s">
        <v>248</v>
      </c>
      <c r="P508" s="159">
        <v>46088</v>
      </c>
      <c r="Q508" s="154" t="str">
        <f t="shared" si="187"/>
        <v>Tutor Barnabás  - Derecske BUDO</v>
      </c>
      <c r="R508" s="154" t="s">
        <v>636</v>
      </c>
      <c r="S508" s="154" t="str">
        <f t="shared" si="188"/>
        <v>Derecske BUDO</v>
      </c>
      <c r="T508" s="154" t="s">
        <v>645</v>
      </c>
      <c r="U508" s="154" t="s">
        <v>798</v>
      </c>
      <c r="V508" s="154"/>
    </row>
    <row r="509" spans="1:22" s="158" customFormat="1" x14ac:dyDescent="0.3">
      <c r="A509" s="154" t="s">
        <v>776</v>
      </c>
      <c r="B509" s="155">
        <v>2</v>
      </c>
      <c r="C509" s="154">
        <v>428</v>
      </c>
      <c r="D509" s="156" t="str">
        <f t="shared" si="194"/>
        <v>Kumite</v>
      </c>
      <c r="E509" s="156" t="str">
        <f>"Kumite, -, 65-70 kg, Ifjúsági (15-16"</f>
        <v>Kumite, -, 65-70 kg, Ifjúsági (15-16</v>
      </c>
      <c r="F509" s="156" t="s">
        <v>545</v>
      </c>
      <c r="G509" s="157" t="str">
        <f>"3"</f>
        <v>3</v>
      </c>
      <c r="H509" s="156" t="str">
        <f>"3 fős körmérkőzés"</f>
        <v>3 fős körmérkőzés</v>
      </c>
      <c r="I509" s="157" t="str">
        <f>"1"</f>
        <v>1</v>
      </c>
      <c r="J509" s="156" t="str">
        <f>"Kurucz Gergő"</f>
        <v>Kurucz Gergő</v>
      </c>
      <c r="K509" s="156" t="str">
        <f>"Victory"</f>
        <v>Victory</v>
      </c>
      <c r="L509" s="156" t="str">
        <f t="shared" si="186"/>
        <v>HUN</v>
      </c>
      <c r="M509" s="163">
        <v>4</v>
      </c>
      <c r="O509" s="154" t="s">
        <v>248</v>
      </c>
      <c r="P509" s="159">
        <v>46088</v>
      </c>
      <c r="Q509" s="154" t="str">
        <f t="shared" si="187"/>
        <v>Kurucz Gergő - Victory</v>
      </c>
      <c r="R509" s="154" t="s">
        <v>636</v>
      </c>
      <c r="S509" s="154" t="str">
        <f t="shared" si="188"/>
        <v>Victory</v>
      </c>
      <c r="T509" s="154" t="s">
        <v>645</v>
      </c>
      <c r="U509" s="154" t="s">
        <v>798</v>
      </c>
      <c r="V509" s="154"/>
    </row>
    <row r="510" spans="1:22" s="158" customFormat="1" x14ac:dyDescent="0.3">
      <c r="A510" s="154" t="s">
        <v>776</v>
      </c>
      <c r="B510" s="155">
        <v>2</v>
      </c>
      <c r="C510" s="154">
        <v>429</v>
      </c>
      <c r="D510" s="156" t="str">
        <f t="shared" si="194"/>
        <v>Kumite</v>
      </c>
      <c r="E510" s="156" t="str">
        <f>"Kumite, -, 65-70 kg, Ifjúsági (15-16"</f>
        <v>Kumite, -, 65-70 kg, Ifjúsági (15-16</v>
      </c>
      <c r="F510" s="156" t="s">
        <v>545</v>
      </c>
      <c r="G510" s="157" t="str">
        <f>"3"</f>
        <v>3</v>
      </c>
      <c r="H510" s="156" t="str">
        <f>"3 fős körmérkőzés"</f>
        <v>3 fős körmérkőzés</v>
      </c>
      <c r="I510" s="157" t="str">
        <f>"2"</f>
        <v>2</v>
      </c>
      <c r="J510" s="156" t="str">
        <f>"Dezső Norbert"</f>
        <v>Dezső Norbert</v>
      </c>
      <c r="K510" s="156" t="str">
        <f>"Magna Dojo"</f>
        <v>Magna Dojo</v>
      </c>
      <c r="L510" s="156" t="str">
        <f t="shared" si="186"/>
        <v>HUN</v>
      </c>
      <c r="M510" s="163">
        <v>3</v>
      </c>
      <c r="O510" s="154" t="s">
        <v>248</v>
      </c>
      <c r="P510" s="159">
        <v>46088</v>
      </c>
      <c r="Q510" s="154" t="str">
        <f t="shared" si="187"/>
        <v>Dezső Norbert - Magna Dojo</v>
      </c>
      <c r="R510" s="154" t="s">
        <v>636</v>
      </c>
      <c r="S510" s="154" t="str">
        <f t="shared" si="188"/>
        <v>Magna Dojo</v>
      </c>
      <c r="T510" s="154" t="s">
        <v>645</v>
      </c>
      <c r="U510" s="154" t="s">
        <v>798</v>
      </c>
      <c r="V510" s="154"/>
    </row>
    <row r="511" spans="1:22" s="158" customFormat="1" x14ac:dyDescent="0.3">
      <c r="A511" s="154" t="s">
        <v>776</v>
      </c>
      <c r="B511" s="155">
        <v>2</v>
      </c>
      <c r="C511" s="154">
        <v>430</v>
      </c>
      <c r="D511" s="156" t="str">
        <f t="shared" si="194"/>
        <v>Kumite</v>
      </c>
      <c r="E511" s="156" t="str">
        <f>"Kumite, -, 65-70 kg, Ifjúsági (15-16"</f>
        <v>Kumite, -, 65-70 kg, Ifjúsági (15-16</v>
      </c>
      <c r="F511" s="156" t="s">
        <v>545</v>
      </c>
      <c r="G511" s="157" t="str">
        <f>"3"</f>
        <v>3</v>
      </c>
      <c r="H511" s="156" t="str">
        <f>"3 fős körmérkőzés"</f>
        <v>3 fős körmérkőzés</v>
      </c>
      <c r="I511" s="157" t="str">
        <f>"3"</f>
        <v>3</v>
      </c>
      <c r="J511" s="156" t="str">
        <f>"Novák Balázs"</f>
        <v>Novák Balázs</v>
      </c>
      <c r="K511" s="156" t="str">
        <f>"Bendiák Dojo"</f>
        <v>Bendiák Dojo</v>
      </c>
      <c r="L511" s="156" t="str">
        <f t="shared" si="186"/>
        <v>HUN</v>
      </c>
      <c r="M511" s="163">
        <v>0</v>
      </c>
      <c r="N511" s="158" t="s">
        <v>704</v>
      </c>
      <c r="O511" s="154" t="s">
        <v>248</v>
      </c>
      <c r="P511" s="159">
        <v>46088</v>
      </c>
      <c r="Q511" s="154" t="str">
        <f t="shared" si="187"/>
        <v>Novák Balázs - Bendiák Dojo</v>
      </c>
      <c r="R511" s="154" t="s">
        <v>636</v>
      </c>
      <c r="S511" s="154" t="str">
        <f t="shared" si="188"/>
        <v>Bendiák Dojo</v>
      </c>
      <c r="T511" s="154" t="s">
        <v>645</v>
      </c>
      <c r="U511" s="154" t="s">
        <v>798</v>
      </c>
      <c r="V511" s="154"/>
    </row>
    <row r="512" spans="1:22" s="158" customFormat="1" x14ac:dyDescent="0.3">
      <c r="A512" s="154" t="s">
        <v>776</v>
      </c>
      <c r="B512" s="155">
        <v>2</v>
      </c>
      <c r="C512" s="154">
        <v>431</v>
      </c>
      <c r="D512" s="156" t="str">
        <f t="shared" si="194"/>
        <v>Kumite</v>
      </c>
      <c r="E512" s="156" t="str">
        <f>"Kumite, -, 70-75 kg, Ifjúsági (15-16"</f>
        <v>Kumite, -, 70-75 kg, Ifjúsági (15-16</v>
      </c>
      <c r="F512" s="156" t="s">
        <v>556</v>
      </c>
      <c r="G512" s="157" t="str">
        <f>"4"</f>
        <v>4</v>
      </c>
      <c r="H512" s="156" t="str">
        <f>"4 fős körmérkőzés"</f>
        <v>4 fős körmérkőzés</v>
      </c>
      <c r="I512" s="157" t="str">
        <f>"1"</f>
        <v>1</v>
      </c>
      <c r="J512" s="156" t="str">
        <f>"Ágoston Bence"</f>
        <v>Ágoston Bence</v>
      </c>
      <c r="K512" s="156" t="str">
        <f>"KHSE"</f>
        <v>KHSE</v>
      </c>
      <c r="L512" s="156" t="str">
        <f t="shared" si="186"/>
        <v>HUN</v>
      </c>
      <c r="M512" s="163">
        <v>6</v>
      </c>
      <c r="O512" s="154" t="s">
        <v>248</v>
      </c>
      <c r="P512" s="159">
        <v>46088</v>
      </c>
      <c r="Q512" s="154" t="str">
        <f t="shared" si="187"/>
        <v>Ágoston Bence - KHSE</v>
      </c>
      <c r="R512" s="154" t="s">
        <v>636</v>
      </c>
      <c r="S512" s="154" t="str">
        <f t="shared" si="188"/>
        <v>KHSE</v>
      </c>
      <c r="T512" s="154" t="s">
        <v>645</v>
      </c>
      <c r="U512" s="154" t="s">
        <v>798</v>
      </c>
      <c r="V512" s="154"/>
    </row>
    <row r="513" spans="1:22" s="158" customFormat="1" x14ac:dyDescent="0.3">
      <c r="A513" s="154" t="s">
        <v>776</v>
      </c>
      <c r="B513" s="155">
        <v>2</v>
      </c>
      <c r="C513" s="154">
        <v>432</v>
      </c>
      <c r="D513" s="156" t="str">
        <f t="shared" si="194"/>
        <v>Kumite</v>
      </c>
      <c r="E513" s="156" t="str">
        <f>"Kumite, -, 70-75 kg, Ifjúsági (15-16"</f>
        <v>Kumite, -, 70-75 kg, Ifjúsági (15-16</v>
      </c>
      <c r="F513" s="156" t="s">
        <v>556</v>
      </c>
      <c r="G513" s="157" t="str">
        <f>"4"</f>
        <v>4</v>
      </c>
      <c r="H513" s="156" t="str">
        <f>"4 fős körmérkőzés"</f>
        <v>4 fős körmérkőzés</v>
      </c>
      <c r="I513" s="157" t="str">
        <f>"2"</f>
        <v>2</v>
      </c>
      <c r="J513" s="156" t="str">
        <f>"Vancsó Kornél"</f>
        <v>Vancsó Kornél</v>
      </c>
      <c r="K513" s="156" t="str">
        <f>"Bendiák Dojo"</f>
        <v>Bendiák Dojo</v>
      </c>
      <c r="L513" s="156" t="str">
        <f t="shared" si="186"/>
        <v>HUN</v>
      </c>
      <c r="M513" s="163">
        <v>5</v>
      </c>
      <c r="O513" s="154" t="s">
        <v>248</v>
      </c>
      <c r="P513" s="159">
        <v>46088</v>
      </c>
      <c r="Q513" s="154" t="str">
        <f t="shared" si="187"/>
        <v>Vancsó Kornél - Bendiák Dojo</v>
      </c>
      <c r="R513" s="154" t="s">
        <v>636</v>
      </c>
      <c r="S513" s="154" t="str">
        <f t="shared" si="188"/>
        <v>Bendiák Dojo</v>
      </c>
      <c r="T513" s="154" t="s">
        <v>645</v>
      </c>
      <c r="U513" s="154" t="s">
        <v>798</v>
      </c>
      <c r="V513" s="154"/>
    </row>
    <row r="514" spans="1:22" s="158" customFormat="1" x14ac:dyDescent="0.3">
      <c r="A514" s="154" t="s">
        <v>776</v>
      </c>
      <c r="B514" s="155">
        <v>2</v>
      </c>
      <c r="C514" s="154">
        <v>433</v>
      </c>
      <c r="D514" s="156" t="str">
        <f t="shared" si="194"/>
        <v>Kumite</v>
      </c>
      <c r="E514" s="156" t="str">
        <f>"Kumite, -, 70-75 kg, Ifjúsági (15-16"</f>
        <v>Kumite, -, 70-75 kg, Ifjúsági (15-16</v>
      </c>
      <c r="F514" s="156" t="s">
        <v>556</v>
      </c>
      <c r="G514" s="157" t="str">
        <f>"4"</f>
        <v>4</v>
      </c>
      <c r="H514" s="156" t="str">
        <f>"4 fős körmérkőzés"</f>
        <v>4 fős körmérkőzés</v>
      </c>
      <c r="I514" s="157" t="str">
        <f>"3"</f>
        <v>3</v>
      </c>
      <c r="J514" s="156" t="str">
        <f>"Vass Noel"</f>
        <v>Vass Noel</v>
      </c>
      <c r="K514" s="156" t="str">
        <f>"KHSE"</f>
        <v>KHSE</v>
      </c>
      <c r="L514" s="156" t="str">
        <f t="shared" si="186"/>
        <v>HUN</v>
      </c>
      <c r="M514" s="163">
        <v>3</v>
      </c>
      <c r="O514" s="154" t="s">
        <v>248</v>
      </c>
      <c r="P514" s="159">
        <v>46088</v>
      </c>
      <c r="Q514" s="154" t="str">
        <f t="shared" si="187"/>
        <v>Vass Noel - KHSE</v>
      </c>
      <c r="R514" s="154" t="s">
        <v>636</v>
      </c>
      <c r="S514" s="154" t="str">
        <f t="shared" si="188"/>
        <v>KHSE</v>
      </c>
      <c r="T514" s="154" t="s">
        <v>645</v>
      </c>
      <c r="U514" s="154" t="s">
        <v>798</v>
      </c>
      <c r="V514" s="154"/>
    </row>
    <row r="515" spans="1:22" s="158" customFormat="1" x14ac:dyDescent="0.3">
      <c r="A515" s="154" t="s">
        <v>776</v>
      </c>
      <c r="B515" s="155">
        <v>2</v>
      </c>
      <c r="C515" s="154">
        <v>434</v>
      </c>
      <c r="D515" s="156" t="str">
        <f t="shared" si="194"/>
        <v>Kumite</v>
      </c>
      <c r="E515" s="156" t="str">
        <f>"Kumite, -, 75-999 kg, Ifjúsági (15-16"</f>
        <v>Kumite, -, 75-999 kg, Ifjúsági (15-16</v>
      </c>
      <c r="F515" s="156" t="s">
        <v>547</v>
      </c>
      <c r="G515" s="157" t="str">
        <f>"3"</f>
        <v>3</v>
      </c>
      <c r="H515" s="156" t="str">
        <f>"3 fős körmérkőzés"</f>
        <v>3 fős körmérkőzés</v>
      </c>
      <c r="I515" s="157" t="str">
        <f>"1"</f>
        <v>1</v>
      </c>
      <c r="J515" s="156" t="str">
        <f>"Szalai Brendon"</f>
        <v>Szalai Brendon</v>
      </c>
      <c r="K515" s="156" t="str">
        <f>"Nintai KKSE"</f>
        <v>Nintai KKSE</v>
      </c>
      <c r="L515" s="156" t="str">
        <f t="shared" si="186"/>
        <v>HUN</v>
      </c>
      <c r="M515" s="163">
        <v>4</v>
      </c>
      <c r="O515" s="154" t="s">
        <v>248</v>
      </c>
      <c r="P515" s="159">
        <v>46088</v>
      </c>
      <c r="Q515" s="154" t="str">
        <f t="shared" si="187"/>
        <v>Szalai Brendon - Nintai KKSE</v>
      </c>
      <c r="R515" s="154" t="s">
        <v>637</v>
      </c>
      <c r="S515" s="154" t="str">
        <f t="shared" si="188"/>
        <v>Nintai KKSE</v>
      </c>
      <c r="T515" s="154" t="s">
        <v>645</v>
      </c>
      <c r="U515" s="154" t="s">
        <v>798</v>
      </c>
      <c r="V515" s="154"/>
    </row>
    <row r="516" spans="1:22" s="158" customFormat="1" x14ac:dyDescent="0.3">
      <c r="A516" s="154" t="s">
        <v>776</v>
      </c>
      <c r="B516" s="155">
        <v>2</v>
      </c>
      <c r="C516" s="154">
        <v>435</v>
      </c>
      <c r="D516" s="156" t="str">
        <f t="shared" si="194"/>
        <v>Kumite</v>
      </c>
      <c r="E516" s="156" t="str">
        <f>"Kumite, -, 75-999 kg, Ifjúsági (15-16"</f>
        <v>Kumite, -, 75-999 kg, Ifjúsági (15-16</v>
      </c>
      <c r="F516" s="156" t="s">
        <v>547</v>
      </c>
      <c r="G516" s="157" t="str">
        <f>"3"</f>
        <v>3</v>
      </c>
      <c r="H516" s="156" t="str">
        <f>"3 fős körmérkőzés"</f>
        <v>3 fős körmérkőzés</v>
      </c>
      <c r="I516" s="157" t="str">
        <f>"2"</f>
        <v>2</v>
      </c>
      <c r="J516" s="156" t="str">
        <f>"Novák Máté"</f>
        <v>Novák Máté</v>
      </c>
      <c r="K516" s="156" t="str">
        <f>"Bendiák Dojo"</f>
        <v>Bendiák Dojo</v>
      </c>
      <c r="L516" s="156" t="str">
        <f t="shared" si="186"/>
        <v>HUN</v>
      </c>
      <c r="M516" s="163">
        <v>3</v>
      </c>
      <c r="O516" s="154" t="s">
        <v>248</v>
      </c>
      <c r="P516" s="159">
        <v>46088</v>
      </c>
      <c r="Q516" s="154" t="str">
        <f t="shared" si="187"/>
        <v>Novák Máté - Bendiák Dojo</v>
      </c>
      <c r="R516" s="154" t="s">
        <v>636</v>
      </c>
      <c r="S516" s="154" t="str">
        <f t="shared" si="188"/>
        <v>Bendiák Dojo</v>
      </c>
      <c r="T516" s="154" t="s">
        <v>645</v>
      </c>
      <c r="U516" s="154" t="s">
        <v>798</v>
      </c>
      <c r="V516" s="154"/>
    </row>
    <row r="517" spans="1:22" s="158" customFormat="1" x14ac:dyDescent="0.3">
      <c r="A517" s="154" t="s">
        <v>776</v>
      </c>
      <c r="B517" s="155">
        <v>2</v>
      </c>
      <c r="C517" s="154">
        <v>436</v>
      </c>
      <c r="D517" s="156" t="str">
        <f t="shared" si="194"/>
        <v>Kumite</v>
      </c>
      <c r="E517" s="156" t="str">
        <f>"Kumite, -, 75-999 kg, Ifjúsági (15-16"</f>
        <v>Kumite, -, 75-999 kg, Ifjúsági (15-16</v>
      </c>
      <c r="F517" s="156" t="s">
        <v>547</v>
      </c>
      <c r="G517" s="157" t="str">
        <f>"3"</f>
        <v>3</v>
      </c>
      <c r="H517" s="156" t="str">
        <f>"3 fős körmérkőzés"</f>
        <v>3 fős körmérkőzés</v>
      </c>
      <c r="I517" s="157" t="str">
        <f>"3"</f>
        <v>3</v>
      </c>
      <c r="J517" s="156" t="str">
        <f>"Vida Péter"</f>
        <v>Vida Péter</v>
      </c>
      <c r="K517" s="156" t="str">
        <f>"Buke Reikon HRSE"</f>
        <v>Buke Reikon HRSE</v>
      </c>
      <c r="L517" s="156" t="str">
        <f t="shared" si="186"/>
        <v>HUN</v>
      </c>
      <c r="M517" s="163">
        <v>0</v>
      </c>
      <c r="N517" s="158" t="s">
        <v>704</v>
      </c>
      <c r="O517" s="154" t="s">
        <v>248</v>
      </c>
      <c r="P517" s="159">
        <v>46088</v>
      </c>
      <c r="Q517" s="154" t="str">
        <f t="shared" si="187"/>
        <v>Vida Péter - Buke Reikon HRSE</v>
      </c>
      <c r="R517" s="154" t="s">
        <v>636</v>
      </c>
      <c r="S517" s="154" t="str">
        <f t="shared" si="188"/>
        <v>Buke Reikon HRSE</v>
      </c>
      <c r="T517" s="154" t="s">
        <v>645</v>
      </c>
      <c r="U517" s="154" t="s">
        <v>798</v>
      </c>
      <c r="V517" s="154"/>
    </row>
    <row r="518" spans="1:22" s="158" customFormat="1" x14ac:dyDescent="0.3">
      <c r="A518" s="154" t="s">
        <v>776</v>
      </c>
      <c r="B518" s="155">
        <v>2</v>
      </c>
      <c r="C518" s="154">
        <v>437</v>
      </c>
      <c r="D518" s="156" t="str">
        <f t="shared" ref="D518:D524" si="199">"Kata"</f>
        <v>Kata</v>
      </c>
      <c r="E518" s="156" t="str">
        <f t="shared" ref="E518:E524" si="200">"Kata, -, 0-160 kg, Ifjúsági (15-16"</f>
        <v>Kata, -, 0-160 kg, Ifjúsági (15-16</v>
      </c>
      <c r="F518" s="156" t="s">
        <v>548</v>
      </c>
      <c r="G518" s="157" t="str">
        <f t="shared" ref="G518:G524" si="201">"7"</f>
        <v>7</v>
      </c>
      <c r="H518" s="156" t="str">
        <f t="shared" ref="H518:H524" si="202">"8 fős egyenes kiesés + 3. hely"</f>
        <v>8 fős egyenes kiesés + 3. hely</v>
      </c>
      <c r="I518" s="157" t="str">
        <f>"1"</f>
        <v>1</v>
      </c>
      <c r="J518" s="156" t="str">
        <f>"Ungvári Levente"</f>
        <v>Ungvári Levente</v>
      </c>
      <c r="K518" s="156" t="str">
        <f>"Shogun"</f>
        <v>Shogun</v>
      </c>
      <c r="L518" s="156" t="str">
        <f t="shared" si="186"/>
        <v>HUN</v>
      </c>
      <c r="M518" s="163">
        <v>5</v>
      </c>
      <c r="N518" s="158" t="s">
        <v>809</v>
      </c>
      <c r="O518" s="154" t="s">
        <v>248</v>
      </c>
      <c r="P518" s="159">
        <v>46088</v>
      </c>
      <c r="Q518" s="154" t="str">
        <f t="shared" si="187"/>
        <v>Ungvári Levente - Shogun</v>
      </c>
      <c r="R518" s="154" t="s">
        <v>636</v>
      </c>
      <c r="S518" s="154" t="str">
        <f t="shared" si="188"/>
        <v>Shogun</v>
      </c>
      <c r="T518" s="154" t="s">
        <v>645</v>
      </c>
      <c r="U518" s="154" t="s">
        <v>798</v>
      </c>
      <c r="V518" s="154"/>
    </row>
    <row r="519" spans="1:22" s="158" customFormat="1" x14ac:dyDescent="0.3">
      <c r="A519" s="154" t="s">
        <v>776</v>
      </c>
      <c r="B519" s="155">
        <v>2</v>
      </c>
      <c r="C519" s="154">
        <v>438</v>
      </c>
      <c r="D519" s="156" t="str">
        <f t="shared" si="199"/>
        <v>Kata</v>
      </c>
      <c r="E519" s="156" t="str">
        <f t="shared" si="200"/>
        <v>Kata, -, 0-160 kg, Ifjúsági (15-16</v>
      </c>
      <c r="F519" s="156" t="s">
        <v>548</v>
      </c>
      <c r="G519" s="157" t="str">
        <f t="shared" si="201"/>
        <v>7</v>
      </c>
      <c r="H519" s="156" t="str">
        <f t="shared" si="202"/>
        <v>8 fős egyenes kiesés + 3. hely</v>
      </c>
      <c r="I519" s="157" t="str">
        <f>"2"</f>
        <v>2</v>
      </c>
      <c r="J519" s="156" t="str">
        <f>"Lóránt Varga Milán"</f>
        <v>Lóránt Varga Milán</v>
      </c>
      <c r="K519" s="156" t="str">
        <f>"Shogun"</f>
        <v>Shogun</v>
      </c>
      <c r="L519" s="156" t="str">
        <f t="shared" si="186"/>
        <v>HUN</v>
      </c>
      <c r="M519" s="163">
        <v>4</v>
      </c>
      <c r="N519" s="158" t="s">
        <v>809</v>
      </c>
      <c r="O519" s="154" t="s">
        <v>248</v>
      </c>
      <c r="P519" s="159">
        <v>46088</v>
      </c>
      <c r="Q519" s="154" t="str">
        <f t="shared" si="187"/>
        <v>Lóránt Varga Milán - Shogun</v>
      </c>
      <c r="R519" s="154" t="s">
        <v>636</v>
      </c>
      <c r="S519" s="154" t="str">
        <f t="shared" si="188"/>
        <v>Shogun</v>
      </c>
      <c r="T519" s="154" t="s">
        <v>645</v>
      </c>
      <c r="U519" s="154" t="s">
        <v>798</v>
      </c>
      <c r="V519" s="154"/>
    </row>
    <row r="520" spans="1:22" s="158" customFormat="1" x14ac:dyDescent="0.3">
      <c r="A520" s="154" t="s">
        <v>776</v>
      </c>
      <c r="B520" s="155">
        <v>2</v>
      </c>
      <c r="C520" s="154">
        <v>439</v>
      </c>
      <c r="D520" s="156" t="str">
        <f t="shared" si="199"/>
        <v>Kata</v>
      </c>
      <c r="E520" s="156" t="str">
        <f t="shared" si="200"/>
        <v>Kata, -, 0-160 kg, Ifjúsági (15-16</v>
      </c>
      <c r="F520" s="156" t="s">
        <v>548</v>
      </c>
      <c r="G520" s="157" t="str">
        <f t="shared" si="201"/>
        <v>7</v>
      </c>
      <c r="H520" s="156" t="str">
        <f t="shared" si="202"/>
        <v>8 fős egyenes kiesés + 3. hely</v>
      </c>
      <c r="I520" s="157" t="str">
        <f>"3"</f>
        <v>3</v>
      </c>
      <c r="J520" s="156" t="str">
        <f>"Berényi Imre Márk"</f>
        <v>Berényi Imre Márk</v>
      </c>
      <c r="K520" s="156" t="str">
        <f>"Shogun"</f>
        <v>Shogun</v>
      </c>
      <c r="L520" s="156" t="str">
        <f t="shared" si="186"/>
        <v>HUN</v>
      </c>
      <c r="M520" s="163">
        <v>2</v>
      </c>
      <c r="N520" s="158" t="s">
        <v>809</v>
      </c>
      <c r="O520" s="154" t="s">
        <v>248</v>
      </c>
      <c r="P520" s="159">
        <v>46088</v>
      </c>
      <c r="Q520" s="154" t="str">
        <f t="shared" si="187"/>
        <v>Berényi Imre Márk - Shogun</v>
      </c>
      <c r="R520" s="154" t="s">
        <v>636</v>
      </c>
      <c r="S520" s="154" t="str">
        <f t="shared" si="188"/>
        <v>Shogun</v>
      </c>
      <c r="T520" s="154" t="s">
        <v>645</v>
      </c>
      <c r="U520" s="154" t="s">
        <v>798</v>
      </c>
      <c r="V520" s="154"/>
    </row>
    <row r="521" spans="1:22" s="158" customFormat="1" x14ac:dyDescent="0.3">
      <c r="A521" s="154" t="s">
        <v>776</v>
      </c>
      <c r="B521" s="155">
        <v>2</v>
      </c>
      <c r="C521" s="154">
        <v>440</v>
      </c>
      <c r="D521" s="156" t="str">
        <f t="shared" si="199"/>
        <v>Kata</v>
      </c>
      <c r="E521" s="156" t="str">
        <f t="shared" si="200"/>
        <v>Kata, -, 0-160 kg, Ifjúsági (15-16</v>
      </c>
      <c r="F521" s="156" t="s">
        <v>548</v>
      </c>
      <c r="G521" s="157" t="str">
        <f t="shared" si="201"/>
        <v>7</v>
      </c>
      <c r="H521" s="156" t="str">
        <f t="shared" si="202"/>
        <v>8 fős egyenes kiesés + 3. hely</v>
      </c>
      <c r="I521" s="157" t="str">
        <f>"4"</f>
        <v>4</v>
      </c>
      <c r="J521" s="156" t="str">
        <f>"MOLNÁR MARCELL"</f>
        <v>MOLNÁR MARCELL</v>
      </c>
      <c r="K521" s="156" t="str">
        <f>"Victory"</f>
        <v>Victory</v>
      </c>
      <c r="L521" s="156" t="str">
        <f t="shared" si="186"/>
        <v>HUN</v>
      </c>
      <c r="M521" s="163">
        <v>1</v>
      </c>
      <c r="N521" s="158" t="s">
        <v>809</v>
      </c>
      <c r="O521" s="154" t="s">
        <v>248</v>
      </c>
      <c r="P521" s="159">
        <v>46088</v>
      </c>
      <c r="Q521" s="154" t="str">
        <f t="shared" si="187"/>
        <v>MOLNÁR MARCELL - Victory</v>
      </c>
      <c r="R521" s="154" t="s">
        <v>636</v>
      </c>
      <c r="S521" s="154" t="str">
        <f t="shared" si="188"/>
        <v>Victory</v>
      </c>
      <c r="T521" s="154" t="s">
        <v>645</v>
      </c>
      <c r="U521" s="154" t="s">
        <v>798</v>
      </c>
      <c r="V521" s="154"/>
    </row>
    <row r="522" spans="1:22" s="158" customFormat="1" x14ac:dyDescent="0.3">
      <c r="A522" s="154" t="s">
        <v>776</v>
      </c>
      <c r="B522" s="155">
        <v>2</v>
      </c>
      <c r="C522" s="154">
        <v>441</v>
      </c>
      <c r="D522" s="156" t="str">
        <f t="shared" si="199"/>
        <v>Kata</v>
      </c>
      <c r="E522" s="156" t="str">
        <f t="shared" si="200"/>
        <v>Kata, -, 0-160 kg, Ifjúsági (15-16</v>
      </c>
      <c r="F522" s="156" t="s">
        <v>548</v>
      </c>
      <c r="G522" s="157" t="str">
        <f t="shared" si="201"/>
        <v>7</v>
      </c>
      <c r="H522" s="156" t="str">
        <f t="shared" si="202"/>
        <v>8 fős egyenes kiesés + 3. hely</v>
      </c>
      <c r="I522" s="157" t="str">
        <f>"5"</f>
        <v>5</v>
      </c>
      <c r="J522" s="156" t="str">
        <f>"Banka Boldizsár"</f>
        <v>Banka Boldizsár</v>
      </c>
      <c r="K522" s="156" t="str">
        <f>"KYO Fighter SE"</f>
        <v>KYO Fighter SE</v>
      </c>
      <c r="L522" s="156" t="str">
        <f t="shared" si="186"/>
        <v>HUN</v>
      </c>
      <c r="M522" s="163">
        <v>0</v>
      </c>
      <c r="N522" s="158" t="s">
        <v>809</v>
      </c>
      <c r="O522" s="154" t="s">
        <v>248</v>
      </c>
      <c r="P522" s="159">
        <v>46088</v>
      </c>
      <c r="Q522" s="154" t="str">
        <f t="shared" si="187"/>
        <v>Banka Boldizsár - KYO Fighter SE</v>
      </c>
      <c r="R522" s="154" t="s">
        <v>636</v>
      </c>
      <c r="S522" s="154" t="str">
        <f t="shared" si="188"/>
        <v>KYO Fighter SE</v>
      </c>
      <c r="T522" s="154" t="s">
        <v>645</v>
      </c>
      <c r="U522" s="154" t="s">
        <v>798</v>
      </c>
      <c r="V522" s="154"/>
    </row>
    <row r="523" spans="1:22" s="158" customFormat="1" x14ac:dyDescent="0.3">
      <c r="A523" s="154" t="s">
        <v>776</v>
      </c>
      <c r="B523" s="155">
        <v>2</v>
      </c>
      <c r="C523" s="154">
        <v>442</v>
      </c>
      <c r="D523" s="156" t="str">
        <f t="shared" si="199"/>
        <v>Kata</v>
      </c>
      <c r="E523" s="156" t="str">
        <f t="shared" si="200"/>
        <v>Kata, -, 0-160 kg, Ifjúsági (15-16</v>
      </c>
      <c r="F523" s="156" t="s">
        <v>548</v>
      </c>
      <c r="G523" s="157" t="str">
        <f t="shared" si="201"/>
        <v>7</v>
      </c>
      <c r="H523" s="156" t="str">
        <f t="shared" si="202"/>
        <v>8 fős egyenes kiesés + 3. hely</v>
      </c>
      <c r="I523" s="157" t="str">
        <f>"7-8"</f>
        <v>7-8</v>
      </c>
      <c r="J523" s="156" t="str">
        <f>"Novák Balázs"</f>
        <v>Novák Balázs</v>
      </c>
      <c r="K523" s="156" t="str">
        <f>"Bendiák Dojo"</f>
        <v>Bendiák Dojo</v>
      </c>
      <c r="L523" s="156" t="str">
        <f t="shared" si="186"/>
        <v>HUN</v>
      </c>
      <c r="M523" s="163">
        <v>0</v>
      </c>
      <c r="N523" s="158" t="s">
        <v>809</v>
      </c>
      <c r="O523" s="154" t="s">
        <v>248</v>
      </c>
      <c r="P523" s="159">
        <v>46088</v>
      </c>
      <c r="Q523" s="154" t="str">
        <f t="shared" si="187"/>
        <v>Novák Balázs - Bendiák Dojo</v>
      </c>
      <c r="R523" s="154" t="s">
        <v>636</v>
      </c>
      <c r="S523" s="154" t="str">
        <f t="shared" si="188"/>
        <v>Bendiák Dojo</v>
      </c>
      <c r="T523" s="154" t="s">
        <v>645</v>
      </c>
      <c r="U523" s="154" t="s">
        <v>798</v>
      </c>
      <c r="V523" s="154"/>
    </row>
    <row r="524" spans="1:22" s="158" customFormat="1" x14ac:dyDescent="0.3">
      <c r="A524" s="154" t="s">
        <v>776</v>
      </c>
      <c r="B524" s="155">
        <v>2</v>
      </c>
      <c r="C524" s="154">
        <v>443</v>
      </c>
      <c r="D524" s="156" t="str">
        <f t="shared" si="199"/>
        <v>Kata</v>
      </c>
      <c r="E524" s="156" t="str">
        <f t="shared" si="200"/>
        <v>Kata, -, 0-160 kg, Ifjúsági (15-16</v>
      </c>
      <c r="F524" s="156" t="s">
        <v>548</v>
      </c>
      <c r="G524" s="157" t="str">
        <f t="shared" si="201"/>
        <v>7</v>
      </c>
      <c r="H524" s="156" t="str">
        <f t="shared" si="202"/>
        <v>8 fős egyenes kiesés + 3. hely</v>
      </c>
      <c r="I524" s="157" t="str">
        <f>"7-8"</f>
        <v>7-8</v>
      </c>
      <c r="J524" s="156" t="str">
        <f>"Novák Máté"</f>
        <v>Novák Máté</v>
      </c>
      <c r="K524" s="156" t="str">
        <f>"Bendiák Dojo"</f>
        <v>Bendiák Dojo</v>
      </c>
      <c r="L524" s="156" t="str">
        <f t="shared" si="186"/>
        <v>HUN</v>
      </c>
      <c r="M524" s="163">
        <v>0</v>
      </c>
      <c r="N524" s="158" t="s">
        <v>809</v>
      </c>
      <c r="O524" s="154" t="s">
        <v>248</v>
      </c>
      <c r="P524" s="159">
        <v>46088</v>
      </c>
      <c r="Q524" s="154" t="str">
        <f t="shared" si="187"/>
        <v>Novák Máté - Bendiák Dojo</v>
      </c>
      <c r="R524" s="154" t="s">
        <v>636</v>
      </c>
      <c r="S524" s="154" t="str">
        <f t="shared" si="188"/>
        <v>Bendiák Dojo</v>
      </c>
      <c r="T524" s="154" t="s">
        <v>645</v>
      </c>
      <c r="U524" s="154" t="s">
        <v>798</v>
      </c>
      <c r="V524" s="154"/>
    </row>
    <row r="525" spans="1:22" s="158" customFormat="1" x14ac:dyDescent="0.3">
      <c r="A525" s="154" t="s">
        <v>776</v>
      </c>
      <c r="B525" s="155">
        <v>2</v>
      </c>
      <c r="C525" s="154">
        <v>444</v>
      </c>
      <c r="D525" s="156" t="str">
        <f t="shared" ref="D525:D533" si="203">"Kumite"</f>
        <v>Kumite</v>
      </c>
      <c r="E525" s="156" t="str">
        <f>"Kumite, -, 0-50 kg, Ifjúsági (15-16"</f>
        <v>Kumite, -, 0-50 kg, Ifjúsági (15-16</v>
      </c>
      <c r="F525" s="156" t="s">
        <v>546</v>
      </c>
      <c r="G525" s="157" t="str">
        <f>"2"</f>
        <v>2</v>
      </c>
      <c r="H525" s="156" t="str">
        <f>"2 fős egyenes kiesés"</f>
        <v>2 fős egyenes kiesés</v>
      </c>
      <c r="I525" s="157" t="str">
        <f>"1"</f>
        <v>1</v>
      </c>
      <c r="J525" s="156" t="str">
        <f>"Szabó Hanna"</f>
        <v>Szabó Hanna</v>
      </c>
      <c r="K525" s="156" t="str">
        <f>"Hajdúszoboszló"</f>
        <v>Hajdúszoboszló</v>
      </c>
      <c r="L525" s="156" t="str">
        <f t="shared" si="186"/>
        <v>HUN</v>
      </c>
      <c r="M525" s="163">
        <v>3</v>
      </c>
      <c r="O525" s="154" t="s">
        <v>248</v>
      </c>
      <c r="P525" s="159">
        <v>46088</v>
      </c>
      <c r="Q525" s="154" t="str">
        <f t="shared" si="187"/>
        <v>Szabó Hanna - Hajdúszoboszló</v>
      </c>
      <c r="R525" s="154" t="s">
        <v>636</v>
      </c>
      <c r="S525" s="154" t="str">
        <f t="shared" si="188"/>
        <v>Hajdúszoboszló</v>
      </c>
      <c r="T525" s="154" t="s">
        <v>645</v>
      </c>
      <c r="U525" s="154" t="s">
        <v>798</v>
      </c>
      <c r="V525" s="154"/>
    </row>
    <row r="526" spans="1:22" s="158" customFormat="1" x14ac:dyDescent="0.3">
      <c r="A526" s="154" t="s">
        <v>776</v>
      </c>
      <c r="B526" s="155">
        <v>2</v>
      </c>
      <c r="C526" s="154">
        <v>445</v>
      </c>
      <c r="D526" s="156" t="str">
        <f t="shared" si="203"/>
        <v>Kumite</v>
      </c>
      <c r="E526" s="156" t="str">
        <f>"Kumite, -, 0-50 kg, Ifjúsági (15-16"</f>
        <v>Kumite, -, 0-50 kg, Ifjúsági (15-16</v>
      </c>
      <c r="F526" s="156" t="s">
        <v>546</v>
      </c>
      <c r="G526" s="157" t="str">
        <f>"2"</f>
        <v>2</v>
      </c>
      <c r="H526" s="156" t="str">
        <f>"2 fős egyenes kiesés"</f>
        <v>2 fős egyenes kiesés</v>
      </c>
      <c r="I526" s="157" t="str">
        <f>"2"</f>
        <v>2</v>
      </c>
      <c r="J526" s="156" t="str">
        <f>"Forgács Lili"</f>
        <v>Forgács Lili</v>
      </c>
      <c r="K526" s="156" t="str">
        <f>"Borza Dojo"</f>
        <v>Borza Dojo</v>
      </c>
      <c r="L526" s="156" t="str">
        <f t="shared" si="186"/>
        <v>HUN</v>
      </c>
      <c r="M526" s="163">
        <v>0</v>
      </c>
      <c r="O526" s="154" t="s">
        <v>248</v>
      </c>
      <c r="P526" s="159">
        <v>46088</v>
      </c>
      <c r="Q526" s="154" t="str">
        <f t="shared" si="187"/>
        <v>Forgács Lili - Borza Dojo</v>
      </c>
      <c r="R526" s="154" t="s">
        <v>637</v>
      </c>
      <c r="S526" s="154" t="str">
        <f t="shared" si="188"/>
        <v>Borza Dojo</v>
      </c>
      <c r="T526" s="154" t="s">
        <v>645</v>
      </c>
      <c r="U526" s="154" t="s">
        <v>798</v>
      </c>
      <c r="V526" s="154"/>
    </row>
    <row r="527" spans="1:22" s="158" customFormat="1" x14ac:dyDescent="0.3">
      <c r="A527" s="154" t="s">
        <v>776</v>
      </c>
      <c r="B527" s="155">
        <v>2</v>
      </c>
      <c r="C527" s="154">
        <v>446</v>
      </c>
      <c r="D527" s="156" t="str">
        <f t="shared" si="203"/>
        <v>Kumite</v>
      </c>
      <c r="E527" s="156" t="str">
        <f>"Kumite, -, 50-55 kg, Ifjúsági (15-16"</f>
        <v>Kumite, -, 50-55 kg, Ifjúsági (15-16</v>
      </c>
      <c r="F527" s="156" t="s">
        <v>550</v>
      </c>
      <c r="G527" s="157" t="str">
        <f>"3"</f>
        <v>3</v>
      </c>
      <c r="H527" s="156" t="str">
        <f>"3 fős körmérkőzés"</f>
        <v>3 fős körmérkőzés</v>
      </c>
      <c r="I527" s="157" t="str">
        <f>"1"</f>
        <v>1</v>
      </c>
      <c r="J527" s="156" t="str">
        <f>"Furó Liliána"</f>
        <v>Furó Liliána</v>
      </c>
      <c r="K527" s="156" t="str">
        <f>"KHSE"</f>
        <v>KHSE</v>
      </c>
      <c r="L527" s="156" t="str">
        <f t="shared" si="186"/>
        <v>HUN</v>
      </c>
      <c r="M527" s="163">
        <v>4</v>
      </c>
      <c r="O527" s="154" t="s">
        <v>248</v>
      </c>
      <c r="P527" s="159">
        <v>46088</v>
      </c>
      <c r="Q527" s="154" t="str">
        <f t="shared" si="187"/>
        <v>Furó Liliána - KHSE</v>
      </c>
      <c r="R527" s="154" t="s">
        <v>636</v>
      </c>
      <c r="S527" s="154" t="str">
        <f t="shared" si="188"/>
        <v>KHSE</v>
      </c>
      <c r="T527" s="154" t="s">
        <v>645</v>
      </c>
      <c r="U527" s="154" t="s">
        <v>798</v>
      </c>
      <c r="V527" s="154"/>
    </row>
    <row r="528" spans="1:22" s="158" customFormat="1" x14ac:dyDescent="0.3">
      <c r="A528" s="154" t="s">
        <v>776</v>
      </c>
      <c r="B528" s="155">
        <v>2</v>
      </c>
      <c r="C528" s="154">
        <v>447</v>
      </c>
      <c r="D528" s="156" t="str">
        <f t="shared" si="203"/>
        <v>Kumite</v>
      </c>
      <c r="E528" s="156" t="str">
        <f>"Kumite, -, 50-55 kg, Ifjúsági (15-16"</f>
        <v>Kumite, -, 50-55 kg, Ifjúsági (15-16</v>
      </c>
      <c r="F528" s="156" t="s">
        <v>550</v>
      </c>
      <c r="G528" s="157" t="str">
        <f>"3"</f>
        <v>3</v>
      </c>
      <c r="H528" s="156" t="str">
        <f>"3 fős körmérkőzés"</f>
        <v>3 fős körmérkőzés</v>
      </c>
      <c r="I528" s="157" t="str">
        <f>"2"</f>
        <v>2</v>
      </c>
      <c r="J528" s="156" t="str">
        <f>"Kiss Boglárka"</f>
        <v>Kiss Boglárka</v>
      </c>
      <c r="K528" s="156" t="str">
        <f>"Derecske BUDO"</f>
        <v>Derecske BUDO</v>
      </c>
      <c r="L528" s="156" t="str">
        <f t="shared" si="186"/>
        <v>HUN</v>
      </c>
      <c r="M528" s="163">
        <v>3</v>
      </c>
      <c r="O528" s="154" t="s">
        <v>248</v>
      </c>
      <c r="P528" s="159">
        <v>46088</v>
      </c>
      <c r="Q528" s="154" t="str">
        <f t="shared" si="187"/>
        <v>Kiss Boglárka - Derecske BUDO</v>
      </c>
      <c r="R528" s="154" t="s">
        <v>636</v>
      </c>
      <c r="S528" s="154" t="str">
        <f t="shared" si="188"/>
        <v>Derecske BUDO</v>
      </c>
      <c r="T528" s="154" t="s">
        <v>645</v>
      </c>
      <c r="U528" s="154" t="s">
        <v>798</v>
      </c>
      <c r="V528" s="154"/>
    </row>
    <row r="529" spans="1:22" s="158" customFormat="1" x14ac:dyDescent="0.3">
      <c r="A529" s="154" t="s">
        <v>776</v>
      </c>
      <c r="B529" s="155">
        <v>2</v>
      </c>
      <c r="C529" s="154">
        <v>448</v>
      </c>
      <c r="D529" s="156" t="str">
        <f t="shared" si="203"/>
        <v>Kumite</v>
      </c>
      <c r="E529" s="156" t="str">
        <f>"Kumite, -, 50-55 kg, Ifjúsági (15-16"</f>
        <v>Kumite, -, 50-55 kg, Ifjúsági (15-16</v>
      </c>
      <c r="F529" s="156" t="s">
        <v>550</v>
      </c>
      <c r="G529" s="157" t="str">
        <f>"3"</f>
        <v>3</v>
      </c>
      <c r="H529" s="156" t="str">
        <f>"3 fős körmérkőzés"</f>
        <v>3 fős körmérkőzés</v>
      </c>
      <c r="I529" s="157" t="str">
        <f>"3"</f>
        <v>3</v>
      </c>
      <c r="J529" s="156" t="str">
        <f>"Karap Anna"</f>
        <v>Karap Anna</v>
      </c>
      <c r="K529" s="156" t="str">
        <f>"Shogun"</f>
        <v>Shogun</v>
      </c>
      <c r="L529" s="156" t="str">
        <f t="shared" si="186"/>
        <v>HUN</v>
      </c>
      <c r="M529" s="163">
        <v>0</v>
      </c>
      <c r="N529" s="158" t="s">
        <v>704</v>
      </c>
      <c r="O529" s="154" t="s">
        <v>248</v>
      </c>
      <c r="P529" s="159">
        <v>46088</v>
      </c>
      <c r="Q529" s="154" t="str">
        <f t="shared" si="187"/>
        <v>Karap Anna - Shogun</v>
      </c>
      <c r="R529" s="154" t="s">
        <v>636</v>
      </c>
      <c r="S529" s="154" t="str">
        <f t="shared" si="188"/>
        <v>Shogun</v>
      </c>
      <c r="T529" s="154" t="s">
        <v>645</v>
      </c>
      <c r="U529" s="154" t="s">
        <v>798</v>
      </c>
      <c r="V529" s="154"/>
    </row>
    <row r="530" spans="1:22" s="158" customFormat="1" x14ac:dyDescent="0.3">
      <c r="A530" s="154" t="s">
        <v>776</v>
      </c>
      <c r="B530" s="155">
        <v>2</v>
      </c>
      <c r="C530" s="154">
        <v>449</v>
      </c>
      <c r="D530" s="156" t="str">
        <f t="shared" si="203"/>
        <v>Kumite</v>
      </c>
      <c r="E530" s="156" t="str">
        <f>"Kumite, -, 60-65 kg, Ifjúsági (15-16"</f>
        <v>Kumite, -, 60-65 kg, Ifjúsági (15-16</v>
      </c>
      <c r="F530" s="156" t="s">
        <v>552</v>
      </c>
      <c r="G530" s="157" t="str">
        <f>"5"</f>
        <v>5</v>
      </c>
      <c r="H530" s="156" t="str">
        <f>"5 fős körmérkőzés"</f>
        <v>5 fős körmérkőzés</v>
      </c>
      <c r="I530" s="157" t="str">
        <f>"1"</f>
        <v>1</v>
      </c>
      <c r="J530" s="156" t="str">
        <f>"Pénzes Zsófia"</f>
        <v>Pénzes Zsófia</v>
      </c>
      <c r="K530" s="156" t="str">
        <f>"KHSE"</f>
        <v>KHSE</v>
      </c>
      <c r="L530" s="156" t="str">
        <f t="shared" si="186"/>
        <v>HUN</v>
      </c>
      <c r="M530" s="163">
        <v>8</v>
      </c>
      <c r="O530" s="154" t="s">
        <v>248</v>
      </c>
      <c r="P530" s="159">
        <v>46088</v>
      </c>
      <c r="Q530" s="154" t="str">
        <f t="shared" si="187"/>
        <v>Pénzes Zsófia - KHSE</v>
      </c>
      <c r="R530" s="154" t="s">
        <v>636</v>
      </c>
      <c r="S530" s="154" t="str">
        <f t="shared" si="188"/>
        <v>KHSE</v>
      </c>
      <c r="T530" s="154" t="s">
        <v>645</v>
      </c>
      <c r="U530" s="154" t="s">
        <v>798</v>
      </c>
      <c r="V530" s="154"/>
    </row>
    <row r="531" spans="1:22" s="158" customFormat="1" x14ac:dyDescent="0.3">
      <c r="A531" s="154" t="s">
        <v>776</v>
      </c>
      <c r="B531" s="155">
        <v>2</v>
      </c>
      <c r="C531" s="154">
        <v>450</v>
      </c>
      <c r="D531" s="156" t="str">
        <f t="shared" si="203"/>
        <v>Kumite</v>
      </c>
      <c r="E531" s="156" t="str">
        <f>"Kumite, -, 60-65 kg, Ifjúsági (15-16"</f>
        <v>Kumite, -, 60-65 kg, Ifjúsági (15-16</v>
      </c>
      <c r="F531" s="156" t="s">
        <v>552</v>
      </c>
      <c r="G531" s="157" t="str">
        <f>"5"</f>
        <v>5</v>
      </c>
      <c r="H531" s="156" t="str">
        <f>"5 fős körmérkőzés"</f>
        <v>5 fős körmérkőzés</v>
      </c>
      <c r="I531" s="157" t="str">
        <f>"2"</f>
        <v>2</v>
      </c>
      <c r="J531" s="156" t="str">
        <f>"Albert Szilvia Cintia"</f>
        <v>Albert Szilvia Cintia</v>
      </c>
      <c r="K531" s="156" t="str">
        <f>"Derecske BUDO"</f>
        <v>Derecske BUDO</v>
      </c>
      <c r="L531" s="156" t="str">
        <f t="shared" si="186"/>
        <v>HUN</v>
      </c>
      <c r="M531" s="163">
        <v>6</v>
      </c>
      <c r="O531" s="154" t="s">
        <v>248</v>
      </c>
      <c r="P531" s="159">
        <v>46088</v>
      </c>
      <c r="Q531" s="154" t="str">
        <f t="shared" si="187"/>
        <v>Albert Szilvia Cintia - Derecske BUDO</v>
      </c>
      <c r="R531" s="154" t="s">
        <v>636</v>
      </c>
      <c r="S531" s="154" t="str">
        <f t="shared" si="188"/>
        <v>Derecske BUDO</v>
      </c>
      <c r="T531" s="154" t="s">
        <v>645</v>
      </c>
      <c r="U531" s="154" t="s">
        <v>798</v>
      </c>
      <c r="V531" s="154"/>
    </row>
    <row r="532" spans="1:22" s="158" customFormat="1" x14ac:dyDescent="0.3">
      <c r="A532" s="154" t="s">
        <v>776</v>
      </c>
      <c r="B532" s="155">
        <v>2</v>
      </c>
      <c r="C532" s="154">
        <v>451</v>
      </c>
      <c r="D532" s="156" t="str">
        <f t="shared" si="203"/>
        <v>Kumite</v>
      </c>
      <c r="E532" s="156" t="str">
        <f>"Kumite, -, 60-65 kg, Ifjúsági (15-16"</f>
        <v>Kumite, -, 60-65 kg, Ifjúsági (15-16</v>
      </c>
      <c r="F532" s="156" t="s">
        <v>552</v>
      </c>
      <c r="G532" s="157" t="str">
        <f>"5"</f>
        <v>5</v>
      </c>
      <c r="H532" s="156" t="str">
        <f>"5 fős körmérkőzés"</f>
        <v>5 fős körmérkőzés</v>
      </c>
      <c r="I532" s="157" t="str">
        <f>"3"</f>
        <v>3</v>
      </c>
      <c r="J532" s="156" t="str">
        <f>"Barna Emese Nikolett"</f>
        <v>Barna Emese Nikolett</v>
      </c>
      <c r="K532" s="156" t="str">
        <f>"Bendiák Dojo"</f>
        <v>Bendiák Dojo</v>
      </c>
      <c r="L532" s="156" t="str">
        <f t="shared" si="186"/>
        <v>HUN</v>
      </c>
      <c r="M532" s="163">
        <v>4</v>
      </c>
      <c r="O532" s="154" t="s">
        <v>248</v>
      </c>
      <c r="P532" s="159">
        <v>46088</v>
      </c>
      <c r="Q532" s="154" t="str">
        <f t="shared" ref="Q532" si="204">J532&amp;" - "&amp;K532</f>
        <v>Barna Emese Nikolett - Bendiák Dojo</v>
      </c>
      <c r="R532" s="154" t="s">
        <v>636</v>
      </c>
      <c r="S532" s="154" t="str">
        <f t="shared" ref="S532" si="205">K532</f>
        <v>Bendiák Dojo</v>
      </c>
      <c r="T532" s="154" t="s">
        <v>645</v>
      </c>
      <c r="U532" s="154" t="s">
        <v>798</v>
      </c>
      <c r="V532" s="154"/>
    </row>
    <row r="533" spans="1:22" s="158" customFormat="1" x14ac:dyDescent="0.3">
      <c r="A533" s="154" t="s">
        <v>776</v>
      </c>
      <c r="B533" s="155">
        <v>2</v>
      </c>
      <c r="C533" s="154">
        <v>451</v>
      </c>
      <c r="D533" s="156" t="str">
        <f t="shared" si="203"/>
        <v>Kumite</v>
      </c>
      <c r="E533" s="156" t="str">
        <f>"Kumite, -, 60-65 kg, Ifjúsági (15-16"</f>
        <v>Kumite, -, 60-65 kg, Ifjúsági (15-16</v>
      </c>
      <c r="F533" s="156" t="s">
        <v>552</v>
      </c>
      <c r="G533" s="157" t="str">
        <f>"5"</f>
        <v>5</v>
      </c>
      <c r="H533" s="156" t="str">
        <f>"5 fős körmérkőzés"</f>
        <v>5 fős körmérkőzés</v>
      </c>
      <c r="I533" s="157">
        <v>4</v>
      </c>
      <c r="J533" s="156" t="s">
        <v>807</v>
      </c>
      <c r="K533" s="156" t="s">
        <v>803</v>
      </c>
      <c r="L533" s="156" t="str">
        <f t="shared" si="186"/>
        <v>HUN</v>
      </c>
      <c r="M533" s="163">
        <v>3</v>
      </c>
      <c r="O533" s="154" t="s">
        <v>248</v>
      </c>
      <c r="P533" s="159">
        <v>46088</v>
      </c>
      <c r="Q533" s="154" t="str">
        <f t="shared" si="187"/>
        <v>Harsányi Tímea - Kelemen-Team</v>
      </c>
      <c r="R533" s="154" t="s">
        <v>636</v>
      </c>
      <c r="S533" s="154" t="str">
        <f t="shared" si="188"/>
        <v>Kelemen-Team</v>
      </c>
      <c r="T533" s="154" t="s">
        <v>645</v>
      </c>
      <c r="U533" s="154" t="s">
        <v>798</v>
      </c>
      <c r="V533" s="154"/>
    </row>
    <row r="534" spans="1:22" s="158" customFormat="1" x14ac:dyDescent="0.3">
      <c r="A534" s="154" t="s">
        <v>776</v>
      </c>
      <c r="B534" s="155">
        <v>2</v>
      </c>
      <c r="C534" s="154">
        <v>452</v>
      </c>
      <c r="D534" s="156" t="str">
        <f>"Kata"</f>
        <v>Kata</v>
      </c>
      <c r="E534" s="156" t="str">
        <f>"Kata, -, 0-160 kg, Ifjúsági (15-16"</f>
        <v>Kata, -, 0-160 kg, Ifjúsági (15-16</v>
      </c>
      <c r="F534" s="156" t="s">
        <v>549</v>
      </c>
      <c r="G534" s="157" t="str">
        <f>"4"</f>
        <v>4</v>
      </c>
      <c r="H534" s="156" t="str">
        <f>"4 fős egyenes kiesés + 3. hely"</f>
        <v>4 fős egyenes kiesés + 3. hely</v>
      </c>
      <c r="I534" s="157" t="str">
        <f>"1"</f>
        <v>1</v>
      </c>
      <c r="J534" s="156" t="str">
        <f>"Kovács Anna"</f>
        <v>Kovács Anna</v>
      </c>
      <c r="K534" s="156" t="str">
        <f>"Kisvárda KKDOSC"</f>
        <v>Kisvárda KKDOSC</v>
      </c>
      <c r="L534" s="156" t="str">
        <f t="shared" si="186"/>
        <v>HUN</v>
      </c>
      <c r="M534" s="163">
        <v>5</v>
      </c>
      <c r="N534" s="158" t="s">
        <v>810</v>
      </c>
      <c r="O534" s="154" t="s">
        <v>248</v>
      </c>
      <c r="P534" s="159">
        <v>46088</v>
      </c>
      <c r="Q534" s="154" t="str">
        <f t="shared" si="187"/>
        <v>Kovács Anna - Kisvárda KKDOSC</v>
      </c>
      <c r="R534" s="154" t="s">
        <v>636</v>
      </c>
      <c r="S534" s="154" t="str">
        <f t="shared" si="188"/>
        <v>Kisvárda KKDOSC</v>
      </c>
      <c r="T534" s="154" t="s">
        <v>645</v>
      </c>
      <c r="U534" s="154" t="s">
        <v>798</v>
      </c>
      <c r="V534" s="154"/>
    </row>
    <row r="535" spans="1:22" s="158" customFormat="1" x14ac:dyDescent="0.3">
      <c r="A535" s="154" t="s">
        <v>776</v>
      </c>
      <c r="B535" s="155">
        <v>2</v>
      </c>
      <c r="C535" s="154">
        <v>453</v>
      </c>
      <c r="D535" s="156" t="str">
        <f>"Kata"</f>
        <v>Kata</v>
      </c>
      <c r="E535" s="156" t="str">
        <f>"Kata, -, 0-160 kg, Ifjúsági (15-16"</f>
        <v>Kata, -, 0-160 kg, Ifjúsági (15-16</v>
      </c>
      <c r="F535" s="156" t="s">
        <v>549</v>
      </c>
      <c r="G535" s="157" t="str">
        <f>"4"</f>
        <v>4</v>
      </c>
      <c r="H535" s="156" t="str">
        <f>"4 fős egyenes kiesés + 3. hely"</f>
        <v>4 fős egyenes kiesés + 3. hely</v>
      </c>
      <c r="I535" s="157" t="str">
        <f>"2"</f>
        <v>2</v>
      </c>
      <c r="J535" s="156" t="str">
        <f>"Uszkai Flóra"</f>
        <v>Uszkai Flóra</v>
      </c>
      <c r="K535" s="156" t="str">
        <f>"Shogun"</f>
        <v>Shogun</v>
      </c>
      <c r="L535" s="156" t="str">
        <f t="shared" si="186"/>
        <v>HUN</v>
      </c>
      <c r="M535" s="163">
        <v>4</v>
      </c>
      <c r="N535" s="158" t="s">
        <v>810</v>
      </c>
      <c r="O535" s="154" t="s">
        <v>248</v>
      </c>
      <c r="P535" s="159">
        <v>46088</v>
      </c>
      <c r="Q535" s="154" t="str">
        <f t="shared" si="187"/>
        <v>Uszkai Flóra - Shogun</v>
      </c>
      <c r="R535" s="154" t="s">
        <v>636</v>
      </c>
      <c r="S535" s="154" t="str">
        <f t="shared" si="188"/>
        <v>Shogun</v>
      </c>
      <c r="T535" s="154" t="s">
        <v>645</v>
      </c>
      <c r="U535" s="154" t="s">
        <v>798</v>
      </c>
      <c r="V535" s="154"/>
    </row>
    <row r="536" spans="1:22" s="158" customFormat="1" x14ac:dyDescent="0.3">
      <c r="A536" s="154" t="s">
        <v>776</v>
      </c>
      <c r="B536" s="155">
        <v>2</v>
      </c>
      <c r="C536" s="154">
        <v>454</v>
      </c>
      <c r="D536" s="156" t="str">
        <f>"Kata"</f>
        <v>Kata</v>
      </c>
      <c r="E536" s="156" t="str">
        <f>"Kata, -, 0-160 kg, Ifjúsági (15-16"</f>
        <v>Kata, -, 0-160 kg, Ifjúsági (15-16</v>
      </c>
      <c r="F536" s="156" t="s">
        <v>549</v>
      </c>
      <c r="G536" s="157" t="str">
        <f>"4"</f>
        <v>4</v>
      </c>
      <c r="H536" s="156" t="str">
        <f>"4 fős egyenes kiesés + 3. hely"</f>
        <v>4 fős egyenes kiesés + 3. hely</v>
      </c>
      <c r="I536" s="157" t="str">
        <f>"3"</f>
        <v>3</v>
      </c>
      <c r="J536" s="156" t="str">
        <f>"Berényi Lina Boróka"</f>
        <v>Berényi Lina Boróka</v>
      </c>
      <c r="K536" s="156" t="str">
        <f>"Kagami"</f>
        <v>Kagami</v>
      </c>
      <c r="L536" s="156" t="str">
        <f t="shared" si="186"/>
        <v>HUN</v>
      </c>
      <c r="M536" s="163">
        <v>2</v>
      </c>
      <c r="N536" s="158" t="s">
        <v>810</v>
      </c>
      <c r="O536" s="154" t="s">
        <v>248</v>
      </c>
      <c r="P536" s="159">
        <v>46088</v>
      </c>
      <c r="Q536" s="154" t="str">
        <f t="shared" si="187"/>
        <v>Berényi Lina Boróka - Kagami</v>
      </c>
      <c r="R536" s="154" t="s">
        <v>636</v>
      </c>
      <c r="S536" s="154" t="str">
        <f t="shared" si="188"/>
        <v>Kagami</v>
      </c>
      <c r="T536" s="154" t="s">
        <v>645</v>
      </c>
      <c r="U536" s="154" t="s">
        <v>798</v>
      </c>
      <c r="V536" s="154"/>
    </row>
    <row r="537" spans="1:22" s="158" customFormat="1" x14ac:dyDescent="0.3">
      <c r="A537" s="154" t="s">
        <v>776</v>
      </c>
      <c r="B537" s="155">
        <v>2</v>
      </c>
      <c r="C537" s="154">
        <v>455</v>
      </c>
      <c r="D537" s="156" t="str">
        <f>"Kata"</f>
        <v>Kata</v>
      </c>
      <c r="E537" s="156" t="str">
        <f>"Kata, -, 0-160 kg, Ifjúsági (15-16"</f>
        <v>Kata, -, 0-160 kg, Ifjúsági (15-16</v>
      </c>
      <c r="F537" s="156" t="s">
        <v>549</v>
      </c>
      <c r="G537" s="157" t="str">
        <f>"4"</f>
        <v>4</v>
      </c>
      <c r="H537" s="156" t="str">
        <f>"4 fős egyenes kiesés + 3. hely"</f>
        <v>4 fős egyenes kiesés + 3. hely</v>
      </c>
      <c r="I537" s="157" t="str">
        <f>"4"</f>
        <v>4</v>
      </c>
      <c r="J537" s="156" t="str">
        <f>"Karap Anna"</f>
        <v>Karap Anna</v>
      </c>
      <c r="K537" s="156" t="str">
        <f>"Shogun"</f>
        <v>Shogun</v>
      </c>
      <c r="L537" s="156" t="str">
        <f t="shared" si="186"/>
        <v>HUN</v>
      </c>
      <c r="M537" s="163">
        <v>0</v>
      </c>
      <c r="N537" s="158" t="s">
        <v>810</v>
      </c>
      <c r="O537" s="154" t="s">
        <v>248</v>
      </c>
      <c r="P537" s="159">
        <v>46088</v>
      </c>
      <c r="Q537" s="154" t="str">
        <f t="shared" si="187"/>
        <v>Karap Anna - Shogun</v>
      </c>
      <c r="R537" s="154" t="s">
        <v>636</v>
      </c>
      <c r="S537" s="154" t="str">
        <f t="shared" si="188"/>
        <v>Shogun</v>
      </c>
      <c r="T537" s="154" t="s">
        <v>645</v>
      </c>
      <c r="U537" s="154" t="s">
        <v>798</v>
      </c>
      <c r="V537" s="154"/>
    </row>
    <row r="538" spans="1:22" s="158" customFormat="1" x14ac:dyDescent="0.3">
      <c r="A538" s="154" t="s">
        <v>776</v>
      </c>
      <c r="B538" s="155">
        <v>2</v>
      </c>
      <c r="C538" s="154">
        <v>456</v>
      </c>
      <c r="D538" s="156" t="str">
        <f t="shared" ref="D538:D554" si="206">"Kumite"</f>
        <v>Kumite</v>
      </c>
      <c r="E538" s="156" t="str">
        <f>"Kumite, -, 0-60 kg, Junior DOL (17-19"</f>
        <v>Kumite, -, 0-60 kg, Junior DOL (17-19</v>
      </c>
      <c r="F538" s="156" t="s">
        <v>496</v>
      </c>
      <c r="G538" s="157" t="str">
        <f>"2"</f>
        <v>2</v>
      </c>
      <c r="H538" s="156" t="str">
        <f>"2 fős egyenes kiesés"</f>
        <v>2 fős egyenes kiesés</v>
      </c>
      <c r="I538" s="157" t="str">
        <f>"1"</f>
        <v>1</v>
      </c>
      <c r="J538" s="156" t="str">
        <f>"Nagy Péter"</f>
        <v>Nagy Péter</v>
      </c>
      <c r="K538" s="156" t="str">
        <f>"KHSE"</f>
        <v>KHSE</v>
      </c>
      <c r="L538" s="156" t="str">
        <f t="shared" si="186"/>
        <v>HUN</v>
      </c>
      <c r="M538" s="163">
        <v>3</v>
      </c>
      <c r="O538" s="154" t="s">
        <v>248</v>
      </c>
      <c r="P538" s="159">
        <v>46088</v>
      </c>
      <c r="Q538" s="154" t="str">
        <f t="shared" si="187"/>
        <v>Nagy Péter - KHSE</v>
      </c>
      <c r="R538" s="154" t="s">
        <v>636</v>
      </c>
      <c r="S538" s="154" t="str">
        <f t="shared" si="188"/>
        <v>KHSE</v>
      </c>
      <c r="T538" s="154" t="s">
        <v>645</v>
      </c>
      <c r="U538" s="154" t="s">
        <v>799</v>
      </c>
      <c r="V538" s="154"/>
    </row>
    <row r="539" spans="1:22" s="158" customFormat="1" x14ac:dyDescent="0.3">
      <c r="A539" s="154" t="s">
        <v>776</v>
      </c>
      <c r="B539" s="155">
        <v>2</v>
      </c>
      <c r="C539" s="154">
        <v>457</v>
      </c>
      <c r="D539" s="156" t="str">
        <f t="shared" si="206"/>
        <v>Kumite</v>
      </c>
      <c r="E539" s="156" t="str">
        <f>"Kumite, -, 0-60 kg, Junior DOL (17-19"</f>
        <v>Kumite, -, 0-60 kg, Junior DOL (17-19</v>
      </c>
      <c r="F539" s="156" t="s">
        <v>496</v>
      </c>
      <c r="G539" s="157" t="str">
        <f>"2"</f>
        <v>2</v>
      </c>
      <c r="H539" s="156" t="str">
        <f>"2 fős egyenes kiesés"</f>
        <v>2 fős egyenes kiesés</v>
      </c>
      <c r="I539" s="157" t="str">
        <f>"2"</f>
        <v>2</v>
      </c>
      <c r="J539" s="156" t="str">
        <f>"Rimóczi Alex Benedek"</f>
        <v>Rimóczi Alex Benedek</v>
      </c>
      <c r="K539" s="156" t="str">
        <f>"Nozomu Dojo"</f>
        <v>Nozomu Dojo</v>
      </c>
      <c r="L539" s="156" t="str">
        <f t="shared" si="186"/>
        <v>HUN</v>
      </c>
      <c r="M539" s="163">
        <v>0</v>
      </c>
      <c r="O539" s="154" t="s">
        <v>248</v>
      </c>
      <c r="P539" s="159">
        <v>46088</v>
      </c>
      <c r="Q539" s="154" t="str">
        <f t="shared" si="187"/>
        <v>Rimóczi Alex Benedek - Nozomu Dojo</v>
      </c>
      <c r="R539" s="154" t="s">
        <v>636</v>
      </c>
      <c r="S539" s="154" t="str">
        <f t="shared" si="188"/>
        <v>Nozomu Dojo</v>
      </c>
      <c r="T539" s="154" t="s">
        <v>645</v>
      </c>
      <c r="U539" s="154" t="s">
        <v>799</v>
      </c>
      <c r="V539" s="154"/>
    </row>
    <row r="540" spans="1:22" s="158" customFormat="1" x14ac:dyDescent="0.3">
      <c r="A540" s="154" t="s">
        <v>776</v>
      </c>
      <c r="B540" s="155">
        <v>2</v>
      </c>
      <c r="C540" s="154">
        <v>458</v>
      </c>
      <c r="D540" s="156" t="str">
        <f t="shared" si="206"/>
        <v>Kumite</v>
      </c>
      <c r="E540" s="156" t="str">
        <f>"Kumite, -, 60-65 kg, Junior DOL (17-19"</f>
        <v>Kumite, -, 60-65 kg, Junior DOL (17-19</v>
      </c>
      <c r="F540" s="156" t="s">
        <v>497</v>
      </c>
      <c r="G540" s="157" t="str">
        <f>"4"</f>
        <v>4</v>
      </c>
      <c r="H540" s="156" t="str">
        <f>"4 fős körmérkőzés"</f>
        <v>4 fős körmérkőzés</v>
      </c>
      <c r="I540" s="157" t="str">
        <f>"1"</f>
        <v>1</v>
      </c>
      <c r="J540" s="156" t="str">
        <f>"Bacskai Bence"</f>
        <v>Bacskai Bence</v>
      </c>
      <c r="K540" s="156" t="str">
        <f>"KHSE"</f>
        <v>KHSE</v>
      </c>
      <c r="L540" s="156" t="str">
        <f t="shared" si="186"/>
        <v>HUN</v>
      </c>
      <c r="M540" s="163">
        <v>6</v>
      </c>
      <c r="O540" s="154" t="s">
        <v>248</v>
      </c>
      <c r="P540" s="159">
        <v>46088</v>
      </c>
      <c r="Q540" s="154" t="str">
        <f t="shared" si="187"/>
        <v>Bacskai Bence - KHSE</v>
      </c>
      <c r="R540" s="154" t="s">
        <v>636</v>
      </c>
      <c r="S540" s="154" t="str">
        <f t="shared" si="188"/>
        <v>KHSE</v>
      </c>
      <c r="T540" s="154" t="s">
        <v>645</v>
      </c>
      <c r="U540" s="154" t="s">
        <v>799</v>
      </c>
      <c r="V540" s="154"/>
    </row>
    <row r="541" spans="1:22" s="158" customFormat="1" x14ac:dyDescent="0.3">
      <c r="A541" s="154" t="s">
        <v>776</v>
      </c>
      <c r="B541" s="155">
        <v>2</v>
      </c>
      <c r="C541" s="154">
        <v>459</v>
      </c>
      <c r="D541" s="156" t="str">
        <f t="shared" si="206"/>
        <v>Kumite</v>
      </c>
      <c r="E541" s="156" t="str">
        <f>"Kumite, -, 60-65 kg, Junior DOL (17-19"</f>
        <v>Kumite, -, 60-65 kg, Junior DOL (17-19</v>
      </c>
      <c r="F541" s="156" t="s">
        <v>497</v>
      </c>
      <c r="G541" s="157" t="str">
        <f>"4"</f>
        <v>4</v>
      </c>
      <c r="H541" s="156" t="str">
        <f>"4 fős körmérkőzés"</f>
        <v>4 fős körmérkőzés</v>
      </c>
      <c r="I541" s="157" t="str">
        <f>"2"</f>
        <v>2</v>
      </c>
      <c r="J541" s="156" t="str">
        <f>"Szabó Ákos Roland"</f>
        <v>Szabó Ákos Roland</v>
      </c>
      <c r="K541" s="156" t="str">
        <f>"KHSE"</f>
        <v>KHSE</v>
      </c>
      <c r="L541" s="156" t="str">
        <f t="shared" si="186"/>
        <v>HUN</v>
      </c>
      <c r="M541" s="163">
        <v>5</v>
      </c>
      <c r="O541" s="154" t="s">
        <v>248</v>
      </c>
      <c r="P541" s="159">
        <v>46088</v>
      </c>
      <c r="Q541" s="154" t="str">
        <f t="shared" si="187"/>
        <v>Szabó Ákos Roland - KHSE</v>
      </c>
      <c r="R541" s="154" t="s">
        <v>636</v>
      </c>
      <c r="S541" s="154" t="str">
        <f t="shared" si="188"/>
        <v>KHSE</v>
      </c>
      <c r="T541" s="154" t="s">
        <v>645</v>
      </c>
      <c r="U541" s="154" t="s">
        <v>799</v>
      </c>
      <c r="V541" s="154"/>
    </row>
    <row r="542" spans="1:22" s="158" customFormat="1" x14ac:dyDescent="0.3">
      <c r="A542" s="154" t="s">
        <v>776</v>
      </c>
      <c r="B542" s="155">
        <v>2</v>
      </c>
      <c r="C542" s="154">
        <v>460</v>
      </c>
      <c r="D542" s="156" t="str">
        <f t="shared" si="206"/>
        <v>Kumite</v>
      </c>
      <c r="E542" s="156" t="str">
        <f>"Kumite, -, 60-65 kg, Junior DOL (17-19"</f>
        <v>Kumite, -, 60-65 kg, Junior DOL (17-19</v>
      </c>
      <c r="F542" s="156" t="s">
        <v>497</v>
      </c>
      <c r="G542" s="157" t="str">
        <f>"4"</f>
        <v>4</v>
      </c>
      <c r="H542" s="156" t="str">
        <f>"4 fős körmérkőzés"</f>
        <v>4 fős körmérkőzés</v>
      </c>
      <c r="I542" s="157" t="str">
        <f>"3"</f>
        <v>3</v>
      </c>
      <c r="J542" s="156" t="str">
        <f>"Vincze Balázs"</f>
        <v>Vincze Balázs</v>
      </c>
      <c r="K542" s="156" t="str">
        <f>"TADASHII "</f>
        <v xml:space="preserve">TADASHII </v>
      </c>
      <c r="L542" s="156" t="str">
        <f t="shared" si="186"/>
        <v>HUN</v>
      </c>
      <c r="M542" s="163">
        <v>3</v>
      </c>
      <c r="O542" s="154" t="s">
        <v>248</v>
      </c>
      <c r="P542" s="159">
        <v>46088</v>
      </c>
      <c r="Q542" s="154" t="str">
        <f t="shared" si="187"/>
        <v xml:space="preserve">Vincze Balázs - TADASHII </v>
      </c>
      <c r="R542" s="154" t="s">
        <v>637</v>
      </c>
      <c r="S542" s="154" t="str">
        <f t="shared" si="188"/>
        <v xml:space="preserve">TADASHII </v>
      </c>
      <c r="T542" s="154" t="s">
        <v>645</v>
      </c>
      <c r="U542" s="154" t="s">
        <v>799</v>
      </c>
      <c r="V542" s="154"/>
    </row>
    <row r="543" spans="1:22" s="158" customFormat="1" x14ac:dyDescent="0.3">
      <c r="A543" s="154" t="s">
        <v>776</v>
      </c>
      <c r="B543" s="155">
        <v>2</v>
      </c>
      <c r="C543" s="154">
        <v>461</v>
      </c>
      <c r="D543" s="156" t="str">
        <f t="shared" si="206"/>
        <v>Kumite</v>
      </c>
      <c r="E543" s="156" t="str">
        <f>"Kumite, -, 65-70 kg, Junior DOL (17-19"</f>
        <v>Kumite, -, 65-70 kg, Junior DOL (17-19</v>
      </c>
      <c r="F543" s="156" t="s">
        <v>498</v>
      </c>
      <c r="G543" s="157" t="str">
        <f t="shared" ref="G543:G548" si="207">"6"</f>
        <v>6</v>
      </c>
      <c r="H543" s="156" t="str">
        <f t="shared" ref="H543:H548" si="208">"6 fős vegyes"</f>
        <v>6 fős vegyes</v>
      </c>
      <c r="I543" s="157" t="str">
        <f>"1"</f>
        <v>1</v>
      </c>
      <c r="J543" s="156" t="str">
        <f>"Böszörményi Gergő"</f>
        <v>Böszörményi Gergő</v>
      </c>
      <c r="K543" s="156" t="str">
        <f>"Victory"</f>
        <v>Victory</v>
      </c>
      <c r="L543" s="156" t="str">
        <f t="shared" ref="L543:L579" si="209">"HUN"</f>
        <v>HUN</v>
      </c>
      <c r="M543" s="163">
        <v>6</v>
      </c>
      <c r="O543" s="154" t="s">
        <v>248</v>
      </c>
      <c r="P543" s="159">
        <v>46088</v>
      </c>
      <c r="Q543" s="154" t="str">
        <f t="shared" ref="Q543:Q579" si="210">J543&amp;" - "&amp;K543</f>
        <v>Böszörményi Gergő - Victory</v>
      </c>
      <c r="R543" s="154" t="s">
        <v>636</v>
      </c>
      <c r="S543" s="154" t="str">
        <f t="shared" ref="S543:S579" si="211">K543</f>
        <v>Victory</v>
      </c>
      <c r="T543" s="154" t="s">
        <v>645</v>
      </c>
      <c r="U543" s="154" t="s">
        <v>799</v>
      </c>
      <c r="V543" s="154"/>
    </row>
    <row r="544" spans="1:22" s="158" customFormat="1" x14ac:dyDescent="0.3">
      <c r="A544" s="154" t="s">
        <v>776</v>
      </c>
      <c r="B544" s="155">
        <v>2</v>
      </c>
      <c r="C544" s="154">
        <v>462</v>
      </c>
      <c r="D544" s="156" t="str">
        <f t="shared" si="206"/>
        <v>Kumite</v>
      </c>
      <c r="E544" s="156" t="str">
        <f>"Kumite, -, 65-70 kg, Junior DOL (17-19"</f>
        <v>Kumite, -, 65-70 kg, Junior DOL (17-19</v>
      </c>
      <c r="F544" s="156" t="s">
        <v>498</v>
      </c>
      <c r="G544" s="157" t="str">
        <f t="shared" si="207"/>
        <v>6</v>
      </c>
      <c r="H544" s="156" t="str">
        <f t="shared" si="208"/>
        <v>6 fős vegyes</v>
      </c>
      <c r="I544" s="157" t="str">
        <f>"2"</f>
        <v>2</v>
      </c>
      <c r="J544" s="156" t="str">
        <f>"Földi Bence "</f>
        <v xml:space="preserve">Földi Bence </v>
      </c>
      <c r="K544" s="156" t="str">
        <f>"Victory"</f>
        <v>Victory</v>
      </c>
      <c r="L544" s="156" t="str">
        <f t="shared" si="209"/>
        <v>HUN</v>
      </c>
      <c r="M544" s="163">
        <v>5</v>
      </c>
      <c r="O544" s="154" t="s">
        <v>248</v>
      </c>
      <c r="P544" s="159">
        <v>46088</v>
      </c>
      <c r="Q544" s="154" t="str">
        <f t="shared" si="210"/>
        <v>Földi Bence  - Victory</v>
      </c>
      <c r="R544" s="154" t="s">
        <v>636</v>
      </c>
      <c r="S544" s="154" t="str">
        <f t="shared" si="211"/>
        <v>Victory</v>
      </c>
      <c r="T544" s="154" t="s">
        <v>645</v>
      </c>
      <c r="U544" s="154" t="s">
        <v>799</v>
      </c>
      <c r="V544" s="154"/>
    </row>
    <row r="545" spans="1:22" s="158" customFormat="1" x14ac:dyDescent="0.3">
      <c r="A545" s="154" t="s">
        <v>776</v>
      </c>
      <c r="B545" s="155">
        <v>2</v>
      </c>
      <c r="C545" s="154">
        <v>463</v>
      </c>
      <c r="D545" s="156" t="str">
        <f t="shared" si="206"/>
        <v>Kumite</v>
      </c>
      <c r="E545" s="156" t="str">
        <f>"Kumite, -, 65-70 kg, Junior DOL (17-19"</f>
        <v>Kumite, -, 65-70 kg, Junior DOL (17-19</v>
      </c>
      <c r="F545" s="156" t="s">
        <v>498</v>
      </c>
      <c r="G545" s="157" t="str">
        <f t="shared" si="207"/>
        <v>6</v>
      </c>
      <c r="H545" s="156" t="str">
        <f t="shared" si="208"/>
        <v>6 fős vegyes</v>
      </c>
      <c r="I545" s="157" t="str">
        <f>"3"</f>
        <v>3</v>
      </c>
      <c r="J545" s="156" t="str">
        <f>"Takács-Sárkány Csanád"</f>
        <v>Takács-Sárkány Csanád</v>
      </c>
      <c r="K545" s="156" t="str">
        <f>"KHSE"</f>
        <v>KHSE</v>
      </c>
      <c r="L545" s="156" t="str">
        <f t="shared" si="209"/>
        <v>HUN</v>
      </c>
      <c r="M545" s="163">
        <v>3</v>
      </c>
      <c r="O545" s="154" t="s">
        <v>248</v>
      </c>
      <c r="P545" s="159">
        <v>46088</v>
      </c>
      <c r="Q545" s="154" t="str">
        <f t="shared" si="210"/>
        <v>Takács-Sárkány Csanád - KHSE</v>
      </c>
      <c r="R545" s="154" t="s">
        <v>636</v>
      </c>
      <c r="S545" s="154" t="str">
        <f t="shared" si="211"/>
        <v>KHSE</v>
      </c>
      <c r="T545" s="154" t="s">
        <v>645</v>
      </c>
      <c r="U545" s="154" t="s">
        <v>799</v>
      </c>
      <c r="V545" s="154"/>
    </row>
    <row r="546" spans="1:22" s="158" customFormat="1" x14ac:dyDescent="0.3">
      <c r="A546" s="154" t="s">
        <v>776</v>
      </c>
      <c r="B546" s="155">
        <v>2</v>
      </c>
      <c r="C546" s="154">
        <v>464</v>
      </c>
      <c r="D546" s="156" t="str">
        <f t="shared" si="206"/>
        <v>Kumite</v>
      </c>
      <c r="E546" s="156" t="str">
        <f>"Kumite, -, 70-75 kg, Junior DOL (17-19"</f>
        <v>Kumite, -, 70-75 kg, Junior DOL (17-19</v>
      </c>
      <c r="F546" s="156" t="s">
        <v>499</v>
      </c>
      <c r="G546" s="157" t="str">
        <f t="shared" si="207"/>
        <v>6</v>
      </c>
      <c r="H546" s="156" t="str">
        <f t="shared" si="208"/>
        <v>6 fős vegyes</v>
      </c>
      <c r="I546" s="157" t="str">
        <f>"1"</f>
        <v>1</v>
      </c>
      <c r="J546" s="156" t="str">
        <f>"Földi Balázs"</f>
        <v>Földi Balázs</v>
      </c>
      <c r="K546" s="156" t="str">
        <f>"Victory"</f>
        <v>Victory</v>
      </c>
      <c r="L546" s="156" t="str">
        <f t="shared" si="209"/>
        <v>HUN</v>
      </c>
      <c r="M546" s="163">
        <v>6</v>
      </c>
      <c r="O546" s="154" t="s">
        <v>248</v>
      </c>
      <c r="P546" s="159">
        <v>46088</v>
      </c>
      <c r="Q546" s="154" t="str">
        <f t="shared" si="210"/>
        <v>Földi Balázs - Victory</v>
      </c>
      <c r="R546" s="154" t="s">
        <v>636</v>
      </c>
      <c r="S546" s="154" t="str">
        <f t="shared" si="211"/>
        <v>Victory</v>
      </c>
      <c r="T546" s="154" t="s">
        <v>645</v>
      </c>
      <c r="U546" s="154" t="s">
        <v>799</v>
      </c>
      <c r="V546" s="154"/>
    </row>
    <row r="547" spans="1:22" s="158" customFormat="1" x14ac:dyDescent="0.3">
      <c r="A547" s="154" t="s">
        <v>776</v>
      </c>
      <c r="B547" s="155">
        <v>2</v>
      </c>
      <c r="C547" s="154">
        <v>465</v>
      </c>
      <c r="D547" s="156" t="str">
        <f t="shared" si="206"/>
        <v>Kumite</v>
      </c>
      <c r="E547" s="156" t="str">
        <f>"Kumite, -, 70-75 kg, Junior DOL (17-19"</f>
        <v>Kumite, -, 70-75 kg, Junior DOL (17-19</v>
      </c>
      <c r="F547" s="156" t="s">
        <v>499</v>
      </c>
      <c r="G547" s="157" t="str">
        <f t="shared" si="207"/>
        <v>6</v>
      </c>
      <c r="H547" s="156" t="str">
        <f t="shared" si="208"/>
        <v>6 fős vegyes</v>
      </c>
      <c r="I547" s="157" t="str">
        <f>"2"</f>
        <v>2</v>
      </c>
      <c r="J547" s="156" t="str">
        <f>"Kiss Gábor"</f>
        <v>Kiss Gábor</v>
      </c>
      <c r="K547" s="156" t="str">
        <f>"Victory"</f>
        <v>Victory</v>
      </c>
      <c r="L547" s="156" t="str">
        <f t="shared" si="209"/>
        <v>HUN</v>
      </c>
      <c r="M547" s="163">
        <v>5</v>
      </c>
      <c r="O547" s="154" t="s">
        <v>248</v>
      </c>
      <c r="P547" s="159">
        <v>46088</v>
      </c>
      <c r="Q547" s="154" t="str">
        <f t="shared" si="210"/>
        <v>Kiss Gábor - Victory</v>
      </c>
      <c r="R547" s="154" t="s">
        <v>636</v>
      </c>
      <c r="S547" s="154" t="str">
        <f t="shared" si="211"/>
        <v>Victory</v>
      </c>
      <c r="T547" s="154" t="s">
        <v>645</v>
      </c>
      <c r="U547" s="154" t="s">
        <v>799</v>
      </c>
      <c r="V547" s="154"/>
    </row>
    <row r="548" spans="1:22" s="158" customFormat="1" x14ac:dyDescent="0.3">
      <c r="A548" s="154" t="s">
        <v>776</v>
      </c>
      <c r="B548" s="155">
        <v>2</v>
      </c>
      <c r="C548" s="154">
        <v>466</v>
      </c>
      <c r="D548" s="156" t="str">
        <f t="shared" si="206"/>
        <v>Kumite</v>
      </c>
      <c r="E548" s="156" t="str">
        <f>"Kumite, -, 70-75 kg, Junior DOL (17-19"</f>
        <v>Kumite, -, 70-75 kg, Junior DOL (17-19</v>
      </c>
      <c r="F548" s="156" t="s">
        <v>499</v>
      </c>
      <c r="G548" s="157" t="str">
        <f t="shared" si="207"/>
        <v>6</v>
      </c>
      <c r="H548" s="156" t="str">
        <f t="shared" si="208"/>
        <v>6 fős vegyes</v>
      </c>
      <c r="I548" s="157" t="str">
        <f>"3"</f>
        <v>3</v>
      </c>
      <c r="J548" s="156" t="str">
        <f>"Vancsó Ákos"</f>
        <v>Vancsó Ákos</v>
      </c>
      <c r="K548" s="156" t="str">
        <f>"Bendiák Dojo"</f>
        <v>Bendiák Dojo</v>
      </c>
      <c r="L548" s="156" t="str">
        <f t="shared" si="209"/>
        <v>HUN</v>
      </c>
      <c r="M548" s="163">
        <v>3</v>
      </c>
      <c r="O548" s="154" t="s">
        <v>248</v>
      </c>
      <c r="P548" s="159">
        <v>46088</v>
      </c>
      <c r="Q548" s="154" t="str">
        <f t="shared" si="210"/>
        <v>Vancsó Ákos - Bendiák Dojo</v>
      </c>
      <c r="R548" s="154" t="s">
        <v>636</v>
      </c>
      <c r="S548" s="154" t="str">
        <f t="shared" si="211"/>
        <v>Bendiák Dojo</v>
      </c>
      <c r="T548" s="154" t="s">
        <v>645</v>
      </c>
      <c r="U548" s="154" t="s">
        <v>799</v>
      </c>
      <c r="V548" s="154"/>
    </row>
    <row r="549" spans="1:22" s="158" customFormat="1" x14ac:dyDescent="0.3">
      <c r="A549" s="154" t="s">
        <v>776</v>
      </c>
      <c r="B549" s="155">
        <v>2</v>
      </c>
      <c r="C549" s="154">
        <v>467</v>
      </c>
      <c r="D549" s="156" t="str">
        <f t="shared" si="206"/>
        <v>Kumite</v>
      </c>
      <c r="E549" s="156" t="str">
        <f>"Kumite, -, 75-80 kg, Junior DOL (17-19"</f>
        <v>Kumite, -, 75-80 kg, Junior DOL (17-19</v>
      </c>
      <c r="F549" s="156" t="s">
        <v>500</v>
      </c>
      <c r="G549" s="157" t="str">
        <f>"3"</f>
        <v>3</v>
      </c>
      <c r="H549" s="156" t="str">
        <f>"3 fős körmérkőzés"</f>
        <v>3 fős körmérkőzés</v>
      </c>
      <c r="I549" s="157" t="str">
        <f>"1"</f>
        <v>1</v>
      </c>
      <c r="J549" s="156" t="str">
        <f>"Bessenyei Csongor"</f>
        <v>Bessenyei Csongor</v>
      </c>
      <c r="K549" s="156" t="str">
        <f>"Shogun"</f>
        <v>Shogun</v>
      </c>
      <c r="L549" s="156" t="str">
        <f t="shared" si="209"/>
        <v>HUN</v>
      </c>
      <c r="M549" s="163">
        <v>4</v>
      </c>
      <c r="O549" s="154" t="s">
        <v>248</v>
      </c>
      <c r="P549" s="159">
        <v>46088</v>
      </c>
      <c r="Q549" s="154" t="str">
        <f t="shared" si="210"/>
        <v>Bessenyei Csongor - Shogun</v>
      </c>
      <c r="R549" s="154" t="s">
        <v>636</v>
      </c>
      <c r="S549" s="154" t="str">
        <f t="shared" si="211"/>
        <v>Shogun</v>
      </c>
      <c r="T549" s="154" t="s">
        <v>645</v>
      </c>
      <c r="U549" s="154" t="s">
        <v>799</v>
      </c>
      <c r="V549" s="154"/>
    </row>
    <row r="550" spans="1:22" s="158" customFormat="1" x14ac:dyDescent="0.3">
      <c r="A550" s="154" t="s">
        <v>776</v>
      </c>
      <c r="B550" s="155">
        <v>2</v>
      </c>
      <c r="C550" s="154">
        <v>468</v>
      </c>
      <c r="D550" s="156" t="str">
        <f t="shared" si="206"/>
        <v>Kumite</v>
      </c>
      <c r="E550" s="156" t="str">
        <f>"Kumite, -, 75-80 kg, Junior DOL (17-19"</f>
        <v>Kumite, -, 75-80 kg, Junior DOL (17-19</v>
      </c>
      <c r="F550" s="156" t="s">
        <v>500</v>
      </c>
      <c r="G550" s="157" t="str">
        <f>"3"</f>
        <v>3</v>
      </c>
      <c r="H550" s="156" t="str">
        <f>"3 fős körmérkőzés"</f>
        <v>3 fős körmérkőzés</v>
      </c>
      <c r="I550" s="157" t="str">
        <f>"2"</f>
        <v>2</v>
      </c>
      <c r="J550" s="156" t="str">
        <f>"Breznyiczki Barnabás"</f>
        <v>Breznyiczki Barnabás</v>
      </c>
      <c r="K550" s="156" t="str">
        <f>"Nozomu Dojo"</f>
        <v>Nozomu Dojo</v>
      </c>
      <c r="L550" s="156" t="str">
        <f t="shared" si="209"/>
        <v>HUN</v>
      </c>
      <c r="M550" s="163">
        <v>3</v>
      </c>
      <c r="O550" s="154" t="s">
        <v>248</v>
      </c>
      <c r="P550" s="159">
        <v>46088</v>
      </c>
      <c r="Q550" s="154" t="str">
        <f t="shared" si="210"/>
        <v>Breznyiczki Barnabás - Nozomu Dojo</v>
      </c>
      <c r="R550" s="154" t="s">
        <v>636</v>
      </c>
      <c r="S550" s="154" t="str">
        <f t="shared" si="211"/>
        <v>Nozomu Dojo</v>
      </c>
      <c r="T550" s="154" t="s">
        <v>645</v>
      </c>
      <c r="U550" s="154" t="s">
        <v>799</v>
      </c>
      <c r="V550" s="154"/>
    </row>
    <row r="551" spans="1:22" s="158" customFormat="1" x14ac:dyDescent="0.3">
      <c r="A551" s="154" t="s">
        <v>776</v>
      </c>
      <c r="B551" s="155">
        <v>2</v>
      </c>
      <c r="C551" s="154">
        <v>469</v>
      </c>
      <c r="D551" s="156" t="str">
        <f t="shared" si="206"/>
        <v>Kumite</v>
      </c>
      <c r="E551" s="156" t="str">
        <f>"Kumite, -, 75-80 kg, Junior DOL (17-19"</f>
        <v>Kumite, -, 75-80 kg, Junior DOL (17-19</v>
      </c>
      <c r="F551" s="156" t="s">
        <v>500</v>
      </c>
      <c r="G551" s="157" t="str">
        <f>"3"</f>
        <v>3</v>
      </c>
      <c r="H551" s="156" t="str">
        <f>"3 fős körmérkőzés"</f>
        <v>3 fős körmérkőzés</v>
      </c>
      <c r="I551" s="157" t="str">
        <f>"3"</f>
        <v>3</v>
      </c>
      <c r="J551" s="156" t="str">
        <f>"Flaisz Róbert"</f>
        <v>Flaisz Róbert</v>
      </c>
      <c r="K551" s="156" t="str">
        <f>"TADASHII "</f>
        <v xml:space="preserve">TADASHII </v>
      </c>
      <c r="L551" s="156" t="str">
        <f t="shared" si="209"/>
        <v>HUN</v>
      </c>
      <c r="M551" s="163">
        <v>0</v>
      </c>
      <c r="N551" s="158" t="s">
        <v>704</v>
      </c>
      <c r="O551" s="154" t="s">
        <v>248</v>
      </c>
      <c r="P551" s="159">
        <v>46088</v>
      </c>
      <c r="Q551" s="154" t="str">
        <f t="shared" si="210"/>
        <v xml:space="preserve">Flaisz Róbert - TADASHII </v>
      </c>
      <c r="R551" s="154" t="s">
        <v>637</v>
      </c>
      <c r="S551" s="154" t="str">
        <f t="shared" si="211"/>
        <v xml:space="preserve">TADASHII </v>
      </c>
      <c r="T551" s="154" t="s">
        <v>645</v>
      </c>
      <c r="U551" s="154" t="s">
        <v>799</v>
      </c>
      <c r="V551" s="154"/>
    </row>
    <row r="552" spans="1:22" s="158" customFormat="1" x14ac:dyDescent="0.3">
      <c r="A552" s="154" t="s">
        <v>776</v>
      </c>
      <c r="B552" s="155">
        <v>2</v>
      </c>
      <c r="C552" s="154">
        <v>470</v>
      </c>
      <c r="D552" s="156" t="str">
        <f t="shared" si="206"/>
        <v>Kumite</v>
      </c>
      <c r="E552" s="156" t="str">
        <f>"Kumite, -, 80-200 kg, Junior DOL (17-19"</f>
        <v>Kumite, -, 80-200 kg, Junior DOL (17-19</v>
      </c>
      <c r="F552" s="156" t="s">
        <v>501</v>
      </c>
      <c r="G552" s="157" t="str">
        <f>"4"</f>
        <v>4</v>
      </c>
      <c r="H552" s="156" t="str">
        <f>"4 fős körmérkőzés"</f>
        <v>4 fős körmérkőzés</v>
      </c>
      <c r="I552" s="157" t="str">
        <f>"1"</f>
        <v>1</v>
      </c>
      <c r="J552" s="156" t="str">
        <f>"Csorba Kristóf"</f>
        <v>Csorba Kristóf</v>
      </c>
      <c r="K552" s="156" t="str">
        <f>"Shogun"</f>
        <v>Shogun</v>
      </c>
      <c r="L552" s="156" t="str">
        <f t="shared" si="209"/>
        <v>HUN</v>
      </c>
      <c r="M552" s="163">
        <v>6</v>
      </c>
      <c r="O552" s="154" t="s">
        <v>248</v>
      </c>
      <c r="P552" s="159">
        <v>46088</v>
      </c>
      <c r="Q552" s="154" t="str">
        <f t="shared" si="210"/>
        <v>Csorba Kristóf - Shogun</v>
      </c>
      <c r="R552" s="154" t="s">
        <v>636</v>
      </c>
      <c r="S552" s="154" t="str">
        <f t="shared" si="211"/>
        <v>Shogun</v>
      </c>
      <c r="T552" s="154" t="s">
        <v>645</v>
      </c>
      <c r="U552" s="154" t="s">
        <v>799</v>
      </c>
      <c r="V552" s="154"/>
    </row>
    <row r="553" spans="1:22" s="158" customFormat="1" x14ac:dyDescent="0.3">
      <c r="A553" s="154" t="s">
        <v>776</v>
      </c>
      <c r="B553" s="155">
        <v>2</v>
      </c>
      <c r="C553" s="154">
        <v>491</v>
      </c>
      <c r="D553" s="156" t="str">
        <f>"Kumite"</f>
        <v>Kumite</v>
      </c>
      <c r="E553" s="156" t="str">
        <f>"Kumite, -, 80-200 kg, Junior DOL (17-19"</f>
        <v>Kumite, -, 80-200 kg, Junior DOL (17-19</v>
      </c>
      <c r="F553" s="156" t="s">
        <v>501</v>
      </c>
      <c r="G553" s="157" t="str">
        <f>"4"</f>
        <v>4</v>
      </c>
      <c r="H553" s="156" t="str">
        <f>"4 fős körmérkőzés"</f>
        <v>4 fős körmérkőzés</v>
      </c>
      <c r="I553" s="157" t="str">
        <f>"2"</f>
        <v>2</v>
      </c>
      <c r="J553" s="156" t="str">
        <f>"Sipos Árpád"</f>
        <v>Sipos Árpád</v>
      </c>
      <c r="K553" s="156" t="str">
        <f>"KHSE"</f>
        <v>KHSE</v>
      </c>
      <c r="L553" s="156" t="str">
        <f t="shared" si="209"/>
        <v>HUN</v>
      </c>
      <c r="M553" s="163">
        <v>5</v>
      </c>
      <c r="O553" s="154" t="s">
        <v>248</v>
      </c>
      <c r="P553" s="159">
        <v>46088</v>
      </c>
      <c r="Q553" s="154" t="str">
        <f>J553&amp;" - "&amp;K553</f>
        <v>Sipos Árpád - KHSE</v>
      </c>
      <c r="R553" s="154" t="s">
        <v>636</v>
      </c>
      <c r="S553" s="154" t="str">
        <f>K553</f>
        <v>KHSE</v>
      </c>
      <c r="T553" s="154" t="s">
        <v>645</v>
      </c>
      <c r="U553" s="154" t="s">
        <v>799</v>
      </c>
      <c r="V553" s="154"/>
    </row>
    <row r="554" spans="1:22" s="158" customFormat="1" x14ac:dyDescent="0.3">
      <c r="A554" s="154" t="s">
        <v>776</v>
      </c>
      <c r="B554" s="155">
        <v>2</v>
      </c>
      <c r="C554" s="154">
        <v>471</v>
      </c>
      <c r="D554" s="156" t="str">
        <f t="shared" si="206"/>
        <v>Kumite</v>
      </c>
      <c r="E554" s="156" t="str">
        <f>"Kumite, -, 80-200 kg, Junior DOL (17-19"</f>
        <v>Kumite, -, 80-200 kg, Junior DOL (17-19</v>
      </c>
      <c r="F554" s="156" t="s">
        <v>501</v>
      </c>
      <c r="G554" s="157" t="str">
        <f>"4"</f>
        <v>4</v>
      </c>
      <c r="H554" s="156" t="str">
        <f>"4 fős körmérkőzés"</f>
        <v>4 fős körmérkőzés</v>
      </c>
      <c r="I554" s="157" t="str">
        <f>"3"</f>
        <v>3</v>
      </c>
      <c r="J554" s="156" t="str">
        <f>"Maklári Balázs"</f>
        <v>Maklári Balázs</v>
      </c>
      <c r="K554" s="156" t="str">
        <f>"Kisvárda KKDOSC"</f>
        <v>Kisvárda KKDOSC</v>
      </c>
      <c r="L554" s="156" t="str">
        <f t="shared" si="209"/>
        <v>HUN</v>
      </c>
      <c r="M554" s="163">
        <v>3</v>
      </c>
      <c r="O554" s="154" t="s">
        <v>248</v>
      </c>
      <c r="P554" s="159">
        <v>46088</v>
      </c>
      <c r="Q554" s="154" t="str">
        <f t="shared" si="210"/>
        <v>Maklári Balázs - Kisvárda KKDOSC</v>
      </c>
      <c r="R554" s="154" t="s">
        <v>636</v>
      </c>
      <c r="S554" s="154" t="str">
        <f t="shared" si="211"/>
        <v>Kisvárda KKDOSC</v>
      </c>
      <c r="T554" s="154" t="s">
        <v>645</v>
      </c>
      <c r="U554" s="154" t="s">
        <v>799</v>
      </c>
      <c r="V554" s="154"/>
    </row>
    <row r="555" spans="1:22" s="158" customFormat="1" x14ac:dyDescent="0.3">
      <c r="A555" s="154" t="s">
        <v>776</v>
      </c>
      <c r="B555" s="155">
        <v>2</v>
      </c>
      <c r="C555" s="154">
        <v>472</v>
      </c>
      <c r="D555" s="156" t="str">
        <f>"Kata"</f>
        <v>Kata</v>
      </c>
      <c r="E555" s="156" t="str">
        <f>"Kata, -, 0-170 kg, Junior DOL (17-19"</f>
        <v>Kata, -, 0-170 kg, Junior DOL (17-19</v>
      </c>
      <c r="F555" s="156" t="s">
        <v>502</v>
      </c>
      <c r="G555" s="157" t="str">
        <f>"6"</f>
        <v>6</v>
      </c>
      <c r="H555" s="156" t="str">
        <f>"8 fős egyenes kiesés + 3. hely"</f>
        <v>8 fős egyenes kiesés + 3. hely</v>
      </c>
      <c r="I555" s="157" t="str">
        <f>"1"</f>
        <v>1</v>
      </c>
      <c r="J555" s="156" t="str">
        <f>"Bessenyei Csongor"</f>
        <v>Bessenyei Csongor</v>
      </c>
      <c r="K555" s="156" t="str">
        <f>"Shogun"</f>
        <v>Shogun</v>
      </c>
      <c r="L555" s="156" t="str">
        <f t="shared" si="209"/>
        <v>HUN</v>
      </c>
      <c r="M555" s="163">
        <v>5</v>
      </c>
      <c r="N555" s="158" t="s">
        <v>811</v>
      </c>
      <c r="O555" s="154" t="s">
        <v>248</v>
      </c>
      <c r="P555" s="159">
        <v>46088</v>
      </c>
      <c r="Q555" s="154" t="str">
        <f t="shared" si="210"/>
        <v>Bessenyei Csongor - Shogun</v>
      </c>
      <c r="R555" s="154" t="s">
        <v>636</v>
      </c>
      <c r="S555" s="154" t="str">
        <f t="shared" si="211"/>
        <v>Shogun</v>
      </c>
      <c r="T555" s="154" t="s">
        <v>645</v>
      </c>
      <c r="U555" s="154" t="s">
        <v>799</v>
      </c>
      <c r="V555" s="154"/>
    </row>
    <row r="556" spans="1:22" s="158" customFormat="1" x14ac:dyDescent="0.3">
      <c r="A556" s="154" t="s">
        <v>776</v>
      </c>
      <c r="B556" s="155">
        <v>2</v>
      </c>
      <c r="C556" s="154">
        <v>473</v>
      </c>
      <c r="D556" s="156" t="str">
        <f>"Kata"</f>
        <v>Kata</v>
      </c>
      <c r="E556" s="156" t="str">
        <f>"Kata, -, 0-170 kg, Junior DOL (17-19"</f>
        <v>Kata, -, 0-170 kg, Junior DOL (17-19</v>
      </c>
      <c r="F556" s="156" t="s">
        <v>502</v>
      </c>
      <c r="G556" s="157" t="str">
        <f>"6"</f>
        <v>6</v>
      </c>
      <c r="H556" s="156" t="str">
        <f>"8 fős egyenes kiesés + 3. hely"</f>
        <v>8 fős egyenes kiesés + 3. hely</v>
      </c>
      <c r="I556" s="157" t="str">
        <f>"2"</f>
        <v>2</v>
      </c>
      <c r="J556" s="156" t="str">
        <f>"Terbócs Roland"</f>
        <v>Terbócs Roland</v>
      </c>
      <c r="K556" s="156" t="str">
        <f>"Shogun"</f>
        <v>Shogun</v>
      </c>
      <c r="L556" s="156" t="str">
        <f t="shared" si="209"/>
        <v>HUN</v>
      </c>
      <c r="M556" s="163">
        <v>4</v>
      </c>
      <c r="N556" s="158" t="s">
        <v>811</v>
      </c>
      <c r="O556" s="154" t="s">
        <v>248</v>
      </c>
      <c r="P556" s="159">
        <v>46088</v>
      </c>
      <c r="Q556" s="154" t="str">
        <f t="shared" si="210"/>
        <v>Terbócs Roland - Shogun</v>
      </c>
      <c r="R556" s="154" t="s">
        <v>636</v>
      </c>
      <c r="S556" s="154" t="str">
        <f t="shared" si="211"/>
        <v>Shogun</v>
      </c>
      <c r="T556" s="154" t="s">
        <v>645</v>
      </c>
      <c r="U556" s="154" t="s">
        <v>799</v>
      </c>
      <c r="V556" s="154"/>
    </row>
    <row r="557" spans="1:22" s="158" customFormat="1" x14ac:dyDescent="0.3">
      <c r="A557" s="154" t="s">
        <v>776</v>
      </c>
      <c r="B557" s="155">
        <v>2</v>
      </c>
      <c r="C557" s="154">
        <v>474</v>
      </c>
      <c r="D557" s="156" t="str">
        <f>"Kata"</f>
        <v>Kata</v>
      </c>
      <c r="E557" s="156" t="str">
        <f>"Kata, -, 0-170 kg, Junior DOL (17-19"</f>
        <v>Kata, -, 0-170 kg, Junior DOL (17-19</v>
      </c>
      <c r="F557" s="156" t="s">
        <v>502</v>
      </c>
      <c r="G557" s="157" t="str">
        <f>"6"</f>
        <v>6</v>
      </c>
      <c r="H557" s="156" t="str">
        <f>"8 fős egyenes kiesés + 3. hely"</f>
        <v>8 fős egyenes kiesés + 3. hely</v>
      </c>
      <c r="I557" s="157" t="str">
        <f>"3"</f>
        <v>3</v>
      </c>
      <c r="J557" s="156" t="str">
        <f>"Vágó Márton"</f>
        <v>Vágó Márton</v>
      </c>
      <c r="K557" s="156" t="str">
        <f>"Shogun"</f>
        <v>Shogun</v>
      </c>
      <c r="L557" s="156" t="str">
        <f t="shared" si="209"/>
        <v>HUN</v>
      </c>
      <c r="M557" s="163">
        <v>2</v>
      </c>
      <c r="N557" s="158" t="s">
        <v>811</v>
      </c>
      <c r="O557" s="154" t="s">
        <v>248</v>
      </c>
      <c r="P557" s="159">
        <v>46088</v>
      </c>
      <c r="Q557" s="154" t="str">
        <f t="shared" si="210"/>
        <v>Vágó Márton - Shogun</v>
      </c>
      <c r="R557" s="154" t="s">
        <v>636</v>
      </c>
      <c r="S557" s="154" t="str">
        <f t="shared" si="211"/>
        <v>Shogun</v>
      </c>
      <c r="T557" s="154" t="s">
        <v>645</v>
      </c>
      <c r="U557" s="154" t="s">
        <v>799</v>
      </c>
      <c r="V557" s="154"/>
    </row>
    <row r="558" spans="1:22" s="158" customFormat="1" x14ac:dyDescent="0.3">
      <c r="A558" s="154" t="s">
        <v>776</v>
      </c>
      <c r="B558" s="155">
        <v>2</v>
      </c>
      <c r="C558" s="154">
        <v>475</v>
      </c>
      <c r="D558" s="156" t="str">
        <f>"Kata"</f>
        <v>Kata</v>
      </c>
      <c r="E558" s="156" t="str">
        <f>"Kata, -, 0-170 kg, Junior DOL (17-19"</f>
        <v>Kata, -, 0-170 kg, Junior DOL (17-19</v>
      </c>
      <c r="F558" s="156" t="s">
        <v>502</v>
      </c>
      <c r="G558" s="157" t="str">
        <f>"6"</f>
        <v>6</v>
      </c>
      <c r="H558" s="156" t="str">
        <f>"8 fős egyenes kiesés + 3. hely"</f>
        <v>8 fős egyenes kiesés + 3. hely</v>
      </c>
      <c r="I558" s="157" t="str">
        <f>"4"</f>
        <v>4</v>
      </c>
      <c r="J558" s="156" t="str">
        <f>"Kolonics Márk"</f>
        <v>Kolonics Márk</v>
      </c>
      <c r="K558" s="156" t="str">
        <f>"TADASHII "</f>
        <v xml:space="preserve">TADASHII </v>
      </c>
      <c r="L558" s="156" t="str">
        <f t="shared" si="209"/>
        <v>HUN</v>
      </c>
      <c r="M558" s="163">
        <v>0</v>
      </c>
      <c r="N558" s="158" t="s">
        <v>811</v>
      </c>
      <c r="O558" s="154" t="s">
        <v>248</v>
      </c>
      <c r="P558" s="159">
        <v>46088</v>
      </c>
      <c r="Q558" s="154" t="str">
        <f t="shared" si="210"/>
        <v xml:space="preserve">Kolonics Márk - TADASHII </v>
      </c>
      <c r="R558" s="154" t="s">
        <v>637</v>
      </c>
      <c r="S558" s="154" t="str">
        <f t="shared" si="211"/>
        <v xml:space="preserve">TADASHII </v>
      </c>
      <c r="T558" s="154" t="s">
        <v>645</v>
      </c>
      <c r="U558" s="154" t="s">
        <v>799</v>
      </c>
      <c r="V558" s="154"/>
    </row>
    <row r="559" spans="1:22" s="158" customFormat="1" x14ac:dyDescent="0.3">
      <c r="A559" s="154" t="s">
        <v>776</v>
      </c>
      <c r="B559" s="155">
        <v>2</v>
      </c>
      <c r="C559" s="154">
        <v>476</v>
      </c>
      <c r="D559" s="156" t="str">
        <f>"Kata"</f>
        <v>Kata</v>
      </c>
      <c r="E559" s="156" t="str">
        <f>"Kata, -, 0-170 kg, Junior DOL (17-19"</f>
        <v>Kata, -, 0-170 kg, Junior DOL (17-19</v>
      </c>
      <c r="F559" s="156" t="s">
        <v>502</v>
      </c>
      <c r="G559" s="157" t="str">
        <f>"6"</f>
        <v>6</v>
      </c>
      <c r="H559" s="156" t="str">
        <f>"8 fős egyenes kiesés + 3. hely"</f>
        <v>8 fős egyenes kiesés + 3. hely</v>
      </c>
      <c r="I559" s="157" t="str">
        <f>"7-8"</f>
        <v>7-8</v>
      </c>
      <c r="J559" s="156" t="str">
        <f>"Kis Kevin Gyula"</f>
        <v>Kis Kevin Gyula</v>
      </c>
      <c r="K559" s="156" t="str">
        <f>"Borza Dojo"</f>
        <v>Borza Dojo</v>
      </c>
      <c r="L559" s="156" t="str">
        <f t="shared" si="209"/>
        <v>HUN</v>
      </c>
      <c r="M559" s="163">
        <v>0</v>
      </c>
      <c r="N559" s="158" t="s">
        <v>811</v>
      </c>
      <c r="O559" s="154" t="s">
        <v>248</v>
      </c>
      <c r="P559" s="159">
        <v>46088</v>
      </c>
      <c r="Q559" s="154" t="str">
        <f t="shared" si="210"/>
        <v>Kis Kevin Gyula - Borza Dojo</v>
      </c>
      <c r="R559" s="154" t="s">
        <v>637</v>
      </c>
      <c r="S559" s="154" t="str">
        <f t="shared" si="211"/>
        <v>Borza Dojo</v>
      </c>
      <c r="T559" s="154" t="s">
        <v>645</v>
      </c>
      <c r="U559" s="154" t="s">
        <v>799</v>
      </c>
      <c r="V559" s="154"/>
    </row>
    <row r="560" spans="1:22" s="158" customFormat="1" x14ac:dyDescent="0.3">
      <c r="A560" s="154" t="s">
        <v>776</v>
      </c>
      <c r="B560" s="155">
        <v>2</v>
      </c>
      <c r="C560" s="154">
        <v>477</v>
      </c>
      <c r="D560" s="156" t="str">
        <f t="shared" ref="D560:D572" si="212">"Kumite"</f>
        <v>Kumite</v>
      </c>
      <c r="E560" s="156" t="str">
        <f>"Kumite, -, 0-50 kg, Junior DOL (17-19"</f>
        <v>Kumite, -, 0-50 kg, Junior DOL (17-19</v>
      </c>
      <c r="F560" s="156" t="s">
        <v>504</v>
      </c>
      <c r="G560" s="157" t="str">
        <f t="shared" ref="G560:G565" si="213">"2"</f>
        <v>2</v>
      </c>
      <c r="H560" s="156" t="str">
        <f t="shared" ref="H560:H565" si="214">"2 fős egyenes kiesés"</f>
        <v>2 fős egyenes kiesés</v>
      </c>
      <c r="I560" s="157" t="str">
        <f>"1"</f>
        <v>1</v>
      </c>
      <c r="J560" s="156" t="str">
        <f>"Fekete Csenge"</f>
        <v>Fekete Csenge</v>
      </c>
      <c r="K560" s="156" t="str">
        <f>"Nozomu Dojo"</f>
        <v>Nozomu Dojo</v>
      </c>
      <c r="L560" s="156" t="str">
        <f t="shared" si="209"/>
        <v>HUN</v>
      </c>
      <c r="M560" s="163">
        <v>3</v>
      </c>
      <c r="O560" s="154" t="s">
        <v>248</v>
      </c>
      <c r="P560" s="159">
        <v>46088</v>
      </c>
      <c r="Q560" s="154" t="str">
        <f t="shared" si="210"/>
        <v>Fekete Csenge - Nozomu Dojo</v>
      </c>
      <c r="R560" s="154" t="s">
        <v>636</v>
      </c>
      <c r="S560" s="154" t="str">
        <f t="shared" si="211"/>
        <v>Nozomu Dojo</v>
      </c>
      <c r="T560" s="154" t="s">
        <v>645</v>
      </c>
      <c r="U560" s="154" t="s">
        <v>799</v>
      </c>
      <c r="V560" s="154"/>
    </row>
    <row r="561" spans="1:22" s="158" customFormat="1" x14ac:dyDescent="0.3">
      <c r="A561" s="154" t="s">
        <v>776</v>
      </c>
      <c r="B561" s="155">
        <v>2</v>
      </c>
      <c r="C561" s="154">
        <v>478</v>
      </c>
      <c r="D561" s="156" t="str">
        <f t="shared" si="212"/>
        <v>Kumite</v>
      </c>
      <c r="E561" s="156" t="str">
        <f>"Kumite, -, 0-50 kg, Junior DOL (17-19"</f>
        <v>Kumite, -, 0-50 kg, Junior DOL (17-19</v>
      </c>
      <c r="F561" s="156" t="s">
        <v>504</v>
      </c>
      <c r="G561" s="157" t="str">
        <f t="shared" si="213"/>
        <v>2</v>
      </c>
      <c r="H561" s="156" t="str">
        <f t="shared" si="214"/>
        <v>2 fős egyenes kiesés</v>
      </c>
      <c r="I561" s="157" t="str">
        <f>"2"</f>
        <v>2</v>
      </c>
      <c r="J561" s="156" t="str">
        <f>"Szanics Boglárka"</f>
        <v>Szanics Boglárka</v>
      </c>
      <c r="K561" s="156" t="str">
        <f>"Shogun"</f>
        <v>Shogun</v>
      </c>
      <c r="L561" s="156" t="str">
        <f t="shared" si="209"/>
        <v>HUN</v>
      </c>
      <c r="M561" s="163">
        <v>0</v>
      </c>
      <c r="O561" s="154" t="s">
        <v>248</v>
      </c>
      <c r="P561" s="159">
        <v>46088</v>
      </c>
      <c r="Q561" s="154" t="str">
        <f t="shared" si="210"/>
        <v>Szanics Boglárka - Shogun</v>
      </c>
      <c r="R561" s="154" t="s">
        <v>636</v>
      </c>
      <c r="S561" s="154" t="str">
        <f t="shared" si="211"/>
        <v>Shogun</v>
      </c>
      <c r="T561" s="154" t="s">
        <v>645</v>
      </c>
      <c r="U561" s="154" t="s">
        <v>799</v>
      </c>
      <c r="V561" s="154"/>
    </row>
    <row r="562" spans="1:22" s="158" customFormat="1" x14ac:dyDescent="0.3">
      <c r="A562" s="154" t="s">
        <v>776</v>
      </c>
      <c r="B562" s="155">
        <v>2</v>
      </c>
      <c r="C562" s="154">
        <v>479</v>
      </c>
      <c r="D562" s="156" t="str">
        <f t="shared" si="212"/>
        <v>Kumite</v>
      </c>
      <c r="E562" s="156" t="str">
        <f>"Kumite, -, 50-55 kg, Junior DOL (17-19"</f>
        <v>Kumite, -, 50-55 kg, Junior DOL (17-19</v>
      </c>
      <c r="F562" s="156" t="s">
        <v>505</v>
      </c>
      <c r="G562" s="157" t="str">
        <f t="shared" si="213"/>
        <v>2</v>
      </c>
      <c r="H562" s="156" t="str">
        <f t="shared" si="214"/>
        <v>2 fős egyenes kiesés</v>
      </c>
      <c r="I562" s="157" t="str">
        <f>"1"</f>
        <v>1</v>
      </c>
      <c r="J562" s="156" t="str">
        <f>"Lukács Kamilla"</f>
        <v>Lukács Kamilla</v>
      </c>
      <c r="K562" s="156" t="str">
        <f>"Victory"</f>
        <v>Victory</v>
      </c>
      <c r="L562" s="156" t="str">
        <f t="shared" si="209"/>
        <v>HUN</v>
      </c>
      <c r="M562" s="163">
        <v>3</v>
      </c>
      <c r="O562" s="154" t="s">
        <v>248</v>
      </c>
      <c r="P562" s="159">
        <v>46088</v>
      </c>
      <c r="Q562" s="154" t="str">
        <f t="shared" si="210"/>
        <v>Lukács Kamilla - Victory</v>
      </c>
      <c r="R562" s="154" t="s">
        <v>636</v>
      </c>
      <c r="S562" s="154" t="str">
        <f t="shared" si="211"/>
        <v>Victory</v>
      </c>
      <c r="T562" s="154" t="s">
        <v>645</v>
      </c>
      <c r="U562" s="154" t="s">
        <v>799</v>
      </c>
      <c r="V562" s="154"/>
    </row>
    <row r="563" spans="1:22" s="158" customFormat="1" x14ac:dyDescent="0.3">
      <c r="A563" s="154" t="s">
        <v>776</v>
      </c>
      <c r="B563" s="155">
        <v>2</v>
      </c>
      <c r="C563" s="154">
        <v>480</v>
      </c>
      <c r="D563" s="156" t="str">
        <f t="shared" si="212"/>
        <v>Kumite</v>
      </c>
      <c r="E563" s="156" t="str">
        <f>"Kumite, -, 50-55 kg, Junior DOL (17-19"</f>
        <v>Kumite, -, 50-55 kg, Junior DOL (17-19</v>
      </c>
      <c r="F563" s="156" t="s">
        <v>505</v>
      </c>
      <c r="G563" s="157" t="str">
        <f t="shared" si="213"/>
        <v>2</v>
      </c>
      <c r="H563" s="156" t="str">
        <f t="shared" si="214"/>
        <v>2 fős egyenes kiesés</v>
      </c>
      <c r="I563" s="157" t="str">
        <f>"2"</f>
        <v>2</v>
      </c>
      <c r="J563" s="156" t="str">
        <f>"Ágoston Sára"</f>
        <v>Ágoston Sára</v>
      </c>
      <c r="K563" s="156" t="str">
        <f>"KHSE"</f>
        <v>KHSE</v>
      </c>
      <c r="L563" s="156" t="str">
        <f t="shared" si="209"/>
        <v>HUN</v>
      </c>
      <c r="M563" s="163">
        <v>0</v>
      </c>
      <c r="O563" s="154" t="s">
        <v>248</v>
      </c>
      <c r="P563" s="159">
        <v>46088</v>
      </c>
      <c r="Q563" s="154" t="str">
        <f t="shared" si="210"/>
        <v>Ágoston Sára - KHSE</v>
      </c>
      <c r="R563" s="154" t="s">
        <v>636</v>
      </c>
      <c r="S563" s="154" t="str">
        <f t="shared" si="211"/>
        <v>KHSE</v>
      </c>
      <c r="T563" s="154" t="s">
        <v>645</v>
      </c>
      <c r="U563" s="154" t="s">
        <v>799</v>
      </c>
      <c r="V563" s="154"/>
    </row>
    <row r="564" spans="1:22" s="158" customFormat="1" x14ac:dyDescent="0.3">
      <c r="A564" s="154" t="s">
        <v>776</v>
      </c>
      <c r="B564" s="155">
        <v>2</v>
      </c>
      <c r="C564" s="154">
        <v>481</v>
      </c>
      <c r="D564" s="156" t="str">
        <f t="shared" si="212"/>
        <v>Kumite</v>
      </c>
      <c r="E564" s="156" t="str">
        <f>"Kumite, -, 55-60 kg, Junior DOL (17-19"</f>
        <v>Kumite, -, 55-60 kg, Junior DOL (17-19</v>
      </c>
      <c r="F564" s="156" t="s">
        <v>506</v>
      </c>
      <c r="G564" s="157" t="str">
        <f t="shared" si="213"/>
        <v>2</v>
      </c>
      <c r="H564" s="156" t="str">
        <f t="shared" si="214"/>
        <v>2 fős egyenes kiesés</v>
      </c>
      <c r="I564" s="157" t="str">
        <f>"1"</f>
        <v>1</v>
      </c>
      <c r="J564" s="156" t="str">
        <f>"Orosz Dorina"</f>
        <v>Orosz Dorina</v>
      </c>
      <c r="K564" s="156" t="str">
        <f>"Kemecse SE"</f>
        <v>Kemecse SE</v>
      </c>
      <c r="L564" s="156" t="str">
        <f t="shared" si="209"/>
        <v>HUN</v>
      </c>
      <c r="M564" s="163">
        <v>3</v>
      </c>
      <c r="O564" s="154" t="s">
        <v>248</v>
      </c>
      <c r="P564" s="159">
        <v>46088</v>
      </c>
      <c r="Q564" s="154" t="str">
        <f t="shared" si="210"/>
        <v>Orosz Dorina - Kemecse SE</v>
      </c>
      <c r="R564" s="154" t="s">
        <v>636</v>
      </c>
      <c r="S564" s="154" t="str">
        <f t="shared" si="211"/>
        <v>Kemecse SE</v>
      </c>
      <c r="T564" s="154" t="s">
        <v>645</v>
      </c>
      <c r="U564" s="154" t="s">
        <v>799</v>
      </c>
      <c r="V564" s="154"/>
    </row>
    <row r="565" spans="1:22" s="158" customFormat="1" x14ac:dyDescent="0.3">
      <c r="A565" s="154" t="s">
        <v>776</v>
      </c>
      <c r="B565" s="155">
        <v>2</v>
      </c>
      <c r="C565" s="154">
        <v>482</v>
      </c>
      <c r="D565" s="156" t="str">
        <f t="shared" si="212"/>
        <v>Kumite</v>
      </c>
      <c r="E565" s="156" t="str">
        <f>"Kumite, -, 55-60 kg, Junior DOL (17-19"</f>
        <v>Kumite, -, 55-60 kg, Junior DOL (17-19</v>
      </c>
      <c r="F565" s="156" t="s">
        <v>506</v>
      </c>
      <c r="G565" s="157" t="str">
        <f t="shared" si="213"/>
        <v>2</v>
      </c>
      <c r="H565" s="156" t="str">
        <f t="shared" si="214"/>
        <v>2 fős egyenes kiesés</v>
      </c>
      <c r="I565" s="157" t="str">
        <f>"2"</f>
        <v>2</v>
      </c>
      <c r="J565" s="156" t="str">
        <f>"Gál Regina"</f>
        <v>Gál Regina</v>
      </c>
      <c r="K565" s="156" t="str">
        <f>"Derecske BUDO"</f>
        <v>Derecske BUDO</v>
      </c>
      <c r="L565" s="156" t="str">
        <f t="shared" si="209"/>
        <v>HUN</v>
      </c>
      <c r="M565" s="163">
        <v>0</v>
      </c>
      <c r="O565" s="154" t="s">
        <v>248</v>
      </c>
      <c r="P565" s="159">
        <v>46088</v>
      </c>
      <c r="Q565" s="154" t="str">
        <f t="shared" si="210"/>
        <v>Gál Regina - Derecske BUDO</v>
      </c>
      <c r="R565" s="154" t="s">
        <v>636</v>
      </c>
      <c r="S565" s="154" t="str">
        <f t="shared" si="211"/>
        <v>Derecske BUDO</v>
      </c>
      <c r="T565" s="154" t="s">
        <v>645</v>
      </c>
      <c r="U565" s="154" t="s">
        <v>799</v>
      </c>
      <c r="V565" s="154"/>
    </row>
    <row r="566" spans="1:22" s="158" customFormat="1" x14ac:dyDescent="0.3">
      <c r="A566" s="154" t="s">
        <v>776</v>
      </c>
      <c r="B566" s="155">
        <v>2</v>
      </c>
      <c r="C566" s="154">
        <v>483</v>
      </c>
      <c r="D566" s="156" t="str">
        <f t="shared" si="212"/>
        <v>Kumite</v>
      </c>
      <c r="E566" s="156" t="str">
        <f>"Kumite, -, 60-65 kg, Junior DOL (17-19"</f>
        <v>Kumite, -, 60-65 kg, Junior DOL (17-19</v>
      </c>
      <c r="F566" s="156" t="s">
        <v>507</v>
      </c>
      <c r="G566" s="157" t="str">
        <f>"5"</f>
        <v>5</v>
      </c>
      <c r="H566" s="156" t="str">
        <f>"5 fős körmérkőzés"</f>
        <v>5 fős körmérkőzés</v>
      </c>
      <c r="I566" s="157" t="str">
        <f>"1"</f>
        <v>1</v>
      </c>
      <c r="J566" s="156" t="str">
        <f>"Éles Léna Hanna"</f>
        <v>Éles Léna Hanna</v>
      </c>
      <c r="K566" s="156" t="str">
        <f>"Victory"</f>
        <v>Victory</v>
      </c>
      <c r="L566" s="156" t="str">
        <f t="shared" si="209"/>
        <v>HUN</v>
      </c>
      <c r="M566" s="163">
        <v>8</v>
      </c>
      <c r="O566" s="154" t="s">
        <v>248</v>
      </c>
      <c r="P566" s="159">
        <v>46088</v>
      </c>
      <c r="Q566" s="154" t="str">
        <f t="shared" si="210"/>
        <v>Éles Léna Hanna - Victory</v>
      </c>
      <c r="R566" s="154" t="s">
        <v>636</v>
      </c>
      <c r="S566" s="154" t="str">
        <f t="shared" si="211"/>
        <v>Victory</v>
      </c>
      <c r="T566" s="154" t="s">
        <v>645</v>
      </c>
      <c r="U566" s="154" t="s">
        <v>799</v>
      </c>
      <c r="V566" s="154"/>
    </row>
    <row r="567" spans="1:22" s="158" customFormat="1" x14ac:dyDescent="0.3">
      <c r="A567" s="154" t="s">
        <v>776</v>
      </c>
      <c r="B567" s="155">
        <v>2</v>
      </c>
      <c r="C567" s="154">
        <v>493</v>
      </c>
      <c r="D567" s="156" t="str">
        <f>"Kumite"</f>
        <v>Kumite</v>
      </c>
      <c r="E567" s="156" t="str">
        <f>"Kumite, -, 60-65 kg, Junior DOL (17-19"</f>
        <v>Kumite, -, 60-65 kg, Junior DOL (17-19</v>
      </c>
      <c r="F567" s="156" t="s">
        <v>507</v>
      </c>
      <c r="G567" s="157" t="str">
        <f>"5"</f>
        <v>5</v>
      </c>
      <c r="H567" s="156" t="str">
        <f>"5 fős körmérkőzés"</f>
        <v>5 fős körmérkőzés</v>
      </c>
      <c r="I567" s="157" t="str">
        <f>"2"</f>
        <v>2</v>
      </c>
      <c r="J567" s="156" t="str">
        <f>"Rácz Viktória"</f>
        <v>Rácz Viktória</v>
      </c>
      <c r="K567" s="156" t="str">
        <f>"Shogun"</f>
        <v>Shogun</v>
      </c>
      <c r="L567" s="156" t="str">
        <f t="shared" si="209"/>
        <v>HUN</v>
      </c>
      <c r="M567" s="163">
        <v>6</v>
      </c>
      <c r="O567" s="154" t="s">
        <v>248</v>
      </c>
      <c r="P567" s="159">
        <v>46088</v>
      </c>
      <c r="Q567" s="154" t="str">
        <f>J567&amp;" - "&amp;K567</f>
        <v>Rácz Viktória - Shogun</v>
      </c>
      <c r="R567" s="154" t="s">
        <v>636</v>
      </c>
      <c r="S567" s="154" t="str">
        <f>K567</f>
        <v>Shogun</v>
      </c>
      <c r="T567" s="154" t="s">
        <v>645</v>
      </c>
      <c r="U567" s="154" t="s">
        <v>799</v>
      </c>
      <c r="V567" s="154"/>
    </row>
    <row r="568" spans="1:22" s="158" customFormat="1" x14ac:dyDescent="0.3">
      <c r="A568" s="154" t="s">
        <v>776</v>
      </c>
      <c r="B568" s="155">
        <v>2</v>
      </c>
      <c r="C568" s="154">
        <v>484</v>
      </c>
      <c r="D568" s="156" t="str">
        <f t="shared" si="212"/>
        <v>Kumite</v>
      </c>
      <c r="E568" s="156" t="str">
        <f>"Kumite, -, 60-65 kg, Junior DOL (17-19"</f>
        <v>Kumite, -, 60-65 kg, Junior DOL (17-19</v>
      </c>
      <c r="F568" s="156" t="s">
        <v>507</v>
      </c>
      <c r="G568" s="157" t="str">
        <f>"5"</f>
        <v>5</v>
      </c>
      <c r="H568" s="156" t="str">
        <f>"5 fős körmérkőzés"</f>
        <v>5 fős körmérkőzés</v>
      </c>
      <c r="I568" s="157" t="str">
        <f>"3"</f>
        <v>3</v>
      </c>
      <c r="J568" s="156" t="str">
        <f>"Szutor Anna"</f>
        <v>Szutor Anna</v>
      </c>
      <c r="K568" s="156" t="str">
        <f>"Shogun"</f>
        <v>Shogun</v>
      </c>
      <c r="L568" s="156" t="str">
        <f t="shared" si="209"/>
        <v>HUN</v>
      </c>
      <c r="M568" s="163">
        <v>4</v>
      </c>
      <c r="O568" s="154" t="s">
        <v>248</v>
      </c>
      <c r="P568" s="159">
        <v>46088</v>
      </c>
      <c r="Q568" s="154" t="str">
        <f t="shared" ref="Q568" si="215">J568&amp;" - "&amp;K568</f>
        <v>Szutor Anna - Shogun</v>
      </c>
      <c r="R568" s="154" t="s">
        <v>636</v>
      </c>
      <c r="S568" s="154" t="str">
        <f t="shared" ref="S568" si="216">K568</f>
        <v>Shogun</v>
      </c>
      <c r="T568" s="154" t="s">
        <v>645</v>
      </c>
      <c r="U568" s="154" t="s">
        <v>799</v>
      </c>
      <c r="V568" s="154"/>
    </row>
    <row r="569" spans="1:22" s="158" customFormat="1" x14ac:dyDescent="0.3">
      <c r="A569" s="154" t="s">
        <v>776</v>
      </c>
      <c r="B569" s="155">
        <v>2</v>
      </c>
      <c r="C569" s="154">
        <v>484</v>
      </c>
      <c r="D569" s="156" t="str">
        <f t="shared" si="212"/>
        <v>Kumite</v>
      </c>
      <c r="E569" s="156" t="str">
        <f>"Kumite, -, 60-65 kg, Junior DOL (17-19"</f>
        <v>Kumite, -, 60-65 kg, Junior DOL (17-19</v>
      </c>
      <c r="F569" s="156" t="s">
        <v>507</v>
      </c>
      <c r="G569" s="157" t="str">
        <f>"5"</f>
        <v>5</v>
      </c>
      <c r="H569" s="156" t="str">
        <f>"5 fős körmérkőzés"</f>
        <v>5 fős körmérkőzés</v>
      </c>
      <c r="I569" s="157">
        <v>4</v>
      </c>
      <c r="J569" s="156" t="s">
        <v>808</v>
      </c>
      <c r="K569" s="156" t="s">
        <v>35</v>
      </c>
      <c r="L569" s="156" t="str">
        <f t="shared" si="209"/>
        <v>HUN</v>
      </c>
      <c r="M569" s="163">
        <v>3</v>
      </c>
      <c r="O569" s="154" t="s">
        <v>248</v>
      </c>
      <c r="P569" s="159">
        <v>46088</v>
      </c>
      <c r="Q569" s="154" t="str">
        <f t="shared" si="210"/>
        <v>Józsa Erika - KHSE</v>
      </c>
      <c r="R569" s="154" t="s">
        <v>636</v>
      </c>
      <c r="S569" s="154" t="str">
        <f t="shared" si="211"/>
        <v>KHSE</v>
      </c>
      <c r="T569" s="154" t="s">
        <v>645</v>
      </c>
      <c r="U569" s="154" t="s">
        <v>799</v>
      </c>
      <c r="V569" s="154"/>
    </row>
    <row r="570" spans="1:22" s="158" customFormat="1" x14ac:dyDescent="0.3">
      <c r="A570" s="154" t="s">
        <v>776</v>
      </c>
      <c r="B570" s="155">
        <v>2</v>
      </c>
      <c r="C570" s="154">
        <v>485</v>
      </c>
      <c r="D570" s="156" t="str">
        <f t="shared" si="212"/>
        <v>Kumite</v>
      </c>
      <c r="E570" s="156" t="str">
        <f>"Kumite, -, 65-199 kg, Junior DOL (17-19"</f>
        <v>Kumite, -, 65-199 kg, Junior DOL (17-19</v>
      </c>
      <c r="F570" s="156" t="s">
        <v>508</v>
      </c>
      <c r="G570" s="157" t="str">
        <f>"4"</f>
        <v>4</v>
      </c>
      <c r="H570" s="156" t="str">
        <f>"4 fős körmérkőzés"</f>
        <v>4 fős körmérkőzés</v>
      </c>
      <c r="I570" s="157" t="str">
        <f>"1"</f>
        <v>1</v>
      </c>
      <c r="J570" s="156" t="str">
        <f>"Vórincsák Vivien"</f>
        <v>Vórincsák Vivien</v>
      </c>
      <c r="K570" s="156" t="str">
        <f>"KHSE"</f>
        <v>KHSE</v>
      </c>
      <c r="L570" s="156" t="str">
        <f t="shared" si="209"/>
        <v>HUN</v>
      </c>
      <c r="M570" s="163">
        <v>6</v>
      </c>
      <c r="O570" s="154" t="s">
        <v>248</v>
      </c>
      <c r="P570" s="159">
        <v>46088</v>
      </c>
      <c r="Q570" s="154" t="str">
        <f t="shared" si="210"/>
        <v>Vórincsák Vivien - KHSE</v>
      </c>
      <c r="R570" s="154" t="s">
        <v>636</v>
      </c>
      <c r="S570" s="154" t="str">
        <f t="shared" si="211"/>
        <v>KHSE</v>
      </c>
      <c r="T570" s="154" t="s">
        <v>645</v>
      </c>
      <c r="U570" s="154" t="s">
        <v>799</v>
      </c>
      <c r="V570" s="154"/>
    </row>
    <row r="571" spans="1:22" s="158" customFormat="1" x14ac:dyDescent="0.3">
      <c r="A571" s="154" t="s">
        <v>776</v>
      </c>
      <c r="B571" s="155">
        <v>2</v>
      </c>
      <c r="C571" s="154">
        <v>486</v>
      </c>
      <c r="D571" s="156" t="str">
        <f t="shared" si="212"/>
        <v>Kumite</v>
      </c>
      <c r="E571" s="156" t="str">
        <f>"Kumite, -, 65-199 kg, Junior DOL (17-19"</f>
        <v>Kumite, -, 65-199 kg, Junior DOL (17-19</v>
      </c>
      <c r="F571" s="156" t="s">
        <v>508</v>
      </c>
      <c r="G571" s="157" t="str">
        <f>"4"</f>
        <v>4</v>
      </c>
      <c r="H571" s="156" t="str">
        <f>"4 fős körmérkőzés"</f>
        <v>4 fős körmérkőzés</v>
      </c>
      <c r="I571" s="157" t="str">
        <f>"2"</f>
        <v>2</v>
      </c>
      <c r="J571" s="156" t="str">
        <f>"Ecsedi Réka"</f>
        <v>Ecsedi Réka</v>
      </c>
      <c r="K571" s="156" t="str">
        <f>"KHSE"</f>
        <v>KHSE</v>
      </c>
      <c r="L571" s="156" t="str">
        <f t="shared" si="209"/>
        <v>HUN</v>
      </c>
      <c r="M571" s="163">
        <v>5</v>
      </c>
      <c r="O571" s="154" t="s">
        <v>248</v>
      </c>
      <c r="P571" s="159">
        <v>46088</v>
      </c>
      <c r="Q571" s="154" t="str">
        <f t="shared" si="210"/>
        <v>Ecsedi Réka - KHSE</v>
      </c>
      <c r="R571" s="154" t="s">
        <v>636</v>
      </c>
      <c r="S571" s="154" t="str">
        <f t="shared" si="211"/>
        <v>KHSE</v>
      </c>
      <c r="T571" s="154" t="s">
        <v>645</v>
      </c>
      <c r="U571" s="154" t="s">
        <v>799</v>
      </c>
      <c r="V571" s="154"/>
    </row>
    <row r="572" spans="1:22" s="158" customFormat="1" x14ac:dyDescent="0.3">
      <c r="A572" s="154" t="s">
        <v>776</v>
      </c>
      <c r="B572" s="155">
        <v>2</v>
      </c>
      <c r="C572" s="154">
        <v>487</v>
      </c>
      <c r="D572" s="156" t="str">
        <f t="shared" si="212"/>
        <v>Kumite</v>
      </c>
      <c r="E572" s="156" t="str">
        <f>"Kumite, -, 65-199 kg, Junior DOL (17-19"</f>
        <v>Kumite, -, 65-199 kg, Junior DOL (17-19</v>
      </c>
      <c r="F572" s="156" t="s">
        <v>508</v>
      </c>
      <c r="G572" s="157" t="str">
        <f>"4"</f>
        <v>4</v>
      </c>
      <c r="H572" s="156" t="str">
        <f>"4 fős körmérkőzés"</f>
        <v>4 fős körmérkőzés</v>
      </c>
      <c r="I572" s="157" t="str">
        <f>"3"</f>
        <v>3</v>
      </c>
      <c r="J572" s="156" t="str">
        <f>"Szabó Petra"</f>
        <v>Szabó Petra</v>
      </c>
      <c r="K572" s="156" t="str">
        <f>"Shogun"</f>
        <v>Shogun</v>
      </c>
      <c r="L572" s="156" t="str">
        <f t="shared" si="209"/>
        <v>HUN</v>
      </c>
      <c r="M572" s="163">
        <v>3</v>
      </c>
      <c r="O572" s="154" t="s">
        <v>248</v>
      </c>
      <c r="P572" s="159">
        <v>46088</v>
      </c>
      <c r="Q572" s="154" t="str">
        <f t="shared" si="210"/>
        <v>Szabó Petra - Shogun</v>
      </c>
      <c r="R572" s="154" t="s">
        <v>636</v>
      </c>
      <c r="S572" s="154" t="str">
        <f t="shared" si="211"/>
        <v>Shogun</v>
      </c>
      <c r="T572" s="154" t="s">
        <v>645</v>
      </c>
      <c r="U572" s="154" t="s">
        <v>799</v>
      </c>
      <c r="V572" s="154"/>
    </row>
    <row r="573" spans="1:22" s="158" customFormat="1" x14ac:dyDescent="0.3">
      <c r="A573" s="154" t="s">
        <v>776</v>
      </c>
      <c r="B573" s="155">
        <v>2</v>
      </c>
      <c r="C573" s="154">
        <v>494</v>
      </c>
      <c r="D573" s="156" t="str">
        <f t="shared" ref="D573:D579" si="217">"Kata"</f>
        <v>Kata</v>
      </c>
      <c r="E573" s="156" t="str">
        <f t="shared" ref="E573:E579" si="218">"Kata, -, 0-170 kg, Junior DOL (17-19"</f>
        <v>Kata, -, 0-170 kg, Junior DOL (17-19</v>
      </c>
      <c r="F573" s="156" t="s">
        <v>503</v>
      </c>
      <c r="G573" s="157" t="str">
        <f t="shared" ref="G573:G579" si="219">"6"</f>
        <v>6</v>
      </c>
      <c r="H573" s="156" t="str">
        <f t="shared" ref="H573:H579" si="220">"8 fős egyenes kiesés + 3. hely"</f>
        <v>8 fős egyenes kiesés + 3. hely</v>
      </c>
      <c r="I573" s="157" t="str">
        <f>"1"</f>
        <v>1</v>
      </c>
      <c r="J573" s="156" t="str">
        <f>"Rácz Viktória"</f>
        <v>Rácz Viktória</v>
      </c>
      <c r="K573" s="156" t="str">
        <f>"Shogun"</f>
        <v>Shogun</v>
      </c>
      <c r="L573" s="156" t="str">
        <f t="shared" si="209"/>
        <v>HUN</v>
      </c>
      <c r="M573" s="163">
        <v>5</v>
      </c>
      <c r="N573" s="158" t="s">
        <v>811</v>
      </c>
      <c r="O573" s="154" t="s">
        <v>248</v>
      </c>
      <c r="P573" s="159">
        <v>46088</v>
      </c>
      <c r="Q573" s="154" t="str">
        <f>J573&amp;" - "&amp;K573</f>
        <v>Rácz Viktória - Shogun</v>
      </c>
      <c r="R573" s="154" t="s">
        <v>636</v>
      </c>
      <c r="S573" s="154" t="str">
        <f>K573</f>
        <v>Shogun</v>
      </c>
      <c r="T573" s="154" t="s">
        <v>645</v>
      </c>
      <c r="U573" s="154" t="s">
        <v>799</v>
      </c>
      <c r="V573" s="154"/>
    </row>
    <row r="574" spans="1:22" s="158" customFormat="1" x14ac:dyDescent="0.3">
      <c r="A574" s="154" t="s">
        <v>776</v>
      </c>
      <c r="B574" s="155">
        <v>2</v>
      </c>
      <c r="C574" s="154">
        <v>488</v>
      </c>
      <c r="D574" s="156" t="str">
        <f t="shared" si="217"/>
        <v>Kata</v>
      </c>
      <c r="E574" s="156" t="str">
        <f t="shared" si="218"/>
        <v>Kata, -, 0-170 kg, Junior DOL (17-19</v>
      </c>
      <c r="F574" s="156" t="s">
        <v>503</v>
      </c>
      <c r="G574" s="157" t="str">
        <f t="shared" si="219"/>
        <v>6</v>
      </c>
      <c r="H574" s="156" t="str">
        <f t="shared" si="220"/>
        <v>8 fős egyenes kiesés + 3. hely</v>
      </c>
      <c r="I574" s="157" t="str">
        <f>"2"</f>
        <v>2</v>
      </c>
      <c r="J574" s="156" t="str">
        <f>"Gerő Hanna Gréta"</f>
        <v>Gerő Hanna Gréta</v>
      </c>
      <c r="K574" s="156" t="str">
        <f>"Kagami"</f>
        <v>Kagami</v>
      </c>
      <c r="L574" s="156" t="str">
        <f t="shared" si="209"/>
        <v>HUN</v>
      </c>
      <c r="M574" s="163">
        <v>4</v>
      </c>
      <c r="N574" s="158" t="s">
        <v>811</v>
      </c>
      <c r="O574" s="154" t="s">
        <v>248</v>
      </c>
      <c r="P574" s="159">
        <v>46088</v>
      </c>
      <c r="Q574" s="154" t="str">
        <f t="shared" si="210"/>
        <v>Gerő Hanna Gréta - Kagami</v>
      </c>
      <c r="R574" s="154" t="s">
        <v>636</v>
      </c>
      <c r="S574" s="154" t="str">
        <f t="shared" si="211"/>
        <v>Kagami</v>
      </c>
      <c r="T574" s="154" t="s">
        <v>645</v>
      </c>
      <c r="U574" s="154" t="s">
        <v>799</v>
      </c>
      <c r="V574" s="154"/>
    </row>
    <row r="575" spans="1:22" s="158" customFormat="1" x14ac:dyDescent="0.3">
      <c r="A575" s="154" t="s">
        <v>776</v>
      </c>
      <c r="B575" s="155">
        <v>2</v>
      </c>
      <c r="C575" s="154">
        <v>495</v>
      </c>
      <c r="D575" s="156" t="str">
        <f t="shared" si="217"/>
        <v>Kata</v>
      </c>
      <c r="E575" s="156" t="str">
        <f t="shared" si="218"/>
        <v>Kata, -, 0-170 kg, Junior DOL (17-19</v>
      </c>
      <c r="F575" s="156" t="s">
        <v>503</v>
      </c>
      <c r="G575" s="157" t="str">
        <f t="shared" si="219"/>
        <v>6</v>
      </c>
      <c r="H575" s="156" t="str">
        <f t="shared" si="220"/>
        <v>8 fős egyenes kiesés + 3. hely</v>
      </c>
      <c r="I575" s="157" t="str">
        <f>"3"</f>
        <v>3</v>
      </c>
      <c r="J575" s="156" t="str">
        <f>"Sólyom Gréta"</f>
        <v>Sólyom Gréta</v>
      </c>
      <c r="K575" s="156" t="str">
        <f>"Shogun"</f>
        <v>Shogun</v>
      </c>
      <c r="L575" s="156" t="str">
        <f t="shared" si="209"/>
        <v>HUN</v>
      </c>
      <c r="M575" s="163">
        <v>2</v>
      </c>
      <c r="N575" s="158" t="s">
        <v>811</v>
      </c>
      <c r="O575" s="154" t="s">
        <v>248</v>
      </c>
      <c r="P575" s="159">
        <v>46088</v>
      </c>
      <c r="Q575" s="154" t="str">
        <f t="shared" ref="Q575:Q576" si="221">J575&amp;" - "&amp;K575</f>
        <v>Sólyom Gréta - Shogun</v>
      </c>
      <c r="R575" s="154" t="s">
        <v>636</v>
      </c>
      <c r="S575" s="154" t="str">
        <f t="shared" ref="S575:S576" si="222">K575</f>
        <v>Shogun</v>
      </c>
      <c r="T575" s="154" t="s">
        <v>645</v>
      </c>
      <c r="U575" s="154" t="s">
        <v>799</v>
      </c>
      <c r="V575" s="154"/>
    </row>
    <row r="576" spans="1:22" s="158" customFormat="1" x14ac:dyDescent="0.3">
      <c r="A576" s="154" t="s">
        <v>776</v>
      </c>
      <c r="B576" s="155">
        <v>2</v>
      </c>
      <c r="C576" s="154">
        <v>496</v>
      </c>
      <c r="D576" s="156" t="str">
        <f t="shared" si="217"/>
        <v>Kata</v>
      </c>
      <c r="E576" s="156" t="str">
        <f t="shared" si="218"/>
        <v>Kata, -, 0-170 kg, Junior DOL (17-19</v>
      </c>
      <c r="F576" s="156" t="s">
        <v>503</v>
      </c>
      <c r="G576" s="157" t="str">
        <f t="shared" si="219"/>
        <v>6</v>
      </c>
      <c r="H576" s="156" t="str">
        <f t="shared" si="220"/>
        <v>8 fős egyenes kiesés + 3. hely</v>
      </c>
      <c r="I576" s="157" t="str">
        <f>"4"</f>
        <v>4</v>
      </c>
      <c r="J576" s="156" t="str">
        <f>"Arnódi Gréta Bernadette"</f>
        <v>Arnódi Gréta Bernadette</v>
      </c>
      <c r="K576" s="156" t="str">
        <f>"Kagami"</f>
        <v>Kagami</v>
      </c>
      <c r="L576" s="156" t="str">
        <f t="shared" si="209"/>
        <v>HUN</v>
      </c>
      <c r="M576" s="163">
        <v>0</v>
      </c>
      <c r="N576" s="158" t="s">
        <v>811</v>
      </c>
      <c r="O576" s="154" t="s">
        <v>248</v>
      </c>
      <c r="P576" s="159">
        <v>46088</v>
      </c>
      <c r="Q576" s="154" t="str">
        <f t="shared" si="221"/>
        <v>Arnódi Gréta Bernadette - Kagami</v>
      </c>
      <c r="R576" s="154" t="s">
        <v>636</v>
      </c>
      <c r="S576" s="154" t="str">
        <f t="shared" si="222"/>
        <v>Kagami</v>
      </c>
      <c r="T576" s="154" t="s">
        <v>645</v>
      </c>
      <c r="U576" s="154" t="s">
        <v>799</v>
      </c>
      <c r="V576" s="154"/>
    </row>
    <row r="577" spans="1:22" s="158" customFormat="1" x14ac:dyDescent="0.3">
      <c r="A577" s="154" t="s">
        <v>776</v>
      </c>
      <c r="B577" s="155">
        <v>2</v>
      </c>
      <c r="C577" s="154">
        <v>489</v>
      </c>
      <c r="D577" s="156" t="str">
        <f t="shared" si="217"/>
        <v>Kata</v>
      </c>
      <c r="E577" s="156" t="str">
        <f t="shared" si="218"/>
        <v>Kata, -, 0-170 kg, Junior DOL (17-19</v>
      </c>
      <c r="F577" s="156" t="s">
        <v>503</v>
      </c>
      <c r="G577" s="157" t="str">
        <f t="shared" si="219"/>
        <v>6</v>
      </c>
      <c r="H577" s="156" t="str">
        <f t="shared" si="220"/>
        <v>8 fős egyenes kiesés + 3. hely</v>
      </c>
      <c r="I577" s="157" t="str">
        <f>"5"</f>
        <v>5</v>
      </c>
      <c r="J577" s="156" t="str">
        <f>"Szutor Anna"</f>
        <v>Szutor Anna</v>
      </c>
      <c r="K577" s="156" t="str">
        <f>"Shogun"</f>
        <v>Shogun</v>
      </c>
      <c r="L577" s="156" t="str">
        <f t="shared" si="209"/>
        <v>HUN</v>
      </c>
      <c r="M577" s="163">
        <v>0</v>
      </c>
      <c r="N577" s="158" t="s">
        <v>811</v>
      </c>
      <c r="O577" s="154" t="s">
        <v>248</v>
      </c>
      <c r="P577" s="159">
        <v>46088</v>
      </c>
      <c r="Q577" s="154" t="str">
        <f t="shared" si="210"/>
        <v>Szutor Anna - Shogun</v>
      </c>
      <c r="R577" s="154" t="s">
        <v>636</v>
      </c>
      <c r="S577" s="154" t="str">
        <f t="shared" si="211"/>
        <v>Shogun</v>
      </c>
      <c r="T577" s="154" t="s">
        <v>645</v>
      </c>
      <c r="U577" s="154" t="s">
        <v>799</v>
      </c>
      <c r="V577" s="154"/>
    </row>
    <row r="578" spans="1:22" s="158" customFormat="1" x14ac:dyDescent="0.3">
      <c r="A578" s="154" t="s">
        <v>776</v>
      </c>
      <c r="B578" s="155">
        <v>2</v>
      </c>
      <c r="C578" s="154">
        <v>490</v>
      </c>
      <c r="D578" s="156" t="str">
        <f t="shared" si="217"/>
        <v>Kata</v>
      </c>
      <c r="E578" s="156" t="str">
        <f t="shared" si="218"/>
        <v>Kata, -, 0-170 kg, Junior DOL (17-19</v>
      </c>
      <c r="F578" s="156" t="s">
        <v>503</v>
      </c>
      <c r="G578" s="157" t="str">
        <f t="shared" si="219"/>
        <v>6</v>
      </c>
      <c r="H578" s="156" t="str">
        <f t="shared" si="220"/>
        <v>8 fős egyenes kiesés + 3. hely</v>
      </c>
      <c r="I578" s="157" t="str">
        <f>"7-8"</f>
        <v>7-8</v>
      </c>
      <c r="J578" s="156" t="str">
        <f>"Orosz Dorina"</f>
        <v>Orosz Dorina</v>
      </c>
      <c r="K578" s="156" t="str">
        <f>"Kemecse SE"</f>
        <v>Kemecse SE</v>
      </c>
      <c r="L578" s="156" t="str">
        <f t="shared" si="209"/>
        <v>HUN</v>
      </c>
      <c r="M578" s="163">
        <v>0</v>
      </c>
      <c r="N578" s="158" t="s">
        <v>811</v>
      </c>
      <c r="O578" s="154" t="s">
        <v>248</v>
      </c>
      <c r="P578" s="159">
        <v>46088</v>
      </c>
      <c r="Q578" s="154" t="str">
        <f t="shared" si="210"/>
        <v>Orosz Dorina - Kemecse SE</v>
      </c>
      <c r="R578" s="154" t="s">
        <v>636</v>
      </c>
      <c r="S578" s="154" t="str">
        <f t="shared" si="211"/>
        <v>Kemecse SE</v>
      </c>
      <c r="T578" s="154" t="s">
        <v>645</v>
      </c>
      <c r="U578" s="154" t="s">
        <v>799</v>
      </c>
      <c r="V578" s="154"/>
    </row>
    <row r="579" spans="1:22" s="158" customFormat="1" x14ac:dyDescent="0.3">
      <c r="A579" s="154" t="s">
        <v>776</v>
      </c>
      <c r="B579" s="155">
        <v>2</v>
      </c>
      <c r="C579" s="154">
        <v>492</v>
      </c>
      <c r="D579" s="156" t="str">
        <f t="shared" si="217"/>
        <v>Kata</v>
      </c>
      <c r="E579" s="156" t="str">
        <f t="shared" si="218"/>
        <v>Kata, -, 0-170 kg, Junior DOL (17-19</v>
      </c>
      <c r="F579" s="156" t="s">
        <v>502</v>
      </c>
      <c r="G579" s="157" t="str">
        <f t="shared" si="219"/>
        <v>6</v>
      </c>
      <c r="H579" s="156" t="str">
        <f t="shared" si="220"/>
        <v>8 fős egyenes kiesés + 3. hely</v>
      </c>
      <c r="I579" s="157" t="str">
        <f>"7-8"</f>
        <v>7-8</v>
      </c>
      <c r="J579" s="156" t="str">
        <f>"Takács-Sárkány Zalán"</f>
        <v>Takács-Sárkány Zalán</v>
      </c>
      <c r="K579" s="156" t="str">
        <f>"KHSE"</f>
        <v>KHSE</v>
      </c>
      <c r="L579" s="156" t="str">
        <f t="shared" si="209"/>
        <v>HUN</v>
      </c>
      <c r="M579" s="163">
        <v>0</v>
      </c>
      <c r="N579" s="158" t="s">
        <v>811</v>
      </c>
      <c r="O579" s="154" t="s">
        <v>248</v>
      </c>
      <c r="P579" s="159">
        <v>46088</v>
      </c>
      <c r="Q579" s="154" t="str">
        <f t="shared" si="210"/>
        <v>Takács-Sárkány Zalán - KHSE</v>
      </c>
      <c r="R579" s="154" t="s">
        <v>636</v>
      </c>
      <c r="S579" s="154" t="str">
        <f t="shared" si="211"/>
        <v>KHSE</v>
      </c>
      <c r="T579" s="154" t="s">
        <v>645</v>
      </c>
      <c r="U579" s="154" t="s">
        <v>799</v>
      </c>
      <c r="V579" s="154"/>
    </row>
    <row r="580" spans="1:22" s="158" customFormat="1" x14ac:dyDescent="0.3">
      <c r="A580" s="154" t="s">
        <v>777</v>
      </c>
      <c r="B580" s="155" t="s">
        <v>154</v>
      </c>
      <c r="C580" s="154">
        <v>498</v>
      </c>
      <c r="D580" s="156" t="str">
        <f t="shared" ref="D580:D610" si="223">"Kumite"</f>
        <v>Kumite</v>
      </c>
      <c r="E580" s="156" t="str">
        <f t="shared" ref="E580:E590" si="224">"Kumite, -, 0-30 kg, Gyerek 1. (9-10"</f>
        <v>Kumite, -, 0-30 kg, Gyerek 1. (9-10</v>
      </c>
      <c r="F580" s="156" t="s">
        <v>509</v>
      </c>
      <c r="G580" s="157" t="str">
        <f t="shared" ref="G580:G601" si="225">"11"</f>
        <v>11</v>
      </c>
      <c r="H580" s="156" t="str">
        <f t="shared" ref="H580:H610" si="226">"16 fős egyenes kiesés"</f>
        <v>16 fős egyenes kiesés</v>
      </c>
      <c r="I580" s="157" t="str">
        <f>"1"</f>
        <v>1</v>
      </c>
      <c r="J580" s="156" t="str">
        <f>"Szlivka Botond Csaba"</f>
        <v>Szlivka Botond Csaba</v>
      </c>
      <c r="K580" s="156" t="str">
        <f>"Shogun"</f>
        <v>Shogun</v>
      </c>
      <c r="L580" s="156" t="str">
        <f t="shared" ref="L580:L643" si="227">"HUN"</f>
        <v>HUN</v>
      </c>
      <c r="M580" s="163">
        <v>10</v>
      </c>
      <c r="O580" s="154" t="s">
        <v>410</v>
      </c>
      <c r="P580" s="159">
        <v>46103</v>
      </c>
      <c r="Q580" s="154" t="str">
        <f t="shared" ref="Q580:Q643" si="228">J580&amp;" - "&amp;K580</f>
        <v>Szlivka Botond Csaba - Shogun</v>
      </c>
      <c r="R580" s="154" t="s">
        <v>636</v>
      </c>
      <c r="S580" s="154" t="str">
        <f t="shared" ref="S580:S643" si="229">K580</f>
        <v>Shogun</v>
      </c>
      <c r="T580" s="154" t="s">
        <v>645</v>
      </c>
      <c r="U580" s="154" t="s">
        <v>796</v>
      </c>
      <c r="V580" s="154"/>
    </row>
    <row r="581" spans="1:22" s="158" customFormat="1" x14ac:dyDescent="0.3">
      <c r="A581" s="154" t="s">
        <v>777</v>
      </c>
      <c r="B581" s="155" t="s">
        <v>154</v>
      </c>
      <c r="C581" s="154">
        <v>499</v>
      </c>
      <c r="D581" s="156" t="str">
        <f t="shared" si="223"/>
        <v>Kumite</v>
      </c>
      <c r="E581" s="156" t="str">
        <f t="shared" si="224"/>
        <v>Kumite, -, 0-30 kg, Gyerek 1. (9-10</v>
      </c>
      <c r="F581" s="156" t="s">
        <v>509</v>
      </c>
      <c r="G581" s="157" t="str">
        <f t="shared" si="225"/>
        <v>11</v>
      </c>
      <c r="H581" s="156" t="str">
        <f t="shared" si="226"/>
        <v>16 fős egyenes kiesés</v>
      </c>
      <c r="I581" s="157" t="str">
        <f>"2"</f>
        <v>2</v>
      </c>
      <c r="J581" s="156" t="str">
        <f>"Vámosi Juhász Ádám"</f>
        <v>Vámosi Juhász Ádám</v>
      </c>
      <c r="K581" s="156" t="str">
        <f>"Nagykátai Bushido SE"</f>
        <v>Nagykátai Bushido SE</v>
      </c>
      <c r="L581" s="156" t="str">
        <f t="shared" si="227"/>
        <v>HUN</v>
      </c>
      <c r="M581" s="163">
        <v>8</v>
      </c>
      <c r="O581" s="154" t="s">
        <v>410</v>
      </c>
      <c r="P581" s="159">
        <v>46103</v>
      </c>
      <c r="Q581" s="154" t="str">
        <f t="shared" si="228"/>
        <v>Vámosi Juhász Ádám - Nagykátai Bushido SE</v>
      </c>
      <c r="R581" s="154" t="s">
        <v>636</v>
      </c>
      <c r="S581" s="154" t="str">
        <f t="shared" si="229"/>
        <v>Nagykátai Bushido SE</v>
      </c>
      <c r="T581" s="154" t="s">
        <v>645</v>
      </c>
      <c r="U581" s="154" t="s">
        <v>796</v>
      </c>
      <c r="V581" s="154"/>
    </row>
    <row r="582" spans="1:22" s="158" customFormat="1" x14ac:dyDescent="0.3">
      <c r="A582" s="154" t="s">
        <v>777</v>
      </c>
      <c r="B582" s="155" t="s">
        <v>154</v>
      </c>
      <c r="C582" s="154">
        <v>500</v>
      </c>
      <c r="D582" s="156" t="str">
        <f t="shared" si="223"/>
        <v>Kumite</v>
      </c>
      <c r="E582" s="156" t="str">
        <f t="shared" si="224"/>
        <v>Kumite, -, 0-30 kg, Gyerek 1. (9-10</v>
      </c>
      <c r="F582" s="156" t="s">
        <v>509</v>
      </c>
      <c r="G582" s="157" t="str">
        <f t="shared" si="225"/>
        <v>11</v>
      </c>
      <c r="H582" s="156" t="str">
        <f t="shared" si="226"/>
        <v>16 fős egyenes kiesés</v>
      </c>
      <c r="I582" s="157" t="str">
        <f>"3"</f>
        <v>3</v>
      </c>
      <c r="J582" s="156" t="str">
        <f>"Zajácz Imre"</f>
        <v>Zajácz Imre</v>
      </c>
      <c r="K582" s="156" t="str">
        <f>"Kamikaze S"</f>
        <v>Kamikaze S</v>
      </c>
      <c r="L582" s="156" t="str">
        <f t="shared" si="227"/>
        <v>HUN</v>
      </c>
      <c r="M582" s="163">
        <v>6</v>
      </c>
      <c r="O582" s="154" t="s">
        <v>410</v>
      </c>
      <c r="P582" s="159">
        <v>46103</v>
      </c>
      <c r="Q582" s="154" t="str">
        <f t="shared" si="228"/>
        <v>Zajácz Imre - Kamikaze S</v>
      </c>
      <c r="R582" s="154" t="s">
        <v>636</v>
      </c>
      <c r="S582" s="154" t="str">
        <f t="shared" si="229"/>
        <v>Kamikaze S</v>
      </c>
      <c r="T582" s="154" t="s">
        <v>645</v>
      </c>
      <c r="U582" s="154" t="s">
        <v>796</v>
      </c>
      <c r="V582" s="154"/>
    </row>
    <row r="583" spans="1:22" s="158" customFormat="1" x14ac:dyDescent="0.3">
      <c r="A583" s="154" t="s">
        <v>777</v>
      </c>
      <c r="B583" s="155" t="s">
        <v>154</v>
      </c>
      <c r="C583" s="154">
        <v>501</v>
      </c>
      <c r="D583" s="156" t="str">
        <f t="shared" si="223"/>
        <v>Kumite</v>
      </c>
      <c r="E583" s="156" t="str">
        <f t="shared" si="224"/>
        <v>Kumite, -, 0-30 kg, Gyerek 1. (9-10</v>
      </c>
      <c r="F583" s="156" t="s">
        <v>509</v>
      </c>
      <c r="G583" s="157" t="str">
        <f t="shared" si="225"/>
        <v>11</v>
      </c>
      <c r="H583" s="156" t="str">
        <f t="shared" si="226"/>
        <v>16 fős egyenes kiesés</v>
      </c>
      <c r="I583" s="157" t="str">
        <f>"3"</f>
        <v>3</v>
      </c>
      <c r="J583" s="156" t="str">
        <f>"Aldubai Mohamed Hamzah"</f>
        <v>Aldubai Mohamed Hamzah</v>
      </c>
      <c r="K583" s="156" t="str">
        <f>"Victory"</f>
        <v>Victory</v>
      </c>
      <c r="L583" s="156" t="str">
        <f t="shared" si="227"/>
        <v>HUN</v>
      </c>
      <c r="M583" s="163">
        <v>6</v>
      </c>
      <c r="O583" s="154" t="s">
        <v>410</v>
      </c>
      <c r="P583" s="159">
        <v>46103</v>
      </c>
      <c r="Q583" s="154" t="str">
        <f t="shared" si="228"/>
        <v>Aldubai Mohamed Hamzah - Victory</v>
      </c>
      <c r="R583" s="154" t="s">
        <v>636</v>
      </c>
      <c r="S583" s="154" t="str">
        <f t="shared" si="229"/>
        <v>Victory</v>
      </c>
      <c r="T583" s="154" t="s">
        <v>645</v>
      </c>
      <c r="U583" s="154" t="s">
        <v>796</v>
      </c>
      <c r="V583" s="154"/>
    </row>
    <row r="584" spans="1:22" s="158" customFormat="1" x14ac:dyDescent="0.3">
      <c r="A584" s="154" t="s">
        <v>777</v>
      </c>
      <c r="B584" s="155" t="s">
        <v>154</v>
      </c>
      <c r="C584" s="154">
        <v>502</v>
      </c>
      <c r="D584" s="156" t="str">
        <f t="shared" si="223"/>
        <v>Kumite</v>
      </c>
      <c r="E584" s="156" t="str">
        <f t="shared" si="224"/>
        <v>Kumite, -, 0-30 kg, Gyerek 1. (9-10</v>
      </c>
      <c r="F584" s="156" t="s">
        <v>509</v>
      </c>
      <c r="G584" s="157" t="str">
        <f t="shared" si="225"/>
        <v>11</v>
      </c>
      <c r="H584" s="156" t="str">
        <f t="shared" si="226"/>
        <v>16 fős egyenes kiesés</v>
      </c>
      <c r="I584" s="157" t="str">
        <f>"5"</f>
        <v>5</v>
      </c>
      <c r="J584" s="156" t="str">
        <f>"Hadnagy Botond"</f>
        <v>Hadnagy Botond</v>
      </c>
      <c r="K584" s="156" t="str">
        <f>"Rokku KKSE"</f>
        <v>Rokku KKSE</v>
      </c>
      <c r="L584" s="156" t="str">
        <f t="shared" si="227"/>
        <v>HUN</v>
      </c>
      <c r="M584" s="163">
        <v>0</v>
      </c>
      <c r="N584" s="158" t="s">
        <v>704</v>
      </c>
      <c r="O584" s="154" t="s">
        <v>410</v>
      </c>
      <c r="P584" s="159">
        <v>46103</v>
      </c>
      <c r="Q584" s="154" t="str">
        <f t="shared" si="228"/>
        <v>Hadnagy Botond - Rokku KKSE</v>
      </c>
      <c r="R584" s="154" t="s">
        <v>636</v>
      </c>
      <c r="S584" s="154" t="str">
        <f t="shared" si="229"/>
        <v>Rokku KKSE</v>
      </c>
      <c r="T584" s="154" t="s">
        <v>645</v>
      </c>
      <c r="U584" s="154" t="s">
        <v>796</v>
      </c>
      <c r="V584" s="154"/>
    </row>
    <row r="585" spans="1:22" s="158" customFormat="1" x14ac:dyDescent="0.3">
      <c r="A585" s="154" t="s">
        <v>777</v>
      </c>
      <c r="B585" s="155" t="s">
        <v>154</v>
      </c>
      <c r="C585" s="154">
        <v>503</v>
      </c>
      <c r="D585" s="156" t="str">
        <f t="shared" si="223"/>
        <v>Kumite</v>
      </c>
      <c r="E585" s="156" t="str">
        <f t="shared" si="224"/>
        <v>Kumite, -, 0-30 kg, Gyerek 1. (9-10</v>
      </c>
      <c r="F585" s="156" t="s">
        <v>509</v>
      </c>
      <c r="G585" s="157" t="str">
        <f t="shared" si="225"/>
        <v>11</v>
      </c>
      <c r="H585" s="156" t="str">
        <f t="shared" si="226"/>
        <v>16 fős egyenes kiesés</v>
      </c>
      <c r="I585" s="157" t="str">
        <f>"6"</f>
        <v>6</v>
      </c>
      <c r="J585" s="156" t="str">
        <f>"Aupek Márk"</f>
        <v>Aupek Márk</v>
      </c>
      <c r="K585" s="156" t="str">
        <f>"VTSE"</f>
        <v>VTSE</v>
      </c>
      <c r="L585" s="156" t="str">
        <f t="shared" si="227"/>
        <v>HUN</v>
      </c>
      <c r="M585" s="163">
        <v>3</v>
      </c>
      <c r="O585" s="154" t="s">
        <v>410</v>
      </c>
      <c r="P585" s="159">
        <v>46103</v>
      </c>
      <c r="Q585" s="154" t="str">
        <f t="shared" si="228"/>
        <v>Aupek Márk - VTSE</v>
      </c>
      <c r="R585" s="154" t="s">
        <v>637</v>
      </c>
      <c r="S585" s="154" t="str">
        <f t="shared" si="229"/>
        <v>VTSE</v>
      </c>
      <c r="T585" s="154" t="s">
        <v>645</v>
      </c>
      <c r="U585" s="154" t="s">
        <v>796</v>
      </c>
      <c r="V585" s="154"/>
    </row>
    <row r="586" spans="1:22" s="158" customFormat="1" x14ac:dyDescent="0.3">
      <c r="A586" s="154" t="s">
        <v>777</v>
      </c>
      <c r="B586" s="155" t="s">
        <v>154</v>
      </c>
      <c r="C586" s="154">
        <v>504</v>
      </c>
      <c r="D586" s="156" t="str">
        <f t="shared" si="223"/>
        <v>Kumite</v>
      </c>
      <c r="E586" s="156" t="str">
        <f t="shared" si="224"/>
        <v>Kumite, -, 0-30 kg, Gyerek 1. (9-10</v>
      </c>
      <c r="F586" s="156" t="s">
        <v>509</v>
      </c>
      <c r="G586" s="157" t="str">
        <f t="shared" si="225"/>
        <v>11</v>
      </c>
      <c r="H586" s="156" t="str">
        <f t="shared" si="226"/>
        <v>16 fős egyenes kiesés</v>
      </c>
      <c r="I586" s="157" t="str">
        <f>"7-8"</f>
        <v>7-8</v>
      </c>
      <c r="J586" s="156" t="str">
        <f>"Kovács Kornél"</f>
        <v>Kovács Kornél</v>
      </c>
      <c r="K586" s="156" t="str">
        <f>"KYO Fighter SE"</f>
        <v>KYO Fighter SE</v>
      </c>
      <c r="L586" s="156" t="str">
        <f t="shared" si="227"/>
        <v>HUN</v>
      </c>
      <c r="M586" s="163">
        <v>3</v>
      </c>
      <c r="O586" s="154" t="s">
        <v>410</v>
      </c>
      <c r="P586" s="159">
        <v>46103</v>
      </c>
      <c r="Q586" s="154" t="str">
        <f t="shared" si="228"/>
        <v>Kovács Kornél - KYO Fighter SE</v>
      </c>
      <c r="R586" s="154" t="s">
        <v>636</v>
      </c>
      <c r="S586" s="154" t="str">
        <f t="shared" si="229"/>
        <v>KYO Fighter SE</v>
      </c>
      <c r="T586" s="154" t="s">
        <v>645</v>
      </c>
      <c r="U586" s="154" t="s">
        <v>796</v>
      </c>
      <c r="V586" s="154"/>
    </row>
    <row r="587" spans="1:22" s="158" customFormat="1" x14ac:dyDescent="0.3">
      <c r="A587" s="154" t="s">
        <v>777</v>
      </c>
      <c r="B587" s="155" t="s">
        <v>154</v>
      </c>
      <c r="C587" s="154">
        <v>505</v>
      </c>
      <c r="D587" s="156" t="str">
        <f t="shared" si="223"/>
        <v>Kumite</v>
      </c>
      <c r="E587" s="156" t="str">
        <f t="shared" si="224"/>
        <v>Kumite, -, 0-30 kg, Gyerek 1. (9-10</v>
      </c>
      <c r="F587" s="156" t="s">
        <v>509</v>
      </c>
      <c r="G587" s="157" t="str">
        <f t="shared" si="225"/>
        <v>11</v>
      </c>
      <c r="H587" s="156" t="str">
        <f t="shared" si="226"/>
        <v>16 fős egyenes kiesés</v>
      </c>
      <c r="I587" s="157" t="str">
        <f>"7-8"</f>
        <v>7-8</v>
      </c>
      <c r="J587" s="156" t="str">
        <f>"Lajkó Vince"</f>
        <v>Lajkó Vince</v>
      </c>
      <c r="K587" s="156" t="str">
        <f>"Buke Reikon HRSE"</f>
        <v>Buke Reikon HRSE</v>
      </c>
      <c r="L587" s="156" t="str">
        <f t="shared" si="227"/>
        <v>HUN</v>
      </c>
      <c r="M587" s="163">
        <v>3</v>
      </c>
      <c r="O587" s="154" t="s">
        <v>410</v>
      </c>
      <c r="P587" s="159">
        <v>46103</v>
      </c>
      <c r="Q587" s="154" t="str">
        <f t="shared" si="228"/>
        <v>Lajkó Vince - Buke Reikon HRSE</v>
      </c>
      <c r="R587" s="154" t="s">
        <v>636</v>
      </c>
      <c r="S587" s="154" t="str">
        <f t="shared" si="229"/>
        <v>Buke Reikon HRSE</v>
      </c>
      <c r="T587" s="154" t="s">
        <v>645</v>
      </c>
      <c r="U587" s="154" t="s">
        <v>796</v>
      </c>
      <c r="V587" s="154"/>
    </row>
    <row r="588" spans="1:22" s="158" customFormat="1" x14ac:dyDescent="0.3">
      <c r="A588" s="154" t="s">
        <v>777</v>
      </c>
      <c r="B588" s="155" t="s">
        <v>154</v>
      </c>
      <c r="C588" s="154">
        <v>506</v>
      </c>
      <c r="D588" s="156" t="str">
        <f t="shared" si="223"/>
        <v>Kumite</v>
      </c>
      <c r="E588" s="156" t="str">
        <f t="shared" si="224"/>
        <v>Kumite, -, 0-30 kg, Gyerek 1. (9-10</v>
      </c>
      <c r="F588" s="156" t="s">
        <v>509</v>
      </c>
      <c r="G588" s="157" t="str">
        <f t="shared" si="225"/>
        <v>11</v>
      </c>
      <c r="H588" s="156" t="str">
        <f t="shared" si="226"/>
        <v>16 fős egyenes kiesés</v>
      </c>
      <c r="I588" s="157" t="str">
        <f>"11-16"</f>
        <v>11-16</v>
      </c>
      <c r="J588" s="156" t="str">
        <f>"Huszti Dániel"</f>
        <v>Huszti Dániel</v>
      </c>
      <c r="K588" s="156" t="str">
        <f>"Shogun"</f>
        <v>Shogun</v>
      </c>
      <c r="L588" s="156" t="str">
        <f t="shared" si="227"/>
        <v>HUN</v>
      </c>
      <c r="M588" s="163">
        <v>0</v>
      </c>
      <c r="O588" s="154" t="s">
        <v>410</v>
      </c>
      <c r="P588" s="159">
        <v>46103</v>
      </c>
      <c r="Q588" s="154" t="str">
        <f t="shared" si="228"/>
        <v>Huszti Dániel - Shogun</v>
      </c>
      <c r="R588" s="154" t="s">
        <v>636</v>
      </c>
      <c r="S588" s="154" t="str">
        <f t="shared" si="229"/>
        <v>Shogun</v>
      </c>
      <c r="T588" s="154" t="s">
        <v>645</v>
      </c>
      <c r="U588" s="154" t="s">
        <v>796</v>
      </c>
      <c r="V588" s="154"/>
    </row>
    <row r="589" spans="1:22" s="158" customFormat="1" x14ac:dyDescent="0.3">
      <c r="A589" s="154" t="s">
        <v>777</v>
      </c>
      <c r="B589" s="155" t="s">
        <v>154</v>
      </c>
      <c r="C589" s="154">
        <v>507</v>
      </c>
      <c r="D589" s="156" t="str">
        <f t="shared" si="223"/>
        <v>Kumite</v>
      </c>
      <c r="E589" s="156" t="str">
        <f t="shared" si="224"/>
        <v>Kumite, -, 0-30 kg, Gyerek 1. (9-10</v>
      </c>
      <c r="F589" s="156" t="s">
        <v>509</v>
      </c>
      <c r="G589" s="157" t="str">
        <f t="shared" si="225"/>
        <v>11</v>
      </c>
      <c r="H589" s="156" t="str">
        <f t="shared" si="226"/>
        <v>16 fős egyenes kiesés</v>
      </c>
      <c r="I589" s="157" t="str">
        <f>"11-16"</f>
        <v>11-16</v>
      </c>
      <c r="J589" s="156" t="str">
        <f>"Csordás Olivér"</f>
        <v>Csordás Olivér</v>
      </c>
      <c r="K589" s="156" t="str">
        <f>"KSE Tarján"</f>
        <v>KSE Tarján</v>
      </c>
      <c r="L589" s="156" t="str">
        <f t="shared" si="227"/>
        <v>HUN</v>
      </c>
      <c r="M589" s="163">
        <v>0</v>
      </c>
      <c r="O589" s="154" t="s">
        <v>410</v>
      </c>
      <c r="P589" s="159">
        <v>46103</v>
      </c>
      <c r="Q589" s="154" t="str">
        <f t="shared" si="228"/>
        <v>Csordás Olivér - KSE Tarján</v>
      </c>
      <c r="R589" s="154" t="s">
        <v>636</v>
      </c>
      <c r="S589" s="154" t="str">
        <f t="shared" si="229"/>
        <v>KSE Tarján</v>
      </c>
      <c r="T589" s="154" t="s">
        <v>645</v>
      </c>
      <c r="U589" s="154" t="s">
        <v>796</v>
      </c>
      <c r="V589" s="154"/>
    </row>
    <row r="590" spans="1:22" s="158" customFormat="1" x14ac:dyDescent="0.3">
      <c r="A590" s="154" t="s">
        <v>777</v>
      </c>
      <c r="B590" s="155" t="s">
        <v>154</v>
      </c>
      <c r="C590" s="154">
        <v>508</v>
      </c>
      <c r="D590" s="156" t="str">
        <f t="shared" si="223"/>
        <v>Kumite</v>
      </c>
      <c r="E590" s="156" t="str">
        <f t="shared" si="224"/>
        <v>Kumite, -, 0-30 kg, Gyerek 1. (9-10</v>
      </c>
      <c r="F590" s="156" t="s">
        <v>509</v>
      </c>
      <c r="G590" s="157" t="str">
        <f t="shared" si="225"/>
        <v>11</v>
      </c>
      <c r="H590" s="156" t="str">
        <f t="shared" si="226"/>
        <v>16 fős egyenes kiesés</v>
      </c>
      <c r="I590" s="157" t="str">
        <f>"11-16"</f>
        <v>11-16</v>
      </c>
      <c r="J590" s="156" t="str">
        <f>"Sárközi Bence"</f>
        <v>Sárközi Bence</v>
      </c>
      <c r="K590" s="156" t="str">
        <f>"Shogun"</f>
        <v>Shogun</v>
      </c>
      <c r="L590" s="156" t="str">
        <f t="shared" si="227"/>
        <v>HUN</v>
      </c>
      <c r="M590" s="163">
        <v>0</v>
      </c>
      <c r="O590" s="154" t="s">
        <v>410</v>
      </c>
      <c r="P590" s="159">
        <v>46103</v>
      </c>
      <c r="Q590" s="154" t="str">
        <f t="shared" si="228"/>
        <v>Sárközi Bence - Shogun</v>
      </c>
      <c r="R590" s="154" t="s">
        <v>636</v>
      </c>
      <c r="S590" s="154" t="str">
        <f t="shared" si="229"/>
        <v>Shogun</v>
      </c>
      <c r="T590" s="154" t="s">
        <v>645</v>
      </c>
      <c r="U590" s="154" t="s">
        <v>796</v>
      </c>
      <c r="V590" s="154"/>
    </row>
    <row r="591" spans="1:22" s="158" customFormat="1" x14ac:dyDescent="0.3">
      <c r="A591" s="154" t="s">
        <v>777</v>
      </c>
      <c r="B591" s="155" t="s">
        <v>154</v>
      </c>
      <c r="C591" s="154">
        <v>509</v>
      </c>
      <c r="D591" s="156" t="str">
        <f t="shared" si="223"/>
        <v>Kumite</v>
      </c>
      <c r="E591" s="156" t="str">
        <f t="shared" ref="E591:E601" si="230">"Kumite, -, 30-35 kg, Gyerek 1. (9-10"</f>
        <v>Kumite, -, 30-35 kg, Gyerek 1. (9-10</v>
      </c>
      <c r="F591" s="156" t="s">
        <v>511</v>
      </c>
      <c r="G591" s="157" t="str">
        <f t="shared" si="225"/>
        <v>11</v>
      </c>
      <c r="H591" s="156" t="str">
        <f t="shared" si="226"/>
        <v>16 fős egyenes kiesés</v>
      </c>
      <c r="I591" s="157" t="str">
        <f>"1"</f>
        <v>1</v>
      </c>
      <c r="J591" s="156" t="str">
        <f>"Gombos-Weidinger Bence"</f>
        <v>Gombos-Weidinger Bence</v>
      </c>
      <c r="K591" s="156" t="str">
        <f>"BHMSE"</f>
        <v>BHMSE</v>
      </c>
      <c r="L591" s="156" t="str">
        <f t="shared" si="227"/>
        <v>HUN</v>
      </c>
      <c r="M591" s="163">
        <v>10</v>
      </c>
      <c r="O591" s="154" t="s">
        <v>410</v>
      </c>
      <c r="P591" s="159">
        <v>46103</v>
      </c>
      <c r="Q591" s="154" t="str">
        <f t="shared" si="228"/>
        <v>Gombos-Weidinger Bence - BHMSE</v>
      </c>
      <c r="R591" s="154" t="s">
        <v>636</v>
      </c>
      <c r="S591" s="154" t="str">
        <f t="shared" si="229"/>
        <v>BHMSE</v>
      </c>
      <c r="T591" s="154" t="s">
        <v>645</v>
      </c>
      <c r="U591" s="154" t="s">
        <v>796</v>
      </c>
      <c r="V591" s="154"/>
    </row>
    <row r="592" spans="1:22" s="158" customFormat="1" x14ac:dyDescent="0.3">
      <c r="A592" s="154" t="s">
        <v>777</v>
      </c>
      <c r="B592" s="155" t="s">
        <v>154</v>
      </c>
      <c r="C592" s="154">
        <v>510</v>
      </c>
      <c r="D592" s="156" t="str">
        <f t="shared" si="223"/>
        <v>Kumite</v>
      </c>
      <c r="E592" s="156" t="str">
        <f t="shared" si="230"/>
        <v>Kumite, -, 30-35 kg, Gyerek 1. (9-10</v>
      </c>
      <c r="F592" s="156" t="s">
        <v>511</v>
      </c>
      <c r="G592" s="157" t="str">
        <f t="shared" si="225"/>
        <v>11</v>
      </c>
      <c r="H592" s="156" t="str">
        <f t="shared" si="226"/>
        <v>16 fős egyenes kiesés</v>
      </c>
      <c r="I592" s="157" t="str">
        <f>"2"</f>
        <v>2</v>
      </c>
      <c r="J592" s="156" t="str">
        <f>"Blokhin Alexei"</f>
        <v>Blokhin Alexei</v>
      </c>
      <c r="K592" s="156" t="str">
        <f>"Victory"</f>
        <v>Victory</v>
      </c>
      <c r="L592" s="156" t="str">
        <f t="shared" si="227"/>
        <v>HUN</v>
      </c>
      <c r="M592" s="163">
        <v>8</v>
      </c>
      <c r="O592" s="154" t="s">
        <v>410</v>
      </c>
      <c r="P592" s="159">
        <v>46103</v>
      </c>
      <c r="Q592" s="154" t="str">
        <f t="shared" si="228"/>
        <v>Blokhin Alexei - Victory</v>
      </c>
      <c r="R592" s="154" t="s">
        <v>636</v>
      </c>
      <c r="S592" s="154" t="str">
        <f t="shared" si="229"/>
        <v>Victory</v>
      </c>
      <c r="T592" s="154" t="s">
        <v>645</v>
      </c>
      <c r="U592" s="154" t="s">
        <v>796</v>
      </c>
      <c r="V592" s="154"/>
    </row>
    <row r="593" spans="1:22" s="158" customFormat="1" x14ac:dyDescent="0.3">
      <c r="A593" s="154" t="s">
        <v>777</v>
      </c>
      <c r="B593" s="155" t="s">
        <v>154</v>
      </c>
      <c r="C593" s="154">
        <v>511</v>
      </c>
      <c r="D593" s="156" t="str">
        <f t="shared" si="223"/>
        <v>Kumite</v>
      </c>
      <c r="E593" s="156" t="str">
        <f t="shared" si="230"/>
        <v>Kumite, -, 30-35 kg, Gyerek 1. (9-10</v>
      </c>
      <c r="F593" s="156" t="s">
        <v>511</v>
      </c>
      <c r="G593" s="157" t="str">
        <f t="shared" si="225"/>
        <v>11</v>
      </c>
      <c r="H593" s="156" t="str">
        <f t="shared" si="226"/>
        <v>16 fős egyenes kiesés</v>
      </c>
      <c r="I593" s="157" t="str">
        <f>"3"</f>
        <v>3</v>
      </c>
      <c r="J593" s="156" t="str">
        <f>"Oszlánczi Zente"</f>
        <v>Oszlánczi Zente</v>
      </c>
      <c r="K593" s="156" t="str">
        <f>"KYO Fighter SE"</f>
        <v>KYO Fighter SE</v>
      </c>
      <c r="L593" s="156" t="str">
        <f t="shared" si="227"/>
        <v>HUN</v>
      </c>
      <c r="M593" s="163">
        <v>6</v>
      </c>
      <c r="O593" s="154" t="s">
        <v>410</v>
      </c>
      <c r="P593" s="159">
        <v>46103</v>
      </c>
      <c r="Q593" s="154" t="str">
        <f t="shared" si="228"/>
        <v>Oszlánczi Zente - KYO Fighter SE</v>
      </c>
      <c r="R593" s="154" t="s">
        <v>636</v>
      </c>
      <c r="S593" s="154" t="str">
        <f t="shared" si="229"/>
        <v>KYO Fighter SE</v>
      </c>
      <c r="T593" s="154" t="s">
        <v>645</v>
      </c>
      <c r="U593" s="154" t="s">
        <v>796</v>
      </c>
      <c r="V593" s="154"/>
    </row>
    <row r="594" spans="1:22" s="158" customFormat="1" x14ac:dyDescent="0.3">
      <c r="A594" s="154" t="s">
        <v>777</v>
      </c>
      <c r="B594" s="155" t="s">
        <v>154</v>
      </c>
      <c r="C594" s="154">
        <v>512</v>
      </c>
      <c r="D594" s="156" t="str">
        <f t="shared" si="223"/>
        <v>Kumite</v>
      </c>
      <c r="E594" s="156" t="str">
        <f t="shared" si="230"/>
        <v>Kumite, -, 30-35 kg, Gyerek 1. (9-10</v>
      </c>
      <c r="F594" s="156" t="s">
        <v>511</v>
      </c>
      <c r="G594" s="157" t="str">
        <f t="shared" si="225"/>
        <v>11</v>
      </c>
      <c r="H594" s="156" t="str">
        <f t="shared" si="226"/>
        <v>16 fős egyenes kiesés</v>
      </c>
      <c r="I594" s="157" t="str">
        <f>"3"</f>
        <v>3</v>
      </c>
      <c r="J594" s="156" t="str">
        <f>"Marjai Sándor"</f>
        <v>Marjai Sándor</v>
      </c>
      <c r="K594" s="156" t="str">
        <f>"Kelemen-Team"</f>
        <v>Kelemen-Team</v>
      </c>
      <c r="L594" s="156" t="str">
        <f t="shared" si="227"/>
        <v>HUN</v>
      </c>
      <c r="M594" s="163">
        <v>6</v>
      </c>
      <c r="O594" s="154" t="s">
        <v>410</v>
      </c>
      <c r="P594" s="159">
        <v>46103</v>
      </c>
      <c r="Q594" s="154" t="str">
        <f t="shared" si="228"/>
        <v>Marjai Sándor - Kelemen-Team</v>
      </c>
      <c r="R594" s="154" t="s">
        <v>636</v>
      </c>
      <c r="S594" s="154" t="str">
        <f t="shared" si="229"/>
        <v>Kelemen-Team</v>
      </c>
      <c r="T594" s="154" t="s">
        <v>645</v>
      </c>
      <c r="U594" s="154" t="s">
        <v>796</v>
      </c>
      <c r="V594" s="154"/>
    </row>
    <row r="595" spans="1:22" s="158" customFormat="1" x14ac:dyDescent="0.3">
      <c r="A595" s="154" t="s">
        <v>777</v>
      </c>
      <c r="B595" s="155" t="s">
        <v>154</v>
      </c>
      <c r="C595" s="154">
        <v>513</v>
      </c>
      <c r="D595" s="156" t="str">
        <f t="shared" si="223"/>
        <v>Kumite</v>
      </c>
      <c r="E595" s="156" t="str">
        <f t="shared" si="230"/>
        <v>Kumite, -, 30-35 kg, Gyerek 1. (9-10</v>
      </c>
      <c r="F595" s="156" t="s">
        <v>511</v>
      </c>
      <c r="G595" s="157" t="str">
        <f t="shared" si="225"/>
        <v>11</v>
      </c>
      <c r="H595" s="156" t="str">
        <f t="shared" si="226"/>
        <v>16 fős egyenes kiesés</v>
      </c>
      <c r="I595" s="157" t="str">
        <f>"5"</f>
        <v>5</v>
      </c>
      <c r="J595" s="156" t="str">
        <f>"Dániel Bence"</f>
        <v>Dániel Bence</v>
      </c>
      <c r="K595" s="156" t="str">
        <f>"Shogun"</f>
        <v>Shogun</v>
      </c>
      <c r="L595" s="156" t="str">
        <f t="shared" si="227"/>
        <v>HUN</v>
      </c>
      <c r="M595" s="163">
        <v>3</v>
      </c>
      <c r="O595" s="154" t="s">
        <v>410</v>
      </c>
      <c r="P595" s="159">
        <v>46103</v>
      </c>
      <c r="Q595" s="154" t="str">
        <f t="shared" si="228"/>
        <v>Dániel Bence - Shogun</v>
      </c>
      <c r="R595" s="154" t="s">
        <v>636</v>
      </c>
      <c r="S595" s="154" t="str">
        <f t="shared" si="229"/>
        <v>Shogun</v>
      </c>
      <c r="T595" s="154" t="s">
        <v>645</v>
      </c>
      <c r="U595" s="154" t="s">
        <v>796</v>
      </c>
      <c r="V595" s="154"/>
    </row>
    <row r="596" spans="1:22" s="158" customFormat="1" x14ac:dyDescent="0.3">
      <c r="A596" s="154" t="s">
        <v>777</v>
      </c>
      <c r="B596" s="155" t="s">
        <v>154</v>
      </c>
      <c r="C596" s="154">
        <v>514</v>
      </c>
      <c r="D596" s="156" t="str">
        <f t="shared" si="223"/>
        <v>Kumite</v>
      </c>
      <c r="E596" s="156" t="str">
        <f t="shared" si="230"/>
        <v>Kumite, -, 30-35 kg, Gyerek 1. (9-10</v>
      </c>
      <c r="F596" s="156" t="s">
        <v>511</v>
      </c>
      <c r="G596" s="157" t="str">
        <f t="shared" si="225"/>
        <v>11</v>
      </c>
      <c r="H596" s="156" t="str">
        <f t="shared" si="226"/>
        <v>16 fős egyenes kiesés</v>
      </c>
      <c r="I596" s="157" t="str">
        <f>"6"</f>
        <v>6</v>
      </c>
      <c r="J596" s="156" t="str">
        <f>"Seres Zoltán"</f>
        <v>Seres Zoltán</v>
      </c>
      <c r="K596" s="156" t="str">
        <f>"Ippon KKSE"</f>
        <v>Ippon KKSE</v>
      </c>
      <c r="L596" s="156" t="str">
        <f t="shared" si="227"/>
        <v>HUN</v>
      </c>
      <c r="M596" s="163">
        <v>0</v>
      </c>
      <c r="N596" s="158" t="s">
        <v>704</v>
      </c>
      <c r="O596" s="154" t="s">
        <v>410</v>
      </c>
      <c r="P596" s="159">
        <v>46103</v>
      </c>
      <c r="Q596" s="154" t="str">
        <f t="shared" si="228"/>
        <v>Seres Zoltán - Ippon KKSE</v>
      </c>
      <c r="R596" s="154" t="s">
        <v>636</v>
      </c>
      <c r="S596" s="154" t="str">
        <f t="shared" si="229"/>
        <v>Ippon KKSE</v>
      </c>
      <c r="T596" s="154" t="s">
        <v>645</v>
      </c>
      <c r="U596" s="154" t="s">
        <v>796</v>
      </c>
      <c r="V596" s="154"/>
    </row>
    <row r="597" spans="1:22" s="158" customFormat="1" x14ac:dyDescent="0.3">
      <c r="A597" s="154" t="s">
        <v>777</v>
      </c>
      <c r="B597" s="155" t="s">
        <v>154</v>
      </c>
      <c r="C597" s="154">
        <v>515</v>
      </c>
      <c r="D597" s="156" t="str">
        <f t="shared" si="223"/>
        <v>Kumite</v>
      </c>
      <c r="E597" s="156" t="str">
        <f t="shared" si="230"/>
        <v>Kumite, -, 30-35 kg, Gyerek 1. (9-10</v>
      </c>
      <c r="F597" s="156" t="s">
        <v>511</v>
      </c>
      <c r="G597" s="157" t="str">
        <f t="shared" si="225"/>
        <v>11</v>
      </c>
      <c r="H597" s="156" t="str">
        <f t="shared" si="226"/>
        <v>16 fős egyenes kiesés</v>
      </c>
      <c r="I597" s="157" t="str">
        <f>"7-8"</f>
        <v>7-8</v>
      </c>
      <c r="J597" s="156" t="str">
        <f>"Lévai Benedek"</f>
        <v>Lévai Benedek</v>
      </c>
      <c r="K597" s="156" t="str">
        <f>"BHMSE"</f>
        <v>BHMSE</v>
      </c>
      <c r="L597" s="156" t="str">
        <f t="shared" si="227"/>
        <v>HUN</v>
      </c>
      <c r="M597" s="163">
        <v>0</v>
      </c>
      <c r="N597" s="158" t="s">
        <v>704</v>
      </c>
      <c r="O597" s="154" t="s">
        <v>410</v>
      </c>
      <c r="P597" s="159">
        <v>46103</v>
      </c>
      <c r="Q597" s="154" t="str">
        <f t="shared" si="228"/>
        <v>Lévai Benedek - BHMSE</v>
      </c>
      <c r="R597" s="154" t="s">
        <v>636</v>
      </c>
      <c r="S597" s="154" t="str">
        <f t="shared" si="229"/>
        <v>BHMSE</v>
      </c>
      <c r="T597" s="154" t="s">
        <v>645</v>
      </c>
      <c r="U597" s="154" t="s">
        <v>796</v>
      </c>
      <c r="V597" s="154"/>
    </row>
    <row r="598" spans="1:22" s="158" customFormat="1" x14ac:dyDescent="0.3">
      <c r="A598" s="154" t="s">
        <v>777</v>
      </c>
      <c r="B598" s="155" t="s">
        <v>154</v>
      </c>
      <c r="C598" s="154">
        <v>516</v>
      </c>
      <c r="D598" s="156" t="str">
        <f t="shared" si="223"/>
        <v>Kumite</v>
      </c>
      <c r="E598" s="156" t="str">
        <f t="shared" si="230"/>
        <v>Kumite, -, 30-35 kg, Gyerek 1. (9-10</v>
      </c>
      <c r="F598" s="156" t="s">
        <v>511</v>
      </c>
      <c r="G598" s="157" t="str">
        <f t="shared" si="225"/>
        <v>11</v>
      </c>
      <c r="H598" s="156" t="str">
        <f t="shared" si="226"/>
        <v>16 fős egyenes kiesés</v>
      </c>
      <c r="I598" s="157" t="str">
        <f>"7-8"</f>
        <v>7-8</v>
      </c>
      <c r="J598" s="156" t="str">
        <f>"Mohácsi DOminik"</f>
        <v>Mohácsi DOminik</v>
      </c>
      <c r="K598" s="156" t="str">
        <f>"Victory"</f>
        <v>Victory</v>
      </c>
      <c r="L598" s="156" t="str">
        <f t="shared" si="227"/>
        <v>HUN</v>
      </c>
      <c r="M598" s="163">
        <v>0</v>
      </c>
      <c r="N598" s="158" t="s">
        <v>704</v>
      </c>
      <c r="O598" s="154" t="s">
        <v>410</v>
      </c>
      <c r="P598" s="159">
        <v>46103</v>
      </c>
      <c r="Q598" s="154" t="str">
        <f t="shared" si="228"/>
        <v>Mohácsi DOminik - Victory</v>
      </c>
      <c r="R598" s="154" t="s">
        <v>636</v>
      </c>
      <c r="S598" s="154" t="str">
        <f t="shared" si="229"/>
        <v>Victory</v>
      </c>
      <c r="T598" s="154" t="s">
        <v>645</v>
      </c>
      <c r="U598" s="154" t="s">
        <v>796</v>
      </c>
      <c r="V598" s="154"/>
    </row>
    <row r="599" spans="1:22" s="158" customFormat="1" x14ac:dyDescent="0.3">
      <c r="A599" s="154" t="s">
        <v>777</v>
      </c>
      <c r="B599" s="155" t="s">
        <v>154</v>
      </c>
      <c r="C599" s="154">
        <v>517</v>
      </c>
      <c r="D599" s="156" t="str">
        <f t="shared" si="223"/>
        <v>Kumite</v>
      </c>
      <c r="E599" s="156" t="str">
        <f t="shared" si="230"/>
        <v>Kumite, -, 30-35 kg, Gyerek 1. (9-10</v>
      </c>
      <c r="F599" s="156" t="s">
        <v>511</v>
      </c>
      <c r="G599" s="157" t="str">
        <f t="shared" si="225"/>
        <v>11</v>
      </c>
      <c r="H599" s="156" t="str">
        <f t="shared" si="226"/>
        <v>16 fős egyenes kiesés</v>
      </c>
      <c r="I599" s="157" t="str">
        <f>"10"</f>
        <v>10</v>
      </c>
      <c r="J599" s="156" t="str">
        <f>"Bányai Kende"</f>
        <v>Bányai Kende</v>
      </c>
      <c r="K599" s="156" t="str">
        <f>"VTSE"</f>
        <v>VTSE</v>
      </c>
      <c r="L599" s="156" t="str">
        <f t="shared" si="227"/>
        <v>HUN</v>
      </c>
      <c r="M599" s="163">
        <v>0</v>
      </c>
      <c r="O599" s="154" t="s">
        <v>410</v>
      </c>
      <c r="P599" s="159">
        <v>46103</v>
      </c>
      <c r="Q599" s="154" t="str">
        <f t="shared" si="228"/>
        <v>Bányai Kende - VTSE</v>
      </c>
      <c r="R599" s="154" t="s">
        <v>637</v>
      </c>
      <c r="S599" s="154" t="str">
        <f t="shared" si="229"/>
        <v>VTSE</v>
      </c>
      <c r="T599" s="154" t="s">
        <v>645</v>
      </c>
      <c r="U599" s="154" t="s">
        <v>796</v>
      </c>
      <c r="V599" s="154"/>
    </row>
    <row r="600" spans="1:22" s="158" customFormat="1" x14ac:dyDescent="0.3">
      <c r="A600" s="154" t="s">
        <v>777</v>
      </c>
      <c r="B600" s="155" t="s">
        <v>154</v>
      </c>
      <c r="C600" s="154">
        <v>518</v>
      </c>
      <c r="D600" s="156" t="str">
        <f t="shared" si="223"/>
        <v>Kumite</v>
      </c>
      <c r="E600" s="156" t="str">
        <f t="shared" si="230"/>
        <v>Kumite, -, 30-35 kg, Gyerek 1. (9-10</v>
      </c>
      <c r="F600" s="156" t="s">
        <v>511</v>
      </c>
      <c r="G600" s="157" t="str">
        <f t="shared" si="225"/>
        <v>11</v>
      </c>
      <c r="H600" s="156" t="str">
        <f t="shared" si="226"/>
        <v>16 fős egyenes kiesés</v>
      </c>
      <c r="I600" s="157" t="str">
        <f>"11-16"</f>
        <v>11-16</v>
      </c>
      <c r="J600" s="156" t="str">
        <f>"Kádár Boldizsár"</f>
        <v>Kádár Boldizsár</v>
      </c>
      <c r="K600" s="156" t="str">
        <f>"Rakurai"</f>
        <v>Rakurai</v>
      </c>
      <c r="L600" s="156" t="str">
        <f t="shared" si="227"/>
        <v>HUN</v>
      </c>
      <c r="M600" s="163">
        <v>0</v>
      </c>
      <c r="O600" s="154" t="s">
        <v>410</v>
      </c>
      <c r="P600" s="159">
        <v>46103</v>
      </c>
      <c r="Q600" s="154" t="str">
        <f t="shared" si="228"/>
        <v>Kádár Boldizsár - Rakurai</v>
      </c>
      <c r="R600" s="154" t="s">
        <v>636</v>
      </c>
      <c r="S600" s="154" t="str">
        <f t="shared" si="229"/>
        <v>Rakurai</v>
      </c>
      <c r="T600" s="154" t="s">
        <v>645</v>
      </c>
      <c r="U600" s="154" t="s">
        <v>796</v>
      </c>
      <c r="V600" s="154"/>
    </row>
    <row r="601" spans="1:22" s="158" customFormat="1" x14ac:dyDescent="0.3">
      <c r="A601" s="154" t="s">
        <v>777</v>
      </c>
      <c r="B601" s="155" t="s">
        <v>154</v>
      </c>
      <c r="C601" s="154">
        <v>519</v>
      </c>
      <c r="D601" s="156" t="str">
        <f t="shared" si="223"/>
        <v>Kumite</v>
      </c>
      <c r="E601" s="156" t="str">
        <f t="shared" si="230"/>
        <v>Kumite, -, 30-35 kg, Gyerek 1. (9-10</v>
      </c>
      <c r="F601" s="156" t="s">
        <v>511</v>
      </c>
      <c r="G601" s="157" t="str">
        <f t="shared" si="225"/>
        <v>11</v>
      </c>
      <c r="H601" s="156" t="str">
        <f t="shared" si="226"/>
        <v>16 fős egyenes kiesés</v>
      </c>
      <c r="I601" s="157" t="str">
        <f>"11-16"</f>
        <v>11-16</v>
      </c>
      <c r="J601" s="156" t="str">
        <f>"Papp László"</f>
        <v>Papp László</v>
      </c>
      <c r="K601" s="156" t="str">
        <f>"Kelemen-Team"</f>
        <v>Kelemen-Team</v>
      </c>
      <c r="L601" s="156" t="str">
        <f t="shared" si="227"/>
        <v>HUN</v>
      </c>
      <c r="M601" s="163">
        <v>0</v>
      </c>
      <c r="O601" s="154" t="s">
        <v>410</v>
      </c>
      <c r="P601" s="159">
        <v>46103</v>
      </c>
      <c r="Q601" s="154" t="str">
        <f t="shared" si="228"/>
        <v>Papp László - Kelemen-Team</v>
      </c>
      <c r="R601" s="154" t="s">
        <v>636</v>
      </c>
      <c r="S601" s="154" t="str">
        <f t="shared" si="229"/>
        <v>Kelemen-Team</v>
      </c>
      <c r="T601" s="154" t="s">
        <v>645</v>
      </c>
      <c r="U601" s="154" t="s">
        <v>796</v>
      </c>
      <c r="V601" s="154"/>
    </row>
    <row r="602" spans="1:22" s="158" customFormat="1" x14ac:dyDescent="0.3">
      <c r="A602" s="154" t="s">
        <v>777</v>
      </c>
      <c r="B602" s="155" t="s">
        <v>154</v>
      </c>
      <c r="C602" s="154">
        <v>520</v>
      </c>
      <c r="D602" s="156" t="str">
        <f t="shared" si="223"/>
        <v>Kumite</v>
      </c>
      <c r="E602" s="156" t="str">
        <f t="shared" ref="E602:E610" si="231">"Kumite, -, 35-99 kg, Gyerek 1. (9-10"</f>
        <v>Kumite, -, 35-99 kg, Gyerek 1. (9-10</v>
      </c>
      <c r="F602" s="156" t="s">
        <v>513</v>
      </c>
      <c r="G602" s="157" t="str">
        <f t="shared" ref="G602:G610" si="232">"9"</f>
        <v>9</v>
      </c>
      <c r="H602" s="156" t="str">
        <f t="shared" si="226"/>
        <v>16 fős egyenes kiesés</v>
      </c>
      <c r="I602" s="157" t="str">
        <f>"1"</f>
        <v>1</v>
      </c>
      <c r="J602" s="156" t="str">
        <f>"Petrohai Dávid"</f>
        <v>Petrohai Dávid</v>
      </c>
      <c r="K602" s="156" t="str">
        <f>"Shogun"</f>
        <v>Shogun</v>
      </c>
      <c r="L602" s="156" t="str">
        <f t="shared" si="227"/>
        <v>HUN</v>
      </c>
      <c r="M602" s="163">
        <v>10</v>
      </c>
      <c r="O602" s="154" t="s">
        <v>410</v>
      </c>
      <c r="P602" s="159">
        <v>46103</v>
      </c>
      <c r="Q602" s="154" t="str">
        <f t="shared" si="228"/>
        <v>Petrohai Dávid - Shogun</v>
      </c>
      <c r="R602" s="154" t="s">
        <v>636</v>
      </c>
      <c r="S602" s="154" t="str">
        <f t="shared" si="229"/>
        <v>Shogun</v>
      </c>
      <c r="T602" s="154" t="s">
        <v>645</v>
      </c>
      <c r="U602" s="154" t="s">
        <v>796</v>
      </c>
      <c r="V602" s="154"/>
    </row>
    <row r="603" spans="1:22" s="158" customFormat="1" x14ac:dyDescent="0.3">
      <c r="A603" s="154" t="s">
        <v>777</v>
      </c>
      <c r="B603" s="155" t="s">
        <v>154</v>
      </c>
      <c r="C603" s="154">
        <v>521</v>
      </c>
      <c r="D603" s="156" t="str">
        <f t="shared" si="223"/>
        <v>Kumite</v>
      </c>
      <c r="E603" s="156" t="str">
        <f t="shared" si="231"/>
        <v>Kumite, -, 35-99 kg, Gyerek 1. (9-10</v>
      </c>
      <c r="F603" s="156" t="s">
        <v>513</v>
      </c>
      <c r="G603" s="157" t="str">
        <f t="shared" si="232"/>
        <v>9</v>
      </c>
      <c r="H603" s="156" t="str">
        <f t="shared" si="226"/>
        <v>16 fős egyenes kiesés</v>
      </c>
      <c r="I603" s="157" t="str">
        <f>"2"</f>
        <v>2</v>
      </c>
      <c r="J603" s="156" t="str">
        <f>"Dudás Benedek"</f>
        <v>Dudás Benedek</v>
      </c>
      <c r="K603" s="156" t="str">
        <f>"Bendiák Dojo"</f>
        <v>Bendiák Dojo</v>
      </c>
      <c r="L603" s="156" t="str">
        <f t="shared" si="227"/>
        <v>HUN</v>
      </c>
      <c r="M603" s="163">
        <v>8</v>
      </c>
      <c r="O603" s="154" t="s">
        <v>410</v>
      </c>
      <c r="P603" s="159">
        <v>46103</v>
      </c>
      <c r="Q603" s="154" t="str">
        <f t="shared" si="228"/>
        <v>Dudás Benedek - Bendiák Dojo</v>
      </c>
      <c r="R603" s="154" t="s">
        <v>636</v>
      </c>
      <c r="S603" s="154" t="str">
        <f t="shared" si="229"/>
        <v>Bendiák Dojo</v>
      </c>
      <c r="T603" s="154" t="s">
        <v>645</v>
      </c>
      <c r="U603" s="154" t="s">
        <v>796</v>
      </c>
      <c r="V603" s="154"/>
    </row>
    <row r="604" spans="1:22" s="158" customFormat="1" x14ac:dyDescent="0.3">
      <c r="A604" s="154" t="s">
        <v>777</v>
      </c>
      <c r="B604" s="155" t="s">
        <v>154</v>
      </c>
      <c r="C604" s="154">
        <v>522</v>
      </c>
      <c r="D604" s="156" t="str">
        <f t="shared" si="223"/>
        <v>Kumite</v>
      </c>
      <c r="E604" s="156" t="str">
        <f t="shared" si="231"/>
        <v>Kumite, -, 35-99 kg, Gyerek 1. (9-10</v>
      </c>
      <c r="F604" s="156" t="s">
        <v>513</v>
      </c>
      <c r="G604" s="157" t="str">
        <f t="shared" si="232"/>
        <v>9</v>
      </c>
      <c r="H604" s="156" t="str">
        <f t="shared" si="226"/>
        <v>16 fős egyenes kiesés</v>
      </c>
      <c r="I604" s="157" t="str">
        <f>"3"</f>
        <v>3</v>
      </c>
      <c r="J604" s="156" t="str">
        <f>"Kasza Benett"</f>
        <v>Kasza Benett</v>
      </c>
      <c r="K604" s="156" t="str">
        <f>"Nagykátai Bushido SE"</f>
        <v>Nagykátai Bushido SE</v>
      </c>
      <c r="L604" s="156" t="str">
        <f t="shared" si="227"/>
        <v>HUN</v>
      </c>
      <c r="M604" s="163">
        <v>6</v>
      </c>
      <c r="O604" s="154" t="s">
        <v>410</v>
      </c>
      <c r="P604" s="159">
        <v>46103</v>
      </c>
      <c r="Q604" s="154" t="str">
        <f t="shared" si="228"/>
        <v>Kasza Benett - Nagykátai Bushido SE</v>
      </c>
      <c r="R604" s="154" t="s">
        <v>636</v>
      </c>
      <c r="S604" s="154" t="str">
        <f t="shared" si="229"/>
        <v>Nagykátai Bushido SE</v>
      </c>
      <c r="T604" s="154" t="s">
        <v>645</v>
      </c>
      <c r="U604" s="154" t="s">
        <v>796</v>
      </c>
      <c r="V604" s="154"/>
    </row>
    <row r="605" spans="1:22" s="158" customFormat="1" x14ac:dyDescent="0.3">
      <c r="A605" s="154" t="s">
        <v>777</v>
      </c>
      <c r="B605" s="155" t="s">
        <v>154</v>
      </c>
      <c r="C605" s="154">
        <v>523</v>
      </c>
      <c r="D605" s="156" t="str">
        <f t="shared" si="223"/>
        <v>Kumite</v>
      </c>
      <c r="E605" s="156" t="str">
        <f t="shared" si="231"/>
        <v>Kumite, -, 35-99 kg, Gyerek 1. (9-10</v>
      </c>
      <c r="F605" s="156" t="s">
        <v>513</v>
      </c>
      <c r="G605" s="157" t="str">
        <f t="shared" si="232"/>
        <v>9</v>
      </c>
      <c r="H605" s="156" t="str">
        <f t="shared" si="226"/>
        <v>16 fős egyenes kiesés</v>
      </c>
      <c r="I605" s="157" t="str">
        <f>"3"</f>
        <v>3</v>
      </c>
      <c r="J605" s="156" t="str">
        <f>"Szabó Marcell Károly"</f>
        <v>Szabó Marcell Károly</v>
      </c>
      <c r="K605" s="156" t="str">
        <f>"Katana SE"</f>
        <v>Katana SE</v>
      </c>
      <c r="L605" s="156" t="str">
        <f t="shared" si="227"/>
        <v>HUN</v>
      </c>
      <c r="M605" s="163">
        <v>6</v>
      </c>
      <c r="O605" s="154" t="s">
        <v>410</v>
      </c>
      <c r="P605" s="159">
        <v>46103</v>
      </c>
      <c r="Q605" s="154" t="str">
        <f t="shared" si="228"/>
        <v>Szabó Marcell Károly - Katana SE</v>
      </c>
      <c r="R605" s="154" t="s">
        <v>636</v>
      </c>
      <c r="S605" s="154" t="str">
        <f t="shared" si="229"/>
        <v>Katana SE</v>
      </c>
      <c r="T605" s="154" t="s">
        <v>645</v>
      </c>
      <c r="U605" s="154" t="s">
        <v>796</v>
      </c>
      <c r="V605" s="154"/>
    </row>
    <row r="606" spans="1:22" s="158" customFormat="1" x14ac:dyDescent="0.3">
      <c r="A606" s="154" t="s">
        <v>777</v>
      </c>
      <c r="B606" s="155" t="s">
        <v>154</v>
      </c>
      <c r="C606" s="154">
        <v>524</v>
      </c>
      <c r="D606" s="156" t="str">
        <f t="shared" si="223"/>
        <v>Kumite</v>
      </c>
      <c r="E606" s="156" t="str">
        <f t="shared" si="231"/>
        <v>Kumite, -, 35-99 kg, Gyerek 1. (9-10</v>
      </c>
      <c r="F606" s="156" t="s">
        <v>513</v>
      </c>
      <c r="G606" s="157" t="str">
        <f t="shared" si="232"/>
        <v>9</v>
      </c>
      <c r="H606" s="156" t="str">
        <f t="shared" si="226"/>
        <v>16 fős egyenes kiesés</v>
      </c>
      <c r="I606" s="157" t="str">
        <f>"5"</f>
        <v>5</v>
      </c>
      <c r="J606" s="156" t="str">
        <f>"Tamási Péter Tamás"</f>
        <v>Tamási Péter Tamás</v>
      </c>
      <c r="K606" s="156" t="str">
        <f>"Castrum"</f>
        <v>Castrum</v>
      </c>
      <c r="L606" s="156" t="str">
        <f t="shared" si="227"/>
        <v>HUN</v>
      </c>
      <c r="M606" s="163">
        <v>0</v>
      </c>
      <c r="N606" s="158" t="s">
        <v>704</v>
      </c>
      <c r="O606" s="154" t="s">
        <v>410</v>
      </c>
      <c r="P606" s="159">
        <v>46103</v>
      </c>
      <c r="Q606" s="154" t="str">
        <f t="shared" si="228"/>
        <v>Tamási Péter Tamás - Castrum</v>
      </c>
      <c r="R606" s="154" t="s">
        <v>636</v>
      </c>
      <c r="S606" s="154" t="str">
        <f t="shared" si="229"/>
        <v>Castrum</v>
      </c>
      <c r="T606" s="154" t="s">
        <v>645</v>
      </c>
      <c r="U606" s="154" t="s">
        <v>796</v>
      </c>
      <c r="V606" s="154"/>
    </row>
    <row r="607" spans="1:22" s="158" customFormat="1" x14ac:dyDescent="0.3">
      <c r="A607" s="154" t="s">
        <v>777</v>
      </c>
      <c r="B607" s="155" t="s">
        <v>154</v>
      </c>
      <c r="C607" s="154">
        <v>525</v>
      </c>
      <c r="D607" s="156" t="str">
        <f t="shared" si="223"/>
        <v>Kumite</v>
      </c>
      <c r="E607" s="156" t="str">
        <f t="shared" si="231"/>
        <v>Kumite, -, 35-99 kg, Gyerek 1. (9-10</v>
      </c>
      <c r="F607" s="156" t="s">
        <v>513</v>
      </c>
      <c r="G607" s="157" t="str">
        <f t="shared" si="232"/>
        <v>9</v>
      </c>
      <c r="H607" s="156" t="str">
        <f t="shared" si="226"/>
        <v>16 fős egyenes kiesés</v>
      </c>
      <c r="I607" s="157" t="str">
        <f>"6"</f>
        <v>6</v>
      </c>
      <c r="J607" s="156" t="str">
        <f>"Dócs Nándor"</f>
        <v>Dócs Nándor</v>
      </c>
      <c r="K607" s="156" t="str">
        <f>"Nozomu Dojo"</f>
        <v>Nozomu Dojo</v>
      </c>
      <c r="L607" s="156" t="str">
        <f t="shared" si="227"/>
        <v>HUN</v>
      </c>
      <c r="M607" s="163">
        <v>3</v>
      </c>
      <c r="O607" s="154" t="s">
        <v>410</v>
      </c>
      <c r="P607" s="159">
        <v>46103</v>
      </c>
      <c r="Q607" s="154" t="str">
        <f t="shared" si="228"/>
        <v>Dócs Nándor - Nozomu Dojo</v>
      </c>
      <c r="R607" s="154" t="s">
        <v>636</v>
      </c>
      <c r="S607" s="154" t="str">
        <f t="shared" si="229"/>
        <v>Nozomu Dojo</v>
      </c>
      <c r="T607" s="154" t="s">
        <v>645</v>
      </c>
      <c r="U607" s="154" t="s">
        <v>796</v>
      </c>
      <c r="V607" s="154"/>
    </row>
    <row r="608" spans="1:22" s="158" customFormat="1" x14ac:dyDescent="0.3">
      <c r="A608" s="154" t="s">
        <v>777</v>
      </c>
      <c r="B608" s="155" t="s">
        <v>154</v>
      </c>
      <c r="C608" s="154">
        <v>526</v>
      </c>
      <c r="D608" s="156" t="str">
        <f t="shared" si="223"/>
        <v>Kumite</v>
      </c>
      <c r="E608" s="156" t="str">
        <f t="shared" si="231"/>
        <v>Kumite, -, 35-99 kg, Gyerek 1. (9-10</v>
      </c>
      <c r="F608" s="156" t="s">
        <v>513</v>
      </c>
      <c r="G608" s="157" t="str">
        <f t="shared" si="232"/>
        <v>9</v>
      </c>
      <c r="H608" s="156" t="str">
        <f t="shared" si="226"/>
        <v>16 fős egyenes kiesés</v>
      </c>
      <c r="I608" s="157" t="str">
        <f>"7-8"</f>
        <v>7-8</v>
      </c>
      <c r="J608" s="156" t="str">
        <f>"Máté Lénárd"</f>
        <v>Máté Lénárd</v>
      </c>
      <c r="K608" s="156" t="str">
        <f>"Kelemen-Team"</f>
        <v>Kelemen-Team</v>
      </c>
      <c r="L608" s="156" t="str">
        <f t="shared" si="227"/>
        <v>HUN</v>
      </c>
      <c r="M608" s="163">
        <v>0</v>
      </c>
      <c r="N608" s="158" t="s">
        <v>704</v>
      </c>
      <c r="O608" s="154" t="s">
        <v>410</v>
      </c>
      <c r="P608" s="159">
        <v>46103</v>
      </c>
      <c r="Q608" s="154" t="str">
        <f t="shared" si="228"/>
        <v>Máté Lénárd - Kelemen-Team</v>
      </c>
      <c r="R608" s="154" t="s">
        <v>636</v>
      </c>
      <c r="S608" s="154" t="str">
        <f t="shared" si="229"/>
        <v>Kelemen-Team</v>
      </c>
      <c r="T608" s="154" t="s">
        <v>645</v>
      </c>
      <c r="U608" s="154" t="s">
        <v>796</v>
      </c>
      <c r="V608" s="154"/>
    </row>
    <row r="609" spans="1:22" s="158" customFormat="1" x14ac:dyDescent="0.3">
      <c r="A609" s="154" t="s">
        <v>777</v>
      </c>
      <c r="B609" s="155" t="s">
        <v>154</v>
      </c>
      <c r="C609" s="154">
        <v>527</v>
      </c>
      <c r="D609" s="156" t="str">
        <f t="shared" si="223"/>
        <v>Kumite</v>
      </c>
      <c r="E609" s="156" t="str">
        <f t="shared" si="231"/>
        <v>Kumite, -, 35-99 kg, Gyerek 1. (9-10</v>
      </c>
      <c r="F609" s="156" t="s">
        <v>513</v>
      </c>
      <c r="G609" s="157" t="str">
        <f t="shared" si="232"/>
        <v>9</v>
      </c>
      <c r="H609" s="156" t="str">
        <f t="shared" si="226"/>
        <v>16 fős egyenes kiesés</v>
      </c>
      <c r="I609" s="157" t="str">
        <f>"7-8"</f>
        <v>7-8</v>
      </c>
      <c r="J609" s="156" t="str">
        <f>"Petróczki Bendegúz"</f>
        <v>Petróczki Bendegúz</v>
      </c>
      <c r="K609" s="156" t="str">
        <f>"Bátor KSE"</f>
        <v>Bátor KSE</v>
      </c>
      <c r="L609" s="156" t="str">
        <f t="shared" si="227"/>
        <v>HUN</v>
      </c>
      <c r="M609" s="163">
        <v>0</v>
      </c>
      <c r="O609" s="154" t="s">
        <v>410</v>
      </c>
      <c r="P609" s="159">
        <v>46103</v>
      </c>
      <c r="Q609" s="154" t="str">
        <f t="shared" si="228"/>
        <v>Petróczki Bendegúz - Bátor KSE</v>
      </c>
      <c r="R609" s="154" t="s">
        <v>636</v>
      </c>
      <c r="S609" s="154" t="str">
        <f t="shared" si="229"/>
        <v>Bátor KSE</v>
      </c>
      <c r="T609" s="154" t="s">
        <v>645</v>
      </c>
      <c r="U609" s="154" t="s">
        <v>796</v>
      </c>
      <c r="V609" s="154"/>
    </row>
    <row r="610" spans="1:22" s="158" customFormat="1" x14ac:dyDescent="0.3">
      <c r="A610" s="154" t="s">
        <v>777</v>
      </c>
      <c r="B610" s="155" t="s">
        <v>154</v>
      </c>
      <c r="C610" s="154">
        <v>528</v>
      </c>
      <c r="D610" s="156" t="str">
        <f t="shared" si="223"/>
        <v>Kumite</v>
      </c>
      <c r="E610" s="156" t="str">
        <f t="shared" si="231"/>
        <v>Kumite, -, 35-99 kg, Gyerek 1. (9-10</v>
      </c>
      <c r="F610" s="156" t="s">
        <v>513</v>
      </c>
      <c r="G610" s="157" t="str">
        <f t="shared" si="232"/>
        <v>9</v>
      </c>
      <c r="H610" s="156" t="str">
        <f t="shared" si="226"/>
        <v>16 fős egyenes kiesés</v>
      </c>
      <c r="I610" s="157" t="str">
        <f>"11-16"</f>
        <v>11-16</v>
      </c>
      <c r="J610" s="156" t="str">
        <f>"Bakonyi Erik"</f>
        <v>Bakonyi Erik</v>
      </c>
      <c r="K610" s="156" t="str">
        <f>"BHMSE"</f>
        <v>BHMSE</v>
      </c>
      <c r="L610" s="156" t="str">
        <f t="shared" si="227"/>
        <v>HUN</v>
      </c>
      <c r="M610" s="163">
        <v>0</v>
      </c>
      <c r="O610" s="154" t="s">
        <v>410</v>
      </c>
      <c r="P610" s="159">
        <v>46103</v>
      </c>
      <c r="Q610" s="154" t="str">
        <f t="shared" si="228"/>
        <v>Bakonyi Erik - BHMSE</v>
      </c>
      <c r="R610" s="154" t="s">
        <v>636</v>
      </c>
      <c r="S610" s="154" t="str">
        <f t="shared" si="229"/>
        <v>BHMSE</v>
      </c>
      <c r="T610" s="154" t="s">
        <v>645</v>
      </c>
      <c r="U610" s="154" t="s">
        <v>796</v>
      </c>
      <c r="V610" s="154"/>
    </row>
    <row r="611" spans="1:22" s="158" customFormat="1" x14ac:dyDescent="0.3">
      <c r="A611" s="154" t="s">
        <v>777</v>
      </c>
      <c r="B611" s="155" t="s">
        <v>154</v>
      </c>
      <c r="C611" s="154">
        <v>529</v>
      </c>
      <c r="D611" s="156" t="str">
        <f t="shared" ref="D611:D626" si="233">"Kata"</f>
        <v>Kata</v>
      </c>
      <c r="E611" s="156" t="str">
        <f t="shared" ref="E611:E626" si="234">"Kata, -, 0-100 kg, Gyerek 1. (9-10"</f>
        <v>Kata, -, 0-100 kg, Gyerek 1. (9-10</v>
      </c>
      <c r="F611" s="156" t="s">
        <v>514</v>
      </c>
      <c r="G611" s="157" t="str">
        <f t="shared" ref="G611:G626" si="235">"18"</f>
        <v>18</v>
      </c>
      <c r="H611" s="156" t="str">
        <f t="shared" ref="H611:H626" si="236">"32 fős egyenes kiesés"</f>
        <v>32 fős egyenes kiesés</v>
      </c>
      <c r="I611" s="157" t="str">
        <f>"1"</f>
        <v>1</v>
      </c>
      <c r="J611" s="156" t="str">
        <f>"Petrohai Dávid"</f>
        <v>Petrohai Dávid</v>
      </c>
      <c r="K611" s="156" t="str">
        <f>"Shogun"</f>
        <v>Shogun</v>
      </c>
      <c r="L611" s="156" t="str">
        <f t="shared" si="227"/>
        <v>HUN</v>
      </c>
      <c r="M611" s="163">
        <v>10</v>
      </c>
      <c r="O611" s="154" t="s">
        <v>410</v>
      </c>
      <c r="P611" s="159">
        <v>46103</v>
      </c>
      <c r="Q611" s="154" t="str">
        <f t="shared" si="228"/>
        <v>Petrohai Dávid - Shogun</v>
      </c>
      <c r="R611" s="154" t="s">
        <v>636</v>
      </c>
      <c r="S611" s="154" t="str">
        <f t="shared" si="229"/>
        <v>Shogun</v>
      </c>
      <c r="T611" s="154" t="s">
        <v>645</v>
      </c>
      <c r="U611" s="154" t="s">
        <v>796</v>
      </c>
      <c r="V611" s="154"/>
    </row>
    <row r="612" spans="1:22" s="158" customFormat="1" x14ac:dyDescent="0.3">
      <c r="A612" s="154" t="s">
        <v>777</v>
      </c>
      <c r="B612" s="155" t="s">
        <v>154</v>
      </c>
      <c r="C612" s="154">
        <v>530</v>
      </c>
      <c r="D612" s="156" t="str">
        <f t="shared" si="233"/>
        <v>Kata</v>
      </c>
      <c r="E612" s="156" t="str">
        <f t="shared" si="234"/>
        <v>Kata, -, 0-100 kg, Gyerek 1. (9-10</v>
      </c>
      <c r="F612" s="156" t="s">
        <v>514</v>
      </c>
      <c r="G612" s="157" t="str">
        <f t="shared" si="235"/>
        <v>18</v>
      </c>
      <c r="H612" s="156" t="str">
        <f t="shared" si="236"/>
        <v>32 fős egyenes kiesés</v>
      </c>
      <c r="I612" s="157" t="str">
        <f>"2"</f>
        <v>2</v>
      </c>
      <c r="J612" s="156" t="str">
        <f>"Szlivka Botond Csaba"</f>
        <v>Szlivka Botond Csaba</v>
      </c>
      <c r="K612" s="156" t="str">
        <f>"Shogun"</f>
        <v>Shogun</v>
      </c>
      <c r="L612" s="156" t="str">
        <f t="shared" si="227"/>
        <v>HUN</v>
      </c>
      <c r="M612" s="163">
        <v>7</v>
      </c>
      <c r="O612" s="154" t="s">
        <v>410</v>
      </c>
      <c r="P612" s="159">
        <v>46103</v>
      </c>
      <c r="Q612" s="154" t="str">
        <f t="shared" si="228"/>
        <v>Szlivka Botond Csaba - Shogun</v>
      </c>
      <c r="R612" s="154" t="s">
        <v>636</v>
      </c>
      <c r="S612" s="154" t="str">
        <f t="shared" si="229"/>
        <v>Shogun</v>
      </c>
      <c r="T612" s="154" t="s">
        <v>645</v>
      </c>
      <c r="U612" s="154" t="s">
        <v>796</v>
      </c>
      <c r="V612" s="154"/>
    </row>
    <row r="613" spans="1:22" s="158" customFormat="1" x14ac:dyDescent="0.3">
      <c r="A613" s="154" t="s">
        <v>777</v>
      </c>
      <c r="B613" s="155" t="s">
        <v>154</v>
      </c>
      <c r="C613" s="154">
        <v>531</v>
      </c>
      <c r="D613" s="156" t="str">
        <f t="shared" si="233"/>
        <v>Kata</v>
      </c>
      <c r="E613" s="156" t="str">
        <f t="shared" si="234"/>
        <v>Kata, -, 0-100 kg, Gyerek 1. (9-10</v>
      </c>
      <c r="F613" s="156" t="s">
        <v>514</v>
      </c>
      <c r="G613" s="157" t="str">
        <f t="shared" si="235"/>
        <v>18</v>
      </c>
      <c r="H613" s="156" t="str">
        <f t="shared" si="236"/>
        <v>32 fős egyenes kiesés</v>
      </c>
      <c r="I613" s="157" t="str">
        <f>"3"</f>
        <v>3</v>
      </c>
      <c r="J613" s="156" t="str">
        <f>"Huszti Dániel"</f>
        <v>Huszti Dániel</v>
      </c>
      <c r="K613" s="156" t="str">
        <f>"Shogun"</f>
        <v>Shogun</v>
      </c>
      <c r="L613" s="156" t="str">
        <f t="shared" si="227"/>
        <v>HUN</v>
      </c>
      <c r="M613" s="163">
        <v>5</v>
      </c>
      <c r="O613" s="154" t="s">
        <v>410</v>
      </c>
      <c r="P613" s="159">
        <v>46103</v>
      </c>
      <c r="Q613" s="154" t="str">
        <f t="shared" si="228"/>
        <v>Huszti Dániel - Shogun</v>
      </c>
      <c r="R613" s="154" t="s">
        <v>636</v>
      </c>
      <c r="S613" s="154" t="str">
        <f t="shared" si="229"/>
        <v>Shogun</v>
      </c>
      <c r="T613" s="154" t="s">
        <v>645</v>
      </c>
      <c r="U613" s="154" t="s">
        <v>796</v>
      </c>
      <c r="V613" s="154"/>
    </row>
    <row r="614" spans="1:22" s="158" customFormat="1" x14ac:dyDescent="0.3">
      <c r="A614" s="154" t="s">
        <v>777</v>
      </c>
      <c r="B614" s="155" t="s">
        <v>154</v>
      </c>
      <c r="C614" s="154">
        <v>532</v>
      </c>
      <c r="D614" s="156" t="str">
        <f t="shared" si="233"/>
        <v>Kata</v>
      </c>
      <c r="E614" s="156" t="str">
        <f t="shared" si="234"/>
        <v>Kata, -, 0-100 kg, Gyerek 1. (9-10</v>
      </c>
      <c r="F614" s="156" t="s">
        <v>514</v>
      </c>
      <c r="G614" s="157" t="str">
        <f t="shared" si="235"/>
        <v>18</v>
      </c>
      <c r="H614" s="156" t="str">
        <f t="shared" si="236"/>
        <v>32 fős egyenes kiesés</v>
      </c>
      <c r="I614" s="157" t="str">
        <f>"3"</f>
        <v>3</v>
      </c>
      <c r="J614" s="156" t="str">
        <f>"Németh Dávid"</f>
        <v>Németh Dávid</v>
      </c>
      <c r="K614" s="156" t="str">
        <f>"BHMSE"</f>
        <v>BHMSE</v>
      </c>
      <c r="L614" s="156" t="str">
        <f t="shared" si="227"/>
        <v>HUN</v>
      </c>
      <c r="M614" s="163">
        <v>5</v>
      </c>
      <c r="O614" s="154" t="s">
        <v>410</v>
      </c>
      <c r="P614" s="159">
        <v>46103</v>
      </c>
      <c r="Q614" s="154" t="str">
        <f t="shared" si="228"/>
        <v>Németh Dávid - BHMSE</v>
      </c>
      <c r="R614" s="154" t="s">
        <v>636</v>
      </c>
      <c r="S614" s="154" t="str">
        <f t="shared" si="229"/>
        <v>BHMSE</v>
      </c>
      <c r="T614" s="154" t="s">
        <v>645</v>
      </c>
      <c r="U614" s="154" t="s">
        <v>796</v>
      </c>
      <c r="V614" s="154"/>
    </row>
    <row r="615" spans="1:22" s="158" customFormat="1" x14ac:dyDescent="0.3">
      <c r="A615" s="154" t="s">
        <v>777</v>
      </c>
      <c r="B615" s="155" t="s">
        <v>154</v>
      </c>
      <c r="C615" s="154">
        <v>533</v>
      </c>
      <c r="D615" s="156" t="str">
        <f t="shared" si="233"/>
        <v>Kata</v>
      </c>
      <c r="E615" s="156" t="str">
        <f t="shared" si="234"/>
        <v>Kata, -, 0-100 kg, Gyerek 1. (9-10</v>
      </c>
      <c r="F615" s="156" t="s">
        <v>514</v>
      </c>
      <c r="G615" s="157" t="str">
        <f t="shared" si="235"/>
        <v>18</v>
      </c>
      <c r="H615" s="156" t="str">
        <f t="shared" si="236"/>
        <v>32 fős egyenes kiesés</v>
      </c>
      <c r="I615" s="157" t="str">
        <f>"5"</f>
        <v>5</v>
      </c>
      <c r="J615" s="156" t="str">
        <f>"Dániel Bence"</f>
        <v>Dániel Bence</v>
      </c>
      <c r="K615" s="156" t="str">
        <f>"Shogun"</f>
        <v>Shogun</v>
      </c>
      <c r="L615" s="156" t="str">
        <f t="shared" si="227"/>
        <v>HUN</v>
      </c>
      <c r="M615" s="163">
        <v>3</v>
      </c>
      <c r="O615" s="154" t="s">
        <v>410</v>
      </c>
      <c r="P615" s="159">
        <v>46103</v>
      </c>
      <c r="Q615" s="154" t="str">
        <f t="shared" si="228"/>
        <v>Dániel Bence - Shogun</v>
      </c>
      <c r="R615" s="154" t="s">
        <v>636</v>
      </c>
      <c r="S615" s="154" t="str">
        <f t="shared" si="229"/>
        <v>Shogun</v>
      </c>
      <c r="T615" s="154" t="s">
        <v>645</v>
      </c>
      <c r="U615" s="154" t="s">
        <v>796</v>
      </c>
      <c r="V615" s="154"/>
    </row>
    <row r="616" spans="1:22" s="158" customFormat="1" x14ac:dyDescent="0.3">
      <c r="A616" s="154" t="s">
        <v>777</v>
      </c>
      <c r="B616" s="155" t="s">
        <v>154</v>
      </c>
      <c r="C616" s="154">
        <v>534</v>
      </c>
      <c r="D616" s="156" t="str">
        <f t="shared" si="233"/>
        <v>Kata</v>
      </c>
      <c r="E616" s="156" t="str">
        <f t="shared" si="234"/>
        <v>Kata, -, 0-100 kg, Gyerek 1. (9-10</v>
      </c>
      <c r="F616" s="156" t="s">
        <v>514</v>
      </c>
      <c r="G616" s="157" t="str">
        <f t="shared" si="235"/>
        <v>18</v>
      </c>
      <c r="H616" s="156" t="str">
        <f t="shared" si="236"/>
        <v>32 fős egyenes kiesés</v>
      </c>
      <c r="I616" s="157" t="str">
        <f>"6"</f>
        <v>6</v>
      </c>
      <c r="J616" s="156" t="str">
        <f>"Karácsony Vadim"</f>
        <v>Karácsony Vadim</v>
      </c>
      <c r="K616" s="156" t="str">
        <f>"BHMSE"</f>
        <v>BHMSE</v>
      </c>
      <c r="L616" s="156" t="str">
        <f t="shared" si="227"/>
        <v>HUN</v>
      </c>
      <c r="M616" s="163">
        <v>3</v>
      </c>
      <c r="O616" s="154" t="s">
        <v>410</v>
      </c>
      <c r="P616" s="159">
        <v>46103</v>
      </c>
      <c r="Q616" s="154" t="str">
        <f t="shared" si="228"/>
        <v>Karácsony Vadim - BHMSE</v>
      </c>
      <c r="R616" s="154" t="s">
        <v>636</v>
      </c>
      <c r="S616" s="154" t="str">
        <f t="shared" si="229"/>
        <v>BHMSE</v>
      </c>
      <c r="T616" s="154" t="s">
        <v>645</v>
      </c>
      <c r="U616" s="154" t="s">
        <v>796</v>
      </c>
      <c r="V616" s="154"/>
    </row>
    <row r="617" spans="1:22" s="158" customFormat="1" x14ac:dyDescent="0.3">
      <c r="A617" s="154" t="s">
        <v>777</v>
      </c>
      <c r="B617" s="155" t="s">
        <v>154</v>
      </c>
      <c r="C617" s="154">
        <v>535</v>
      </c>
      <c r="D617" s="156" t="str">
        <f t="shared" si="233"/>
        <v>Kata</v>
      </c>
      <c r="E617" s="156" t="str">
        <f t="shared" si="234"/>
        <v>Kata, -, 0-100 kg, Gyerek 1. (9-10</v>
      </c>
      <c r="F617" s="156" t="s">
        <v>514</v>
      </c>
      <c r="G617" s="157" t="str">
        <f t="shared" si="235"/>
        <v>18</v>
      </c>
      <c r="H617" s="156" t="str">
        <f t="shared" si="236"/>
        <v>32 fős egyenes kiesés</v>
      </c>
      <c r="I617" s="157" t="str">
        <f>"7-8"</f>
        <v>7-8</v>
      </c>
      <c r="J617" s="156" t="str">
        <f>"Sárközi Bence"</f>
        <v>Sárközi Bence</v>
      </c>
      <c r="K617" s="156" t="str">
        <f>"Shogun"</f>
        <v>Shogun</v>
      </c>
      <c r="L617" s="156" t="str">
        <f t="shared" si="227"/>
        <v>HUN</v>
      </c>
      <c r="M617" s="163">
        <v>3</v>
      </c>
      <c r="O617" s="154" t="s">
        <v>410</v>
      </c>
      <c r="P617" s="159">
        <v>46103</v>
      </c>
      <c r="Q617" s="154" t="str">
        <f t="shared" si="228"/>
        <v>Sárközi Bence - Shogun</v>
      </c>
      <c r="R617" s="154" t="s">
        <v>636</v>
      </c>
      <c r="S617" s="154" t="str">
        <f t="shared" si="229"/>
        <v>Shogun</v>
      </c>
      <c r="T617" s="154" t="s">
        <v>645</v>
      </c>
      <c r="U617" s="154" t="s">
        <v>796</v>
      </c>
      <c r="V617" s="154"/>
    </row>
    <row r="618" spans="1:22" s="158" customFormat="1" x14ac:dyDescent="0.3">
      <c r="A618" s="154" t="s">
        <v>777</v>
      </c>
      <c r="B618" s="155" t="s">
        <v>154</v>
      </c>
      <c r="C618" s="154">
        <v>536</v>
      </c>
      <c r="D618" s="156" t="str">
        <f t="shared" si="233"/>
        <v>Kata</v>
      </c>
      <c r="E618" s="156" t="str">
        <f t="shared" si="234"/>
        <v>Kata, -, 0-100 kg, Gyerek 1. (9-10</v>
      </c>
      <c r="F618" s="156" t="s">
        <v>514</v>
      </c>
      <c r="G618" s="157" t="str">
        <f t="shared" si="235"/>
        <v>18</v>
      </c>
      <c r="H618" s="156" t="str">
        <f t="shared" si="236"/>
        <v>32 fős egyenes kiesés</v>
      </c>
      <c r="I618" s="157" t="str">
        <f>"7-8"</f>
        <v>7-8</v>
      </c>
      <c r="J618" s="156" t="str">
        <f>"Bakonyi Erik"</f>
        <v>Bakonyi Erik</v>
      </c>
      <c r="K618" s="156" t="str">
        <f>"BHMSE"</f>
        <v>BHMSE</v>
      </c>
      <c r="L618" s="156" t="str">
        <f t="shared" si="227"/>
        <v>HUN</v>
      </c>
      <c r="M618" s="163">
        <v>3</v>
      </c>
      <c r="O618" s="154" t="s">
        <v>410</v>
      </c>
      <c r="P618" s="159">
        <v>46103</v>
      </c>
      <c r="Q618" s="154" t="str">
        <f t="shared" si="228"/>
        <v>Bakonyi Erik - BHMSE</v>
      </c>
      <c r="R618" s="154" t="s">
        <v>636</v>
      </c>
      <c r="S618" s="154" t="str">
        <f t="shared" si="229"/>
        <v>BHMSE</v>
      </c>
      <c r="T618" s="154" t="s">
        <v>645</v>
      </c>
      <c r="U618" s="154" t="s">
        <v>796</v>
      </c>
      <c r="V618" s="154"/>
    </row>
    <row r="619" spans="1:22" s="158" customFormat="1" x14ac:dyDescent="0.3">
      <c r="A619" s="154" t="s">
        <v>777</v>
      </c>
      <c r="B619" s="155" t="s">
        <v>154</v>
      </c>
      <c r="C619" s="154">
        <v>537</v>
      </c>
      <c r="D619" s="156" t="str">
        <f t="shared" si="233"/>
        <v>Kata</v>
      </c>
      <c r="E619" s="156" t="str">
        <f t="shared" si="234"/>
        <v>Kata, -, 0-100 kg, Gyerek 1. (9-10</v>
      </c>
      <c r="F619" s="156" t="s">
        <v>514</v>
      </c>
      <c r="G619" s="157" t="str">
        <f t="shared" si="235"/>
        <v>18</v>
      </c>
      <c r="H619" s="156" t="str">
        <f t="shared" si="236"/>
        <v>32 fős egyenes kiesés</v>
      </c>
      <c r="I619" s="157" t="str">
        <f>"9"</f>
        <v>9</v>
      </c>
      <c r="J619" s="156" t="str">
        <f>"Gattoni Marcello"</f>
        <v>Gattoni Marcello</v>
      </c>
      <c r="K619" s="156" t="str">
        <f>"BHMSE"</f>
        <v>BHMSE</v>
      </c>
      <c r="L619" s="156" t="str">
        <f t="shared" si="227"/>
        <v>HUN</v>
      </c>
      <c r="M619" s="163">
        <v>0</v>
      </c>
      <c r="O619" s="154" t="s">
        <v>410</v>
      </c>
      <c r="P619" s="159">
        <v>46103</v>
      </c>
      <c r="Q619" s="154" t="str">
        <f t="shared" si="228"/>
        <v>Gattoni Marcello - BHMSE</v>
      </c>
      <c r="R619" s="154" t="s">
        <v>636</v>
      </c>
      <c r="S619" s="154" t="str">
        <f t="shared" si="229"/>
        <v>BHMSE</v>
      </c>
      <c r="T619" s="154" t="s">
        <v>645</v>
      </c>
      <c r="U619" s="154" t="s">
        <v>796</v>
      </c>
      <c r="V619" s="154"/>
    </row>
    <row r="620" spans="1:22" s="158" customFormat="1" x14ac:dyDescent="0.3">
      <c r="A620" s="154" t="s">
        <v>777</v>
      </c>
      <c r="B620" s="155" t="s">
        <v>154</v>
      </c>
      <c r="C620" s="154">
        <v>538</v>
      </c>
      <c r="D620" s="156" t="str">
        <f t="shared" si="233"/>
        <v>Kata</v>
      </c>
      <c r="E620" s="156" t="str">
        <f t="shared" si="234"/>
        <v>Kata, -, 0-100 kg, Gyerek 1. (9-10</v>
      </c>
      <c r="F620" s="156" t="s">
        <v>514</v>
      </c>
      <c r="G620" s="157" t="str">
        <f t="shared" si="235"/>
        <v>18</v>
      </c>
      <c r="H620" s="156" t="str">
        <f t="shared" si="236"/>
        <v>32 fős egyenes kiesés</v>
      </c>
      <c r="I620" s="157" t="str">
        <f>"10"</f>
        <v>10</v>
      </c>
      <c r="J620" s="156" t="str">
        <f>"Gruber Marcell"</f>
        <v>Gruber Marcell</v>
      </c>
      <c r="K620" s="156" t="str">
        <f>"Siófok KSE"</f>
        <v>Siófok KSE</v>
      </c>
      <c r="L620" s="156" t="str">
        <f t="shared" si="227"/>
        <v>HUN</v>
      </c>
      <c r="M620" s="163">
        <v>0</v>
      </c>
      <c r="O620" s="154" t="s">
        <v>410</v>
      </c>
      <c r="P620" s="159">
        <v>46103</v>
      </c>
      <c r="Q620" s="154" t="str">
        <f t="shared" si="228"/>
        <v>Gruber Marcell - Siófok KSE</v>
      </c>
      <c r="R620" s="154" t="s">
        <v>636</v>
      </c>
      <c r="S620" s="154" t="str">
        <f t="shared" si="229"/>
        <v>Siófok KSE</v>
      </c>
      <c r="T620" s="154" t="s">
        <v>645</v>
      </c>
      <c r="U620" s="154" t="s">
        <v>796</v>
      </c>
      <c r="V620" s="154"/>
    </row>
    <row r="621" spans="1:22" s="158" customFormat="1" x14ac:dyDescent="0.3">
      <c r="A621" s="154" t="s">
        <v>777</v>
      </c>
      <c r="B621" s="155" t="s">
        <v>154</v>
      </c>
      <c r="C621" s="154">
        <v>539</v>
      </c>
      <c r="D621" s="156" t="str">
        <f t="shared" si="233"/>
        <v>Kata</v>
      </c>
      <c r="E621" s="156" t="str">
        <f t="shared" si="234"/>
        <v>Kata, -, 0-100 kg, Gyerek 1. (9-10</v>
      </c>
      <c r="F621" s="156" t="s">
        <v>514</v>
      </c>
      <c r="G621" s="157" t="str">
        <f t="shared" si="235"/>
        <v>18</v>
      </c>
      <c r="H621" s="156" t="str">
        <f t="shared" si="236"/>
        <v>32 fős egyenes kiesés</v>
      </c>
      <c r="I621" s="157" t="str">
        <f t="shared" ref="I621:I626" si="237">"11-16"</f>
        <v>11-16</v>
      </c>
      <c r="J621" s="156" t="str">
        <f>"Csordás Olivér"</f>
        <v>Csordás Olivér</v>
      </c>
      <c r="K621" s="156" t="str">
        <f>"KSE Tarján"</f>
        <v>KSE Tarján</v>
      </c>
      <c r="L621" s="156" t="str">
        <f t="shared" si="227"/>
        <v>HUN</v>
      </c>
      <c r="M621" s="163">
        <v>0</v>
      </c>
      <c r="O621" s="154" t="s">
        <v>410</v>
      </c>
      <c r="P621" s="159">
        <v>46103</v>
      </c>
      <c r="Q621" s="154" t="str">
        <f t="shared" si="228"/>
        <v>Csordás Olivér - KSE Tarján</v>
      </c>
      <c r="R621" s="154" t="s">
        <v>636</v>
      </c>
      <c r="S621" s="154" t="str">
        <f t="shared" si="229"/>
        <v>KSE Tarján</v>
      </c>
      <c r="T621" s="154" t="s">
        <v>645</v>
      </c>
      <c r="U621" s="154" t="s">
        <v>796</v>
      </c>
      <c r="V621" s="154"/>
    </row>
    <row r="622" spans="1:22" s="158" customFormat="1" x14ac:dyDescent="0.3">
      <c r="A622" s="154" t="s">
        <v>777</v>
      </c>
      <c r="B622" s="155" t="s">
        <v>154</v>
      </c>
      <c r="C622" s="154">
        <v>540</v>
      </c>
      <c r="D622" s="156" t="str">
        <f t="shared" si="233"/>
        <v>Kata</v>
      </c>
      <c r="E622" s="156" t="str">
        <f t="shared" si="234"/>
        <v>Kata, -, 0-100 kg, Gyerek 1. (9-10</v>
      </c>
      <c r="F622" s="156" t="s">
        <v>514</v>
      </c>
      <c r="G622" s="157" t="str">
        <f t="shared" si="235"/>
        <v>18</v>
      </c>
      <c r="H622" s="156" t="str">
        <f t="shared" si="236"/>
        <v>32 fős egyenes kiesés</v>
      </c>
      <c r="I622" s="157" t="str">
        <f t="shared" si="237"/>
        <v>11-16</v>
      </c>
      <c r="J622" s="156" t="str">
        <f>"Aupek Márk"</f>
        <v>Aupek Márk</v>
      </c>
      <c r="K622" s="156" t="str">
        <f>"VTSE"</f>
        <v>VTSE</v>
      </c>
      <c r="L622" s="156" t="str">
        <f t="shared" si="227"/>
        <v>HUN</v>
      </c>
      <c r="M622" s="163">
        <v>0</v>
      </c>
      <c r="O622" s="154" t="s">
        <v>410</v>
      </c>
      <c r="P622" s="159">
        <v>46103</v>
      </c>
      <c r="Q622" s="154" t="str">
        <f t="shared" si="228"/>
        <v>Aupek Márk - VTSE</v>
      </c>
      <c r="R622" s="154" t="s">
        <v>637</v>
      </c>
      <c r="S622" s="154" t="str">
        <f t="shared" si="229"/>
        <v>VTSE</v>
      </c>
      <c r="T622" s="154" t="s">
        <v>645</v>
      </c>
      <c r="U622" s="154" t="s">
        <v>796</v>
      </c>
      <c r="V622" s="154"/>
    </row>
    <row r="623" spans="1:22" s="158" customFormat="1" x14ac:dyDescent="0.3">
      <c r="A623" s="154" t="s">
        <v>777</v>
      </c>
      <c r="B623" s="155" t="s">
        <v>154</v>
      </c>
      <c r="C623" s="154">
        <v>541</v>
      </c>
      <c r="D623" s="156" t="str">
        <f t="shared" si="233"/>
        <v>Kata</v>
      </c>
      <c r="E623" s="156" t="str">
        <f t="shared" si="234"/>
        <v>Kata, -, 0-100 kg, Gyerek 1. (9-10</v>
      </c>
      <c r="F623" s="156" t="s">
        <v>514</v>
      </c>
      <c r="G623" s="157" t="str">
        <f t="shared" si="235"/>
        <v>18</v>
      </c>
      <c r="H623" s="156" t="str">
        <f t="shared" si="236"/>
        <v>32 fős egyenes kiesés</v>
      </c>
      <c r="I623" s="157" t="str">
        <f t="shared" si="237"/>
        <v>11-16</v>
      </c>
      <c r="J623" s="156" t="str">
        <f>"Kolipka Máté Gergő"</f>
        <v>Kolipka Máté Gergő</v>
      </c>
      <c r="K623" s="156" t="str">
        <f>"KSE Tarján"</f>
        <v>KSE Tarján</v>
      </c>
      <c r="L623" s="156" t="str">
        <f t="shared" si="227"/>
        <v>HUN</v>
      </c>
      <c r="M623" s="163">
        <v>0</v>
      </c>
      <c r="O623" s="154" t="s">
        <v>410</v>
      </c>
      <c r="P623" s="159">
        <v>46103</v>
      </c>
      <c r="Q623" s="154" t="str">
        <f t="shared" si="228"/>
        <v>Kolipka Máté Gergő - KSE Tarján</v>
      </c>
      <c r="R623" s="154" t="s">
        <v>636</v>
      </c>
      <c r="S623" s="154" t="str">
        <f t="shared" si="229"/>
        <v>KSE Tarján</v>
      </c>
      <c r="T623" s="154" t="s">
        <v>645</v>
      </c>
      <c r="U623" s="154" t="s">
        <v>796</v>
      </c>
      <c r="V623" s="154"/>
    </row>
    <row r="624" spans="1:22" s="158" customFormat="1" x14ac:dyDescent="0.3">
      <c r="A624" s="154" t="s">
        <v>777</v>
      </c>
      <c r="B624" s="155" t="s">
        <v>154</v>
      </c>
      <c r="C624" s="154">
        <v>542</v>
      </c>
      <c r="D624" s="156" t="str">
        <f t="shared" si="233"/>
        <v>Kata</v>
      </c>
      <c r="E624" s="156" t="str">
        <f t="shared" si="234"/>
        <v>Kata, -, 0-100 kg, Gyerek 1. (9-10</v>
      </c>
      <c r="F624" s="156" t="s">
        <v>514</v>
      </c>
      <c r="G624" s="157" t="str">
        <f t="shared" si="235"/>
        <v>18</v>
      </c>
      <c r="H624" s="156" t="str">
        <f t="shared" si="236"/>
        <v>32 fős egyenes kiesés</v>
      </c>
      <c r="I624" s="157" t="str">
        <f t="shared" si="237"/>
        <v>11-16</v>
      </c>
      <c r="J624" s="156" t="str">
        <f>"Mohácsi DOminik"</f>
        <v>Mohácsi DOminik</v>
      </c>
      <c r="K624" s="156" t="str">
        <f>"Victory"</f>
        <v>Victory</v>
      </c>
      <c r="L624" s="156" t="str">
        <f t="shared" si="227"/>
        <v>HUN</v>
      </c>
      <c r="M624" s="163">
        <v>0</v>
      </c>
      <c r="O624" s="154" t="s">
        <v>410</v>
      </c>
      <c r="P624" s="159">
        <v>46103</v>
      </c>
      <c r="Q624" s="154" t="str">
        <f t="shared" si="228"/>
        <v>Mohácsi DOminik - Victory</v>
      </c>
      <c r="R624" s="154" t="s">
        <v>636</v>
      </c>
      <c r="S624" s="154" t="str">
        <f t="shared" si="229"/>
        <v>Victory</v>
      </c>
      <c r="T624" s="154" t="s">
        <v>645</v>
      </c>
      <c r="U624" s="154" t="s">
        <v>796</v>
      </c>
      <c r="V624" s="154"/>
    </row>
    <row r="625" spans="1:22" s="158" customFormat="1" x14ac:dyDescent="0.3">
      <c r="A625" s="154" t="s">
        <v>777</v>
      </c>
      <c r="B625" s="155" t="s">
        <v>154</v>
      </c>
      <c r="C625" s="154">
        <v>543</v>
      </c>
      <c r="D625" s="156" t="str">
        <f t="shared" si="233"/>
        <v>Kata</v>
      </c>
      <c r="E625" s="156" t="str">
        <f t="shared" si="234"/>
        <v>Kata, -, 0-100 kg, Gyerek 1. (9-10</v>
      </c>
      <c r="F625" s="156" t="s">
        <v>514</v>
      </c>
      <c r="G625" s="157" t="str">
        <f t="shared" si="235"/>
        <v>18</v>
      </c>
      <c r="H625" s="156" t="str">
        <f t="shared" si="236"/>
        <v>32 fős egyenes kiesés</v>
      </c>
      <c r="I625" s="157" t="str">
        <f t="shared" si="237"/>
        <v>11-16</v>
      </c>
      <c r="J625" s="156" t="str">
        <f>"Tóth Máté"</f>
        <v>Tóth Máté</v>
      </c>
      <c r="K625" s="156" t="str">
        <f>"Bendiák Dojo"</f>
        <v>Bendiák Dojo</v>
      </c>
      <c r="L625" s="156" t="str">
        <f t="shared" si="227"/>
        <v>HUN</v>
      </c>
      <c r="M625" s="163">
        <v>0</v>
      </c>
      <c r="O625" s="154" t="s">
        <v>410</v>
      </c>
      <c r="P625" s="159">
        <v>46103</v>
      </c>
      <c r="Q625" s="154" t="str">
        <f t="shared" si="228"/>
        <v>Tóth Máté - Bendiák Dojo</v>
      </c>
      <c r="R625" s="154" t="s">
        <v>636</v>
      </c>
      <c r="S625" s="154" t="str">
        <f t="shared" si="229"/>
        <v>Bendiák Dojo</v>
      </c>
      <c r="T625" s="154" t="s">
        <v>645</v>
      </c>
      <c r="U625" s="154" t="s">
        <v>796</v>
      </c>
      <c r="V625" s="154"/>
    </row>
    <row r="626" spans="1:22" s="158" customFormat="1" x14ac:dyDescent="0.3">
      <c r="A626" s="154" t="s">
        <v>777</v>
      </c>
      <c r="B626" s="155" t="s">
        <v>154</v>
      </c>
      <c r="C626" s="154">
        <v>544</v>
      </c>
      <c r="D626" s="156" t="str">
        <f t="shared" si="233"/>
        <v>Kata</v>
      </c>
      <c r="E626" s="156" t="str">
        <f t="shared" si="234"/>
        <v>Kata, -, 0-100 kg, Gyerek 1. (9-10</v>
      </c>
      <c r="F626" s="156" t="s">
        <v>514</v>
      </c>
      <c r="G626" s="157" t="str">
        <f t="shared" si="235"/>
        <v>18</v>
      </c>
      <c r="H626" s="156" t="str">
        <f t="shared" si="236"/>
        <v>32 fős egyenes kiesés</v>
      </c>
      <c r="I626" s="157" t="str">
        <f t="shared" si="237"/>
        <v>11-16</v>
      </c>
      <c r="J626" s="156" t="str">
        <f>"Blokhin Alexei"</f>
        <v>Blokhin Alexei</v>
      </c>
      <c r="K626" s="156" t="str">
        <f>"Victory"</f>
        <v>Victory</v>
      </c>
      <c r="L626" s="156" t="str">
        <f t="shared" si="227"/>
        <v>HUN</v>
      </c>
      <c r="M626" s="163">
        <v>0</v>
      </c>
      <c r="O626" s="154" t="s">
        <v>410</v>
      </c>
      <c r="P626" s="159">
        <v>46103</v>
      </c>
      <c r="Q626" s="154" t="str">
        <f t="shared" si="228"/>
        <v>Blokhin Alexei - Victory</v>
      </c>
      <c r="R626" s="154" t="s">
        <v>636</v>
      </c>
      <c r="S626" s="154" t="str">
        <f t="shared" si="229"/>
        <v>Victory</v>
      </c>
      <c r="T626" s="154" t="s">
        <v>645</v>
      </c>
      <c r="U626" s="154" t="s">
        <v>796</v>
      </c>
      <c r="V626" s="154"/>
    </row>
    <row r="627" spans="1:22" s="158" customFormat="1" x14ac:dyDescent="0.3">
      <c r="A627" s="154" t="s">
        <v>777</v>
      </c>
      <c r="B627" s="155" t="s">
        <v>154</v>
      </c>
      <c r="C627" s="154">
        <v>545</v>
      </c>
      <c r="D627" s="156" t="str">
        <f t="shared" ref="D627:D638" si="238">"Kumite"</f>
        <v>Kumite</v>
      </c>
      <c r="E627" s="156" t="str">
        <f>"Kumite, -, 0-30 kg, Gyerek 1. (9-10"</f>
        <v>Kumite, -, 0-30 kg, Gyerek 1. (9-10</v>
      </c>
      <c r="F627" s="156" t="s">
        <v>515</v>
      </c>
      <c r="G627" s="157" t="str">
        <f>"2"</f>
        <v>2</v>
      </c>
      <c r="H627" s="156" t="str">
        <f>"2 fős egyenes kiesés"</f>
        <v>2 fős egyenes kiesés</v>
      </c>
      <c r="I627" s="157" t="str">
        <f>"1"</f>
        <v>1</v>
      </c>
      <c r="J627" s="156" t="str">
        <f>"Lukács Ajsa"</f>
        <v>Lukács Ajsa</v>
      </c>
      <c r="K627" s="156" t="str">
        <f>"BHMSE"</f>
        <v>BHMSE</v>
      </c>
      <c r="L627" s="156" t="str">
        <f t="shared" si="227"/>
        <v>HUN</v>
      </c>
      <c r="M627" s="163">
        <v>4</v>
      </c>
      <c r="O627" s="154" t="s">
        <v>410</v>
      </c>
      <c r="P627" s="159">
        <v>46103</v>
      </c>
      <c r="Q627" s="154" t="str">
        <f t="shared" si="228"/>
        <v>Lukács Ajsa - BHMSE</v>
      </c>
      <c r="R627" s="154" t="s">
        <v>636</v>
      </c>
      <c r="S627" s="154" t="str">
        <f t="shared" si="229"/>
        <v>BHMSE</v>
      </c>
      <c r="T627" s="154" t="s">
        <v>645</v>
      </c>
      <c r="U627" s="154" t="s">
        <v>796</v>
      </c>
      <c r="V627" s="154"/>
    </row>
    <row r="628" spans="1:22" s="158" customFormat="1" x14ac:dyDescent="0.3">
      <c r="A628" s="154" t="s">
        <v>777</v>
      </c>
      <c r="B628" s="155" t="s">
        <v>154</v>
      </c>
      <c r="C628" s="154">
        <v>546</v>
      </c>
      <c r="D628" s="156" t="str">
        <f t="shared" si="238"/>
        <v>Kumite</v>
      </c>
      <c r="E628" s="156" t="str">
        <f>"Kumite, -, 0-30 kg, Gyerek 1. (9-10"</f>
        <v>Kumite, -, 0-30 kg, Gyerek 1. (9-10</v>
      </c>
      <c r="F628" s="156" t="s">
        <v>515</v>
      </c>
      <c r="G628" s="157" t="str">
        <f>"2"</f>
        <v>2</v>
      </c>
      <c r="H628" s="156" t="str">
        <f>"2 fős egyenes kiesés"</f>
        <v>2 fős egyenes kiesés</v>
      </c>
      <c r="I628" s="157" t="str">
        <f>"2"</f>
        <v>2</v>
      </c>
      <c r="J628" s="156" t="str">
        <f>"Erdei Emília"</f>
        <v>Erdei Emília</v>
      </c>
      <c r="K628" s="156" t="str">
        <f>"Rokku KKSE"</f>
        <v>Rokku KKSE</v>
      </c>
      <c r="L628" s="156" t="str">
        <f t="shared" si="227"/>
        <v>HUN</v>
      </c>
      <c r="M628" s="163">
        <v>0</v>
      </c>
      <c r="O628" s="154" t="s">
        <v>410</v>
      </c>
      <c r="P628" s="159">
        <v>46103</v>
      </c>
      <c r="Q628" s="154" t="str">
        <f t="shared" si="228"/>
        <v>Erdei Emília - Rokku KKSE</v>
      </c>
      <c r="R628" s="154" t="s">
        <v>636</v>
      </c>
      <c r="S628" s="154" t="str">
        <f t="shared" si="229"/>
        <v>Rokku KKSE</v>
      </c>
      <c r="T628" s="154" t="s">
        <v>645</v>
      </c>
      <c r="U628" s="154" t="s">
        <v>796</v>
      </c>
      <c r="V628" s="154"/>
    </row>
    <row r="629" spans="1:22" s="158" customFormat="1" x14ac:dyDescent="0.3">
      <c r="A629" s="154" t="s">
        <v>777</v>
      </c>
      <c r="B629" s="155" t="s">
        <v>154</v>
      </c>
      <c r="C629" s="154">
        <v>547</v>
      </c>
      <c r="D629" s="156" t="str">
        <f t="shared" si="238"/>
        <v>Kumite</v>
      </c>
      <c r="E629" s="156" t="str">
        <f>"Kumite, -, 30-35 kg, Gyerek 1. (9-10"</f>
        <v>Kumite, -, 30-35 kg, Gyerek 1. (9-10</v>
      </c>
      <c r="F629" s="156" t="s">
        <v>516</v>
      </c>
      <c r="G629" s="157" t="str">
        <f t="shared" ref="G629:G638" si="239">"5"</f>
        <v>5</v>
      </c>
      <c r="H629" s="156" t="str">
        <f t="shared" ref="H629:H638" si="240">"5 fős körmérkőzés"</f>
        <v>5 fős körmérkőzés</v>
      </c>
      <c r="I629" s="157" t="str">
        <f>"1"</f>
        <v>1</v>
      </c>
      <c r="J629" s="156" t="str">
        <f>"Kámán Luca"</f>
        <v>Kámán Luca</v>
      </c>
      <c r="K629" s="156" t="str">
        <f>"Rakurai"</f>
        <v>Rakurai</v>
      </c>
      <c r="L629" s="156" t="str">
        <f t="shared" si="227"/>
        <v>HUN</v>
      </c>
      <c r="M629" s="163">
        <v>10</v>
      </c>
      <c r="O629" s="154" t="s">
        <v>410</v>
      </c>
      <c r="P629" s="159">
        <v>46103</v>
      </c>
      <c r="Q629" s="154" t="str">
        <f t="shared" si="228"/>
        <v>Kámán Luca - Rakurai</v>
      </c>
      <c r="R629" s="154" t="s">
        <v>636</v>
      </c>
      <c r="S629" s="154" t="str">
        <f t="shared" si="229"/>
        <v>Rakurai</v>
      </c>
      <c r="T629" s="154" t="s">
        <v>645</v>
      </c>
      <c r="U629" s="154" t="s">
        <v>796</v>
      </c>
      <c r="V629" s="154"/>
    </row>
    <row r="630" spans="1:22" s="158" customFormat="1" x14ac:dyDescent="0.3">
      <c r="A630" s="154" t="s">
        <v>777</v>
      </c>
      <c r="B630" s="155" t="s">
        <v>154</v>
      </c>
      <c r="C630" s="154">
        <v>548</v>
      </c>
      <c r="D630" s="156" t="str">
        <f t="shared" si="238"/>
        <v>Kumite</v>
      </c>
      <c r="E630" s="156" t="str">
        <f>"Kumite, -, 30-35 kg, Gyerek 1. (9-10"</f>
        <v>Kumite, -, 30-35 kg, Gyerek 1. (9-10</v>
      </c>
      <c r="F630" s="156" t="s">
        <v>516</v>
      </c>
      <c r="G630" s="157" t="str">
        <f t="shared" si="239"/>
        <v>5</v>
      </c>
      <c r="H630" s="156" t="str">
        <f t="shared" si="240"/>
        <v>5 fős körmérkőzés</v>
      </c>
      <c r="I630" s="157" t="str">
        <f>"2"</f>
        <v>2</v>
      </c>
      <c r="J630" s="156" t="str">
        <f>"Zeke Kata"</f>
        <v>Zeke Kata</v>
      </c>
      <c r="K630" s="156" t="str">
        <f>"Kelemen-Team"</f>
        <v>Kelemen-Team</v>
      </c>
      <c r="L630" s="156" t="str">
        <f t="shared" si="227"/>
        <v>HUN</v>
      </c>
      <c r="M630" s="163">
        <v>8</v>
      </c>
      <c r="O630" s="154" t="s">
        <v>410</v>
      </c>
      <c r="P630" s="159">
        <v>46103</v>
      </c>
      <c r="Q630" s="154" t="str">
        <f t="shared" si="228"/>
        <v>Zeke Kata - Kelemen-Team</v>
      </c>
      <c r="R630" s="154" t="s">
        <v>636</v>
      </c>
      <c r="S630" s="154" t="str">
        <f t="shared" si="229"/>
        <v>Kelemen-Team</v>
      </c>
      <c r="T630" s="154" t="s">
        <v>645</v>
      </c>
      <c r="U630" s="154" t="s">
        <v>796</v>
      </c>
      <c r="V630" s="154"/>
    </row>
    <row r="631" spans="1:22" s="158" customFormat="1" x14ac:dyDescent="0.3">
      <c r="A631" s="154" t="s">
        <v>777</v>
      </c>
      <c r="B631" s="155" t="s">
        <v>154</v>
      </c>
      <c r="C631" s="154">
        <v>549</v>
      </c>
      <c r="D631" s="156" t="str">
        <f t="shared" si="238"/>
        <v>Kumite</v>
      </c>
      <c r="E631" s="156" t="str">
        <f>"Kumite, -, 30-35 kg, Gyerek 1. (9-10"</f>
        <v>Kumite, -, 30-35 kg, Gyerek 1. (9-10</v>
      </c>
      <c r="F631" s="156" t="s">
        <v>516</v>
      </c>
      <c r="G631" s="157" t="str">
        <f t="shared" si="239"/>
        <v>5</v>
      </c>
      <c r="H631" s="156" t="str">
        <f t="shared" si="240"/>
        <v>5 fős körmérkőzés</v>
      </c>
      <c r="I631" s="157" t="str">
        <f>"3"</f>
        <v>3</v>
      </c>
      <c r="J631" s="156" t="str">
        <f>"Falus Dorottya"</f>
        <v>Falus Dorottya</v>
      </c>
      <c r="K631" s="156" t="str">
        <f>"Rokku KKSE"</f>
        <v>Rokku KKSE</v>
      </c>
      <c r="L631" s="156" t="str">
        <f t="shared" si="227"/>
        <v>HUN</v>
      </c>
      <c r="M631" s="163">
        <v>6</v>
      </c>
      <c r="O631" s="154" t="s">
        <v>410</v>
      </c>
      <c r="P631" s="159">
        <v>46103</v>
      </c>
      <c r="Q631" s="154" t="str">
        <f t="shared" si="228"/>
        <v>Falus Dorottya - Rokku KKSE</v>
      </c>
      <c r="R631" s="154" t="s">
        <v>636</v>
      </c>
      <c r="S631" s="154" t="str">
        <f t="shared" si="229"/>
        <v>Rokku KKSE</v>
      </c>
      <c r="T631" s="154" t="s">
        <v>645</v>
      </c>
      <c r="U631" s="154" t="s">
        <v>796</v>
      </c>
      <c r="V631" s="154"/>
    </row>
    <row r="632" spans="1:22" s="158" customFormat="1" x14ac:dyDescent="0.3">
      <c r="A632" s="154" t="s">
        <v>777</v>
      </c>
      <c r="B632" s="155" t="s">
        <v>154</v>
      </c>
      <c r="C632" s="154">
        <v>550</v>
      </c>
      <c r="D632" s="156" t="str">
        <f t="shared" si="238"/>
        <v>Kumite</v>
      </c>
      <c r="E632" s="156" t="str">
        <f>"Kumite, -, 30-35 kg, Gyerek 1. (9-10"</f>
        <v>Kumite, -, 30-35 kg, Gyerek 1. (9-10</v>
      </c>
      <c r="F632" s="156" t="s">
        <v>516</v>
      </c>
      <c r="G632" s="157" t="str">
        <f t="shared" si="239"/>
        <v>5</v>
      </c>
      <c r="H632" s="156" t="str">
        <f t="shared" si="240"/>
        <v>5 fős körmérkőzés</v>
      </c>
      <c r="I632" s="157" t="str">
        <f>"4"</f>
        <v>4</v>
      </c>
      <c r="J632" s="156" t="str">
        <f>"Bácsmegi Luca"</f>
        <v>Bácsmegi Luca</v>
      </c>
      <c r="K632" s="156" t="str">
        <f>"Kelemen-Team"</f>
        <v>Kelemen-Team</v>
      </c>
      <c r="L632" s="156" t="str">
        <f t="shared" si="227"/>
        <v>HUN</v>
      </c>
      <c r="M632" s="163">
        <v>4</v>
      </c>
      <c r="O632" s="154" t="s">
        <v>410</v>
      </c>
      <c r="P632" s="159">
        <v>46103</v>
      </c>
      <c r="Q632" s="154" t="str">
        <f t="shared" si="228"/>
        <v>Bácsmegi Luca - Kelemen-Team</v>
      </c>
      <c r="R632" s="154" t="s">
        <v>636</v>
      </c>
      <c r="S632" s="154" t="str">
        <f t="shared" si="229"/>
        <v>Kelemen-Team</v>
      </c>
      <c r="T632" s="154" t="s">
        <v>645</v>
      </c>
      <c r="U632" s="154" t="s">
        <v>796</v>
      </c>
      <c r="V632" s="154"/>
    </row>
    <row r="633" spans="1:22" s="158" customFormat="1" x14ac:dyDescent="0.3">
      <c r="A633" s="154" t="s">
        <v>777</v>
      </c>
      <c r="B633" s="155" t="s">
        <v>154</v>
      </c>
      <c r="C633" s="154">
        <v>551</v>
      </c>
      <c r="D633" s="156" t="str">
        <f t="shared" si="238"/>
        <v>Kumite</v>
      </c>
      <c r="E633" s="156" t="str">
        <f>"Kumite, -, 30-35 kg, Gyerek 1. (9-10"</f>
        <v>Kumite, -, 30-35 kg, Gyerek 1. (9-10</v>
      </c>
      <c r="F633" s="156" t="s">
        <v>516</v>
      </c>
      <c r="G633" s="157" t="str">
        <f t="shared" si="239"/>
        <v>5</v>
      </c>
      <c r="H633" s="156" t="str">
        <f t="shared" si="240"/>
        <v>5 fős körmérkőzés</v>
      </c>
      <c r="I633" s="157" t="str">
        <f>"5"</f>
        <v>5</v>
      </c>
      <c r="J633" s="156" t="str">
        <f>"Fekete Alíz"</f>
        <v>Fekete Alíz</v>
      </c>
      <c r="K633" s="156" t="str">
        <f>"Shogun"</f>
        <v>Shogun</v>
      </c>
      <c r="L633" s="156" t="str">
        <f t="shared" si="227"/>
        <v>HUN</v>
      </c>
      <c r="M633" s="163">
        <v>0</v>
      </c>
      <c r="O633" s="154" t="s">
        <v>410</v>
      </c>
      <c r="P633" s="159">
        <v>46103</v>
      </c>
      <c r="Q633" s="154" t="str">
        <f t="shared" si="228"/>
        <v>Fekete Alíz - Shogun</v>
      </c>
      <c r="R633" s="154" t="s">
        <v>636</v>
      </c>
      <c r="S633" s="154" t="str">
        <f t="shared" si="229"/>
        <v>Shogun</v>
      </c>
      <c r="T633" s="154" t="s">
        <v>645</v>
      </c>
      <c r="U633" s="154" t="s">
        <v>796</v>
      </c>
      <c r="V633" s="154"/>
    </row>
    <row r="634" spans="1:22" s="158" customFormat="1" x14ac:dyDescent="0.3">
      <c r="A634" s="154" t="s">
        <v>777</v>
      </c>
      <c r="B634" s="155" t="s">
        <v>154</v>
      </c>
      <c r="C634" s="154">
        <v>552</v>
      </c>
      <c r="D634" s="156" t="str">
        <f t="shared" si="238"/>
        <v>Kumite</v>
      </c>
      <c r="E634" s="156" t="str">
        <f>"Kumite, -, 35-200 kg, Gyerek 1. (9-10"</f>
        <v>Kumite, -, 35-200 kg, Gyerek 1. (9-10</v>
      </c>
      <c r="F634" s="156" t="s">
        <v>519</v>
      </c>
      <c r="G634" s="157" t="str">
        <f t="shared" si="239"/>
        <v>5</v>
      </c>
      <c r="H634" s="156" t="str">
        <f t="shared" si="240"/>
        <v>5 fős körmérkőzés</v>
      </c>
      <c r="I634" s="157" t="str">
        <f>"1"</f>
        <v>1</v>
      </c>
      <c r="J634" s="156" t="str">
        <f>"Németh Kitti"</f>
        <v>Németh Kitti</v>
      </c>
      <c r="K634" s="156" t="str">
        <f>"Meiyo dojo"</f>
        <v>Meiyo dojo</v>
      </c>
      <c r="L634" s="156" t="str">
        <f t="shared" si="227"/>
        <v>HUN</v>
      </c>
      <c r="M634" s="163">
        <v>10</v>
      </c>
      <c r="O634" s="154" t="s">
        <v>410</v>
      </c>
      <c r="P634" s="159">
        <v>46103</v>
      </c>
      <c r="Q634" s="154" t="str">
        <f t="shared" si="228"/>
        <v>Németh Kitti - Meiyo dojo</v>
      </c>
      <c r="R634" s="154" t="s">
        <v>636</v>
      </c>
      <c r="S634" s="154" t="str">
        <f t="shared" si="229"/>
        <v>Meiyo dojo</v>
      </c>
      <c r="T634" s="154" t="s">
        <v>645</v>
      </c>
      <c r="U634" s="154" t="s">
        <v>796</v>
      </c>
      <c r="V634" s="154"/>
    </row>
    <row r="635" spans="1:22" s="158" customFormat="1" x14ac:dyDescent="0.3">
      <c r="A635" s="154" t="s">
        <v>777</v>
      </c>
      <c r="B635" s="155" t="s">
        <v>154</v>
      </c>
      <c r="C635" s="154">
        <v>553</v>
      </c>
      <c r="D635" s="156" t="str">
        <f t="shared" si="238"/>
        <v>Kumite</v>
      </c>
      <c r="E635" s="156" t="str">
        <f>"Kumite, -, 35-200 kg, Gyerek 1. (9-10"</f>
        <v>Kumite, -, 35-200 kg, Gyerek 1. (9-10</v>
      </c>
      <c r="F635" s="156" t="s">
        <v>519</v>
      </c>
      <c r="G635" s="157" t="str">
        <f t="shared" si="239"/>
        <v>5</v>
      </c>
      <c r="H635" s="156" t="str">
        <f t="shared" si="240"/>
        <v>5 fős körmérkőzés</v>
      </c>
      <c r="I635" s="157" t="str">
        <f>"2"</f>
        <v>2</v>
      </c>
      <c r="J635" s="156" t="str">
        <f>"Balogh Zora"</f>
        <v>Balogh Zora</v>
      </c>
      <c r="K635" s="156" t="str">
        <f>"Meiyo dojo"</f>
        <v>Meiyo dojo</v>
      </c>
      <c r="L635" s="156" t="str">
        <f t="shared" si="227"/>
        <v>HUN</v>
      </c>
      <c r="M635" s="163">
        <v>8</v>
      </c>
      <c r="O635" s="154" t="s">
        <v>410</v>
      </c>
      <c r="P635" s="159">
        <v>46103</v>
      </c>
      <c r="Q635" s="154" t="str">
        <f t="shared" si="228"/>
        <v>Balogh Zora - Meiyo dojo</v>
      </c>
      <c r="R635" s="154" t="s">
        <v>636</v>
      </c>
      <c r="S635" s="154" t="str">
        <f t="shared" si="229"/>
        <v>Meiyo dojo</v>
      </c>
      <c r="T635" s="154" t="s">
        <v>645</v>
      </c>
      <c r="U635" s="154" t="s">
        <v>796</v>
      </c>
      <c r="V635" s="154"/>
    </row>
    <row r="636" spans="1:22" s="158" customFormat="1" x14ac:dyDescent="0.3">
      <c r="A636" s="154" t="s">
        <v>777</v>
      </c>
      <c r="B636" s="155" t="s">
        <v>154</v>
      </c>
      <c r="C636" s="154">
        <v>554</v>
      </c>
      <c r="D636" s="156" t="str">
        <f t="shared" si="238"/>
        <v>Kumite</v>
      </c>
      <c r="E636" s="156" t="str">
        <f>"Kumite, -, 35-200 kg, Gyerek 1. (9-10"</f>
        <v>Kumite, -, 35-200 kg, Gyerek 1. (9-10</v>
      </c>
      <c r="F636" s="156" t="s">
        <v>519</v>
      </c>
      <c r="G636" s="157" t="str">
        <f t="shared" si="239"/>
        <v>5</v>
      </c>
      <c r="H636" s="156" t="str">
        <f t="shared" si="240"/>
        <v>5 fős körmérkőzés</v>
      </c>
      <c r="I636" s="157" t="str">
        <f>"3"</f>
        <v>3</v>
      </c>
      <c r="J636" s="156" t="str">
        <f>"Nándori Leona"</f>
        <v>Nándori Leona</v>
      </c>
      <c r="K636" s="156" t="str">
        <f>"Kemecse SE"</f>
        <v>Kemecse SE</v>
      </c>
      <c r="L636" s="156" t="str">
        <f t="shared" si="227"/>
        <v>HUN</v>
      </c>
      <c r="M636" s="163">
        <v>6</v>
      </c>
      <c r="O636" s="154" t="s">
        <v>410</v>
      </c>
      <c r="P636" s="159">
        <v>46103</v>
      </c>
      <c r="Q636" s="154" t="str">
        <f t="shared" si="228"/>
        <v>Nándori Leona - Kemecse SE</v>
      </c>
      <c r="R636" s="154" t="s">
        <v>636</v>
      </c>
      <c r="S636" s="154" t="str">
        <f t="shared" si="229"/>
        <v>Kemecse SE</v>
      </c>
      <c r="T636" s="154" t="s">
        <v>645</v>
      </c>
      <c r="U636" s="154" t="s">
        <v>796</v>
      </c>
      <c r="V636" s="154"/>
    </row>
    <row r="637" spans="1:22" s="158" customFormat="1" x14ac:dyDescent="0.3">
      <c r="A637" s="154" t="s">
        <v>777</v>
      </c>
      <c r="B637" s="155" t="s">
        <v>154</v>
      </c>
      <c r="C637" s="154">
        <v>555</v>
      </c>
      <c r="D637" s="156" t="str">
        <f t="shared" si="238"/>
        <v>Kumite</v>
      </c>
      <c r="E637" s="156" t="str">
        <f>"Kumite, -, 35-200 kg, Gyerek 1. (9-10"</f>
        <v>Kumite, -, 35-200 kg, Gyerek 1. (9-10</v>
      </c>
      <c r="F637" s="156" t="s">
        <v>519</v>
      </c>
      <c r="G637" s="157" t="str">
        <f t="shared" si="239"/>
        <v>5</v>
      </c>
      <c r="H637" s="156" t="str">
        <f t="shared" si="240"/>
        <v>5 fős körmérkőzés</v>
      </c>
      <c r="I637" s="157" t="str">
        <f>"4"</f>
        <v>4</v>
      </c>
      <c r="J637" s="156" t="str">
        <f>"Buzás Anna"</f>
        <v>Buzás Anna</v>
      </c>
      <c r="K637" s="156" t="str">
        <f>"Meiyo dojo"</f>
        <v>Meiyo dojo</v>
      </c>
      <c r="L637" s="156" t="str">
        <f t="shared" si="227"/>
        <v>HUN</v>
      </c>
      <c r="M637" s="163">
        <v>4</v>
      </c>
      <c r="O637" s="154" t="s">
        <v>410</v>
      </c>
      <c r="P637" s="159">
        <v>46103</v>
      </c>
      <c r="Q637" s="154" t="str">
        <f t="shared" si="228"/>
        <v>Buzás Anna - Meiyo dojo</v>
      </c>
      <c r="R637" s="154" t="s">
        <v>636</v>
      </c>
      <c r="S637" s="154" t="str">
        <f t="shared" si="229"/>
        <v>Meiyo dojo</v>
      </c>
      <c r="T637" s="154" t="s">
        <v>645</v>
      </c>
      <c r="U637" s="154" t="s">
        <v>796</v>
      </c>
      <c r="V637" s="154"/>
    </row>
    <row r="638" spans="1:22" s="158" customFormat="1" x14ac:dyDescent="0.3">
      <c r="A638" s="154" t="s">
        <v>777</v>
      </c>
      <c r="B638" s="155" t="s">
        <v>154</v>
      </c>
      <c r="C638" s="154">
        <v>556</v>
      </c>
      <c r="D638" s="156" t="str">
        <f t="shared" si="238"/>
        <v>Kumite</v>
      </c>
      <c r="E638" s="156" t="str">
        <f>"Kumite, -, 35-200 kg, Gyerek 1. (9-10"</f>
        <v>Kumite, -, 35-200 kg, Gyerek 1. (9-10</v>
      </c>
      <c r="F638" s="156" t="s">
        <v>519</v>
      </c>
      <c r="G638" s="157" t="str">
        <f t="shared" si="239"/>
        <v>5</v>
      </c>
      <c r="H638" s="156" t="str">
        <f t="shared" si="240"/>
        <v>5 fős körmérkőzés</v>
      </c>
      <c r="I638" s="157" t="str">
        <f>"5"</f>
        <v>5</v>
      </c>
      <c r="J638" s="156" t="str">
        <f>"Vágenhoffer Maja"</f>
        <v>Vágenhoffer Maja</v>
      </c>
      <c r="K638" s="156" t="str">
        <f>"Meiyo dojo"</f>
        <v>Meiyo dojo</v>
      </c>
      <c r="L638" s="156" t="str">
        <f t="shared" si="227"/>
        <v>HUN</v>
      </c>
      <c r="M638" s="163">
        <v>0</v>
      </c>
      <c r="O638" s="154" t="s">
        <v>410</v>
      </c>
      <c r="P638" s="159">
        <v>46103</v>
      </c>
      <c r="Q638" s="154" t="str">
        <f t="shared" si="228"/>
        <v>Vágenhoffer Maja - Meiyo dojo</v>
      </c>
      <c r="R638" s="154" t="s">
        <v>636</v>
      </c>
      <c r="S638" s="154" t="str">
        <f t="shared" si="229"/>
        <v>Meiyo dojo</v>
      </c>
      <c r="T638" s="154" t="s">
        <v>645</v>
      </c>
      <c r="U638" s="154" t="s">
        <v>796</v>
      </c>
      <c r="V638" s="154"/>
    </row>
    <row r="639" spans="1:22" s="158" customFormat="1" x14ac:dyDescent="0.3">
      <c r="A639" s="154" t="s">
        <v>777</v>
      </c>
      <c r="B639" s="155" t="s">
        <v>154</v>
      </c>
      <c r="C639" s="154">
        <v>557</v>
      </c>
      <c r="D639" s="156" t="str">
        <f t="shared" ref="D639:D651" si="241">"Kata"</f>
        <v>Kata</v>
      </c>
      <c r="E639" s="156" t="str">
        <f t="shared" ref="E639:E651" si="242">"Kata, -, 0-100 kg, Gyerek 1. (9-10"</f>
        <v>Kata, -, 0-100 kg, Gyerek 1. (9-10</v>
      </c>
      <c r="F639" s="156" t="s">
        <v>520</v>
      </c>
      <c r="G639" s="157" t="str">
        <f t="shared" ref="G639:G651" si="243">"13"</f>
        <v>13</v>
      </c>
      <c r="H639" s="156" t="str">
        <f t="shared" ref="H639:H651" si="244">"16 fős egyenes kiesés"</f>
        <v>16 fős egyenes kiesés</v>
      </c>
      <c r="I639" s="157" t="str">
        <f>"1"</f>
        <v>1</v>
      </c>
      <c r="J639" s="156" t="str">
        <f>"Lukács Ajsa"</f>
        <v>Lukács Ajsa</v>
      </c>
      <c r="K639" s="156" t="str">
        <f>"BHMSE"</f>
        <v>BHMSE</v>
      </c>
      <c r="L639" s="156" t="str">
        <f t="shared" si="227"/>
        <v>HUN</v>
      </c>
      <c r="M639" s="163">
        <v>8</v>
      </c>
      <c r="O639" s="154" t="s">
        <v>410</v>
      </c>
      <c r="P639" s="159">
        <v>46103</v>
      </c>
      <c r="Q639" s="154" t="str">
        <f t="shared" si="228"/>
        <v>Lukács Ajsa - BHMSE</v>
      </c>
      <c r="R639" s="154" t="s">
        <v>636</v>
      </c>
      <c r="S639" s="154" t="str">
        <f t="shared" si="229"/>
        <v>BHMSE</v>
      </c>
      <c r="T639" s="154" t="s">
        <v>645</v>
      </c>
      <c r="U639" s="154" t="s">
        <v>796</v>
      </c>
      <c r="V639" s="154"/>
    </row>
    <row r="640" spans="1:22" s="158" customFormat="1" x14ac:dyDescent="0.3">
      <c r="A640" s="154" t="s">
        <v>777</v>
      </c>
      <c r="B640" s="155" t="s">
        <v>154</v>
      </c>
      <c r="C640" s="154">
        <v>558</v>
      </c>
      <c r="D640" s="156" t="str">
        <f t="shared" si="241"/>
        <v>Kata</v>
      </c>
      <c r="E640" s="156" t="str">
        <f t="shared" si="242"/>
        <v>Kata, -, 0-100 kg, Gyerek 1. (9-10</v>
      </c>
      <c r="F640" s="156" t="s">
        <v>520</v>
      </c>
      <c r="G640" s="157" t="str">
        <f t="shared" si="243"/>
        <v>13</v>
      </c>
      <c r="H640" s="156" t="str">
        <f t="shared" si="244"/>
        <v>16 fős egyenes kiesés</v>
      </c>
      <c r="I640" s="157" t="str">
        <f>"2"</f>
        <v>2</v>
      </c>
      <c r="J640" s="156" t="str">
        <f>"Buzás Anna"</f>
        <v>Buzás Anna</v>
      </c>
      <c r="K640" s="156" t="str">
        <f>"Meiyo dojo"</f>
        <v>Meiyo dojo</v>
      </c>
      <c r="L640" s="156" t="str">
        <f t="shared" si="227"/>
        <v>HUN</v>
      </c>
      <c r="M640" s="163">
        <v>6</v>
      </c>
      <c r="O640" s="154" t="s">
        <v>410</v>
      </c>
      <c r="P640" s="159">
        <v>46103</v>
      </c>
      <c r="Q640" s="154" t="str">
        <f t="shared" si="228"/>
        <v>Buzás Anna - Meiyo dojo</v>
      </c>
      <c r="R640" s="154" t="s">
        <v>636</v>
      </c>
      <c r="S640" s="154" t="str">
        <f t="shared" si="229"/>
        <v>Meiyo dojo</v>
      </c>
      <c r="T640" s="154" t="s">
        <v>645</v>
      </c>
      <c r="U640" s="154" t="s">
        <v>796</v>
      </c>
      <c r="V640" s="154"/>
    </row>
    <row r="641" spans="1:22" s="158" customFormat="1" x14ac:dyDescent="0.3">
      <c r="A641" s="154" t="s">
        <v>777</v>
      </c>
      <c r="B641" s="155" t="s">
        <v>154</v>
      </c>
      <c r="C641" s="154">
        <v>559</v>
      </c>
      <c r="D641" s="156" t="str">
        <f t="shared" si="241"/>
        <v>Kata</v>
      </c>
      <c r="E641" s="156" t="str">
        <f t="shared" si="242"/>
        <v>Kata, -, 0-100 kg, Gyerek 1. (9-10</v>
      </c>
      <c r="F641" s="156" t="s">
        <v>520</v>
      </c>
      <c r="G641" s="157" t="str">
        <f t="shared" si="243"/>
        <v>13</v>
      </c>
      <c r="H641" s="156" t="str">
        <f t="shared" si="244"/>
        <v>16 fős egyenes kiesés</v>
      </c>
      <c r="I641" s="157" t="str">
        <f>"3"</f>
        <v>3</v>
      </c>
      <c r="J641" s="156" t="str">
        <f>"Simor Szofi Anna"</f>
        <v>Simor Szofi Anna</v>
      </c>
      <c r="K641" s="156" t="str">
        <f>"BHMSE"</f>
        <v>BHMSE</v>
      </c>
      <c r="L641" s="156" t="str">
        <f t="shared" si="227"/>
        <v>HUN</v>
      </c>
      <c r="M641" s="163">
        <v>4</v>
      </c>
      <c r="O641" s="154" t="s">
        <v>410</v>
      </c>
      <c r="P641" s="159">
        <v>46103</v>
      </c>
      <c r="Q641" s="154" t="str">
        <f t="shared" si="228"/>
        <v>Simor Szofi Anna - BHMSE</v>
      </c>
      <c r="R641" s="154" t="s">
        <v>636</v>
      </c>
      <c r="S641" s="154" t="str">
        <f t="shared" si="229"/>
        <v>BHMSE</v>
      </c>
      <c r="T641" s="154" t="s">
        <v>645</v>
      </c>
      <c r="U641" s="154" t="s">
        <v>796</v>
      </c>
      <c r="V641" s="154"/>
    </row>
    <row r="642" spans="1:22" s="158" customFormat="1" x14ac:dyDescent="0.3">
      <c r="A642" s="154" t="s">
        <v>777</v>
      </c>
      <c r="B642" s="155" t="s">
        <v>154</v>
      </c>
      <c r="C642" s="154">
        <v>560</v>
      </c>
      <c r="D642" s="156" t="str">
        <f t="shared" si="241"/>
        <v>Kata</v>
      </c>
      <c r="E642" s="156" t="str">
        <f t="shared" si="242"/>
        <v>Kata, -, 0-100 kg, Gyerek 1. (9-10</v>
      </c>
      <c r="F642" s="156" t="s">
        <v>520</v>
      </c>
      <c r="G642" s="157" t="str">
        <f t="shared" si="243"/>
        <v>13</v>
      </c>
      <c r="H642" s="156" t="str">
        <f t="shared" si="244"/>
        <v>16 fős egyenes kiesés</v>
      </c>
      <c r="I642" s="157" t="str">
        <f>"3"</f>
        <v>3</v>
      </c>
      <c r="J642" s="156" t="str">
        <f>"Németh Kitti"</f>
        <v>Németh Kitti</v>
      </c>
      <c r="K642" s="156" t="str">
        <f>"Meiyo dojo"</f>
        <v>Meiyo dojo</v>
      </c>
      <c r="L642" s="156" t="str">
        <f t="shared" si="227"/>
        <v>HUN</v>
      </c>
      <c r="M642" s="163">
        <v>4</v>
      </c>
      <c r="O642" s="154" t="s">
        <v>410</v>
      </c>
      <c r="P642" s="159">
        <v>46103</v>
      </c>
      <c r="Q642" s="154" t="str">
        <f t="shared" si="228"/>
        <v>Németh Kitti - Meiyo dojo</v>
      </c>
      <c r="R642" s="154" t="s">
        <v>636</v>
      </c>
      <c r="S642" s="154" t="str">
        <f t="shared" si="229"/>
        <v>Meiyo dojo</v>
      </c>
      <c r="T642" s="154" t="s">
        <v>645</v>
      </c>
      <c r="U642" s="154" t="s">
        <v>796</v>
      </c>
      <c r="V642" s="154"/>
    </row>
    <row r="643" spans="1:22" s="158" customFormat="1" x14ac:dyDescent="0.3">
      <c r="A643" s="154" t="s">
        <v>777</v>
      </c>
      <c r="B643" s="155" t="s">
        <v>154</v>
      </c>
      <c r="C643" s="154">
        <v>561</v>
      </c>
      <c r="D643" s="156" t="str">
        <f t="shared" si="241"/>
        <v>Kata</v>
      </c>
      <c r="E643" s="156" t="str">
        <f t="shared" si="242"/>
        <v>Kata, -, 0-100 kg, Gyerek 1. (9-10</v>
      </c>
      <c r="F643" s="156" t="s">
        <v>520</v>
      </c>
      <c r="G643" s="157" t="str">
        <f t="shared" si="243"/>
        <v>13</v>
      </c>
      <c r="H643" s="156" t="str">
        <f t="shared" si="244"/>
        <v>16 fős egyenes kiesés</v>
      </c>
      <c r="I643" s="157" t="str">
        <f>"5"</f>
        <v>5</v>
      </c>
      <c r="J643" s="156" t="str">
        <f>"Nándori Leona"</f>
        <v>Nándori Leona</v>
      </c>
      <c r="K643" s="156" t="str">
        <f>"Kemecse SE"</f>
        <v>Kemecse SE</v>
      </c>
      <c r="L643" s="156" t="str">
        <f t="shared" si="227"/>
        <v>HUN</v>
      </c>
      <c r="M643" s="163">
        <v>0</v>
      </c>
      <c r="N643" s="158" t="s">
        <v>704</v>
      </c>
      <c r="O643" s="154" t="s">
        <v>410</v>
      </c>
      <c r="P643" s="159">
        <v>46103</v>
      </c>
      <c r="Q643" s="154" t="str">
        <f t="shared" si="228"/>
        <v>Nándori Leona - Kemecse SE</v>
      </c>
      <c r="R643" s="154" t="s">
        <v>636</v>
      </c>
      <c r="S643" s="154" t="str">
        <f t="shared" si="229"/>
        <v>Kemecse SE</v>
      </c>
      <c r="T643" s="154" t="s">
        <v>645</v>
      </c>
      <c r="U643" s="154" t="s">
        <v>796</v>
      </c>
      <c r="V643" s="154"/>
    </row>
    <row r="644" spans="1:22" s="158" customFormat="1" x14ac:dyDescent="0.3">
      <c r="A644" s="154" t="s">
        <v>777</v>
      </c>
      <c r="B644" s="155" t="s">
        <v>154</v>
      </c>
      <c r="C644" s="154">
        <v>562</v>
      </c>
      <c r="D644" s="156" t="str">
        <f t="shared" si="241"/>
        <v>Kata</v>
      </c>
      <c r="E644" s="156" t="str">
        <f t="shared" si="242"/>
        <v>Kata, -, 0-100 kg, Gyerek 1. (9-10</v>
      </c>
      <c r="F644" s="156" t="s">
        <v>520</v>
      </c>
      <c r="G644" s="157" t="str">
        <f t="shared" si="243"/>
        <v>13</v>
      </c>
      <c r="H644" s="156" t="str">
        <f t="shared" si="244"/>
        <v>16 fős egyenes kiesés</v>
      </c>
      <c r="I644" s="157" t="str">
        <f>"6"</f>
        <v>6</v>
      </c>
      <c r="J644" s="156" t="str">
        <f>"Banyák Léna"</f>
        <v>Banyák Léna</v>
      </c>
      <c r="K644" s="156" t="str">
        <f>"KYO Fighter SE"</f>
        <v>KYO Fighter SE</v>
      </c>
      <c r="L644" s="156" t="str">
        <f t="shared" ref="L644:L707" si="245">"HUN"</f>
        <v>HUN</v>
      </c>
      <c r="M644" s="163">
        <v>0</v>
      </c>
      <c r="N644" s="158" t="s">
        <v>704</v>
      </c>
      <c r="O644" s="154" t="s">
        <v>410</v>
      </c>
      <c r="P644" s="159">
        <v>46103</v>
      </c>
      <c r="Q644" s="154" t="str">
        <f t="shared" ref="Q644:Q707" si="246">J644&amp;" - "&amp;K644</f>
        <v>Banyák Léna - KYO Fighter SE</v>
      </c>
      <c r="R644" s="154" t="s">
        <v>636</v>
      </c>
      <c r="S644" s="154" t="str">
        <f t="shared" ref="S644:S707" si="247">K644</f>
        <v>KYO Fighter SE</v>
      </c>
      <c r="T644" s="154" t="s">
        <v>645</v>
      </c>
      <c r="U644" s="154" t="s">
        <v>796</v>
      </c>
      <c r="V644" s="154"/>
    </row>
    <row r="645" spans="1:22" s="158" customFormat="1" x14ac:dyDescent="0.3">
      <c r="A645" s="154" t="s">
        <v>777</v>
      </c>
      <c r="B645" s="155" t="s">
        <v>154</v>
      </c>
      <c r="C645" s="154">
        <v>563</v>
      </c>
      <c r="D645" s="156" t="str">
        <f t="shared" si="241"/>
        <v>Kata</v>
      </c>
      <c r="E645" s="156" t="str">
        <f t="shared" si="242"/>
        <v>Kata, -, 0-100 kg, Gyerek 1. (9-10</v>
      </c>
      <c r="F645" s="156" t="s">
        <v>520</v>
      </c>
      <c r="G645" s="157" t="str">
        <f t="shared" si="243"/>
        <v>13</v>
      </c>
      <c r="H645" s="156" t="str">
        <f t="shared" si="244"/>
        <v>16 fős egyenes kiesés</v>
      </c>
      <c r="I645" s="157" t="str">
        <f>"7-8"</f>
        <v>7-8</v>
      </c>
      <c r="J645" s="156" t="str">
        <f>"Varga Olivia"</f>
        <v>Varga Olivia</v>
      </c>
      <c r="K645" s="156" t="str">
        <f>"KSE Tarján"</f>
        <v>KSE Tarján</v>
      </c>
      <c r="L645" s="156" t="str">
        <f t="shared" si="245"/>
        <v>HUN</v>
      </c>
      <c r="M645" s="163">
        <v>0</v>
      </c>
      <c r="N645" s="158" t="s">
        <v>704</v>
      </c>
      <c r="O645" s="154" t="s">
        <v>410</v>
      </c>
      <c r="P645" s="159">
        <v>46103</v>
      </c>
      <c r="Q645" s="154" t="str">
        <f t="shared" si="246"/>
        <v>Varga Olivia - KSE Tarján</v>
      </c>
      <c r="R645" s="154" t="s">
        <v>636</v>
      </c>
      <c r="S645" s="154" t="str">
        <f t="shared" si="247"/>
        <v>KSE Tarján</v>
      </c>
      <c r="T645" s="154" t="s">
        <v>645</v>
      </c>
      <c r="U645" s="154" t="s">
        <v>796</v>
      </c>
      <c r="V645" s="154"/>
    </row>
    <row r="646" spans="1:22" s="158" customFormat="1" x14ac:dyDescent="0.3">
      <c r="A646" s="154" t="s">
        <v>777</v>
      </c>
      <c r="B646" s="155" t="s">
        <v>154</v>
      </c>
      <c r="C646" s="154">
        <v>564</v>
      </c>
      <c r="D646" s="156" t="str">
        <f t="shared" si="241"/>
        <v>Kata</v>
      </c>
      <c r="E646" s="156" t="str">
        <f t="shared" si="242"/>
        <v>Kata, -, 0-100 kg, Gyerek 1. (9-10</v>
      </c>
      <c r="F646" s="156" t="s">
        <v>520</v>
      </c>
      <c r="G646" s="157" t="str">
        <f t="shared" si="243"/>
        <v>13</v>
      </c>
      <c r="H646" s="156" t="str">
        <f t="shared" si="244"/>
        <v>16 fős egyenes kiesés</v>
      </c>
      <c r="I646" s="157" t="str">
        <f>"7-8"</f>
        <v>7-8</v>
      </c>
      <c r="J646" s="156" t="str">
        <f>"Tóth Csenge"</f>
        <v>Tóth Csenge</v>
      </c>
      <c r="K646" s="156" t="str">
        <f>"Nagykátai Bushido SE"</f>
        <v>Nagykátai Bushido SE</v>
      </c>
      <c r="L646" s="156" t="str">
        <f t="shared" si="245"/>
        <v>HUN</v>
      </c>
      <c r="M646" s="163">
        <v>2</v>
      </c>
      <c r="O646" s="154" t="s">
        <v>410</v>
      </c>
      <c r="P646" s="159">
        <v>46103</v>
      </c>
      <c r="Q646" s="154" t="str">
        <f t="shared" si="246"/>
        <v>Tóth Csenge - Nagykátai Bushido SE</v>
      </c>
      <c r="R646" s="154" t="s">
        <v>636</v>
      </c>
      <c r="S646" s="154" t="str">
        <f t="shared" si="247"/>
        <v>Nagykátai Bushido SE</v>
      </c>
      <c r="T646" s="154" t="s">
        <v>645</v>
      </c>
      <c r="U646" s="154" t="s">
        <v>796</v>
      </c>
      <c r="V646" s="154"/>
    </row>
    <row r="647" spans="1:22" s="158" customFormat="1" x14ac:dyDescent="0.3">
      <c r="A647" s="154" t="s">
        <v>777</v>
      </c>
      <c r="B647" s="155" t="s">
        <v>154</v>
      </c>
      <c r="C647" s="154">
        <v>565</v>
      </c>
      <c r="D647" s="156" t="str">
        <f t="shared" si="241"/>
        <v>Kata</v>
      </c>
      <c r="E647" s="156" t="str">
        <f t="shared" si="242"/>
        <v>Kata, -, 0-100 kg, Gyerek 1. (9-10</v>
      </c>
      <c r="F647" s="156" t="s">
        <v>520</v>
      </c>
      <c r="G647" s="157" t="str">
        <f t="shared" si="243"/>
        <v>13</v>
      </c>
      <c r="H647" s="156" t="str">
        <f t="shared" si="244"/>
        <v>16 fős egyenes kiesés</v>
      </c>
      <c r="I647" s="157" t="str">
        <f>"9"</f>
        <v>9</v>
      </c>
      <c r="J647" s="156" t="str">
        <f>"Fekete Alíz"</f>
        <v>Fekete Alíz</v>
      </c>
      <c r="K647" s="156" t="str">
        <f>"Shogun"</f>
        <v>Shogun</v>
      </c>
      <c r="L647" s="156" t="str">
        <f t="shared" si="245"/>
        <v>HUN</v>
      </c>
      <c r="M647" s="163">
        <v>0</v>
      </c>
      <c r="O647" s="154" t="s">
        <v>410</v>
      </c>
      <c r="P647" s="159">
        <v>46103</v>
      </c>
      <c r="Q647" s="154" t="str">
        <f t="shared" si="246"/>
        <v>Fekete Alíz - Shogun</v>
      </c>
      <c r="R647" s="154" t="s">
        <v>636</v>
      </c>
      <c r="S647" s="154" t="str">
        <f t="shared" si="247"/>
        <v>Shogun</v>
      </c>
      <c r="T647" s="154" t="s">
        <v>645</v>
      </c>
      <c r="U647" s="154" t="s">
        <v>796</v>
      </c>
      <c r="V647" s="154"/>
    </row>
    <row r="648" spans="1:22" s="158" customFormat="1" x14ac:dyDescent="0.3">
      <c r="A648" s="154" t="s">
        <v>777</v>
      </c>
      <c r="B648" s="155" t="s">
        <v>154</v>
      </c>
      <c r="C648" s="154">
        <v>566</v>
      </c>
      <c r="D648" s="156" t="str">
        <f t="shared" si="241"/>
        <v>Kata</v>
      </c>
      <c r="E648" s="156" t="str">
        <f t="shared" si="242"/>
        <v>Kata, -, 0-100 kg, Gyerek 1. (9-10</v>
      </c>
      <c r="F648" s="156" t="s">
        <v>520</v>
      </c>
      <c r="G648" s="157" t="str">
        <f t="shared" si="243"/>
        <v>13</v>
      </c>
      <c r="H648" s="156" t="str">
        <f t="shared" si="244"/>
        <v>16 fős egyenes kiesés</v>
      </c>
      <c r="I648" s="157" t="str">
        <f>"10"</f>
        <v>10</v>
      </c>
      <c r="J648" s="156" t="str">
        <f>"Falus Dorottya"</f>
        <v>Falus Dorottya</v>
      </c>
      <c r="K648" s="156" t="str">
        <f>"Rokku KKSE"</f>
        <v>Rokku KKSE</v>
      </c>
      <c r="L648" s="156" t="str">
        <f t="shared" si="245"/>
        <v>HUN</v>
      </c>
      <c r="M648" s="163">
        <v>0</v>
      </c>
      <c r="O648" s="154" t="s">
        <v>410</v>
      </c>
      <c r="P648" s="159">
        <v>46103</v>
      </c>
      <c r="Q648" s="154" t="str">
        <f t="shared" si="246"/>
        <v>Falus Dorottya - Rokku KKSE</v>
      </c>
      <c r="R648" s="154" t="s">
        <v>636</v>
      </c>
      <c r="S648" s="154" t="str">
        <f t="shared" si="247"/>
        <v>Rokku KKSE</v>
      </c>
      <c r="T648" s="154" t="s">
        <v>645</v>
      </c>
      <c r="U648" s="154" t="s">
        <v>796</v>
      </c>
      <c r="V648" s="154"/>
    </row>
    <row r="649" spans="1:22" s="158" customFormat="1" x14ac:dyDescent="0.3">
      <c r="A649" s="154" t="s">
        <v>777</v>
      </c>
      <c r="B649" s="155" t="s">
        <v>154</v>
      </c>
      <c r="C649" s="154">
        <v>567</v>
      </c>
      <c r="D649" s="156" t="str">
        <f t="shared" si="241"/>
        <v>Kata</v>
      </c>
      <c r="E649" s="156" t="str">
        <f t="shared" si="242"/>
        <v>Kata, -, 0-100 kg, Gyerek 1. (9-10</v>
      </c>
      <c r="F649" s="156" t="s">
        <v>520</v>
      </c>
      <c r="G649" s="157" t="str">
        <f t="shared" si="243"/>
        <v>13</v>
      </c>
      <c r="H649" s="156" t="str">
        <f t="shared" si="244"/>
        <v>16 fős egyenes kiesés</v>
      </c>
      <c r="I649" s="157" t="str">
        <f>"11-16"</f>
        <v>11-16</v>
      </c>
      <c r="J649" s="156" t="str">
        <f>"Erdei Emília"</f>
        <v>Erdei Emília</v>
      </c>
      <c r="K649" s="156" t="str">
        <f>"Rokku KKSE"</f>
        <v>Rokku KKSE</v>
      </c>
      <c r="L649" s="156" t="str">
        <f t="shared" si="245"/>
        <v>HUN</v>
      </c>
      <c r="M649" s="163">
        <v>0</v>
      </c>
      <c r="O649" s="154" t="s">
        <v>410</v>
      </c>
      <c r="P649" s="159">
        <v>46103</v>
      </c>
      <c r="Q649" s="154" t="str">
        <f t="shared" si="246"/>
        <v>Erdei Emília - Rokku KKSE</v>
      </c>
      <c r="R649" s="154" t="s">
        <v>636</v>
      </c>
      <c r="S649" s="154" t="str">
        <f t="shared" si="247"/>
        <v>Rokku KKSE</v>
      </c>
      <c r="T649" s="154" t="s">
        <v>645</v>
      </c>
      <c r="U649" s="154" t="s">
        <v>796</v>
      </c>
      <c r="V649" s="154"/>
    </row>
    <row r="650" spans="1:22" s="158" customFormat="1" x14ac:dyDescent="0.3">
      <c r="A650" s="154" t="s">
        <v>777</v>
      </c>
      <c r="B650" s="155" t="s">
        <v>154</v>
      </c>
      <c r="C650" s="154">
        <v>568</v>
      </c>
      <c r="D650" s="156" t="str">
        <f t="shared" si="241"/>
        <v>Kata</v>
      </c>
      <c r="E650" s="156" t="str">
        <f t="shared" si="242"/>
        <v>Kata, -, 0-100 kg, Gyerek 1. (9-10</v>
      </c>
      <c r="F650" s="156" t="s">
        <v>520</v>
      </c>
      <c r="G650" s="157" t="str">
        <f t="shared" si="243"/>
        <v>13</v>
      </c>
      <c r="H650" s="156" t="str">
        <f t="shared" si="244"/>
        <v>16 fős egyenes kiesés</v>
      </c>
      <c r="I650" s="157" t="str">
        <f>"11-16"</f>
        <v>11-16</v>
      </c>
      <c r="J650" s="156" t="str">
        <f>"Geiger Uzonyi Lilla"</f>
        <v>Geiger Uzonyi Lilla</v>
      </c>
      <c r="K650" s="156" t="str">
        <f>"Kelemen-Team"</f>
        <v>Kelemen-Team</v>
      </c>
      <c r="L650" s="156" t="str">
        <f t="shared" si="245"/>
        <v>HUN</v>
      </c>
      <c r="M650" s="163">
        <v>0</v>
      </c>
      <c r="O650" s="154" t="s">
        <v>410</v>
      </c>
      <c r="P650" s="159">
        <v>46103</v>
      </c>
      <c r="Q650" s="154" t="str">
        <f t="shared" si="246"/>
        <v>Geiger Uzonyi Lilla - Kelemen-Team</v>
      </c>
      <c r="R650" s="154" t="s">
        <v>636</v>
      </c>
      <c r="S650" s="154" t="str">
        <f t="shared" si="247"/>
        <v>Kelemen-Team</v>
      </c>
      <c r="T650" s="154" t="s">
        <v>645</v>
      </c>
      <c r="U650" s="154" t="s">
        <v>796</v>
      </c>
      <c r="V650" s="154"/>
    </row>
    <row r="651" spans="1:22" s="158" customFormat="1" x14ac:dyDescent="0.3">
      <c r="A651" s="154" t="s">
        <v>777</v>
      </c>
      <c r="B651" s="155" t="s">
        <v>154</v>
      </c>
      <c r="C651" s="154">
        <v>569</v>
      </c>
      <c r="D651" s="156" t="str">
        <f t="shared" si="241"/>
        <v>Kata</v>
      </c>
      <c r="E651" s="156" t="str">
        <f t="shared" si="242"/>
        <v>Kata, -, 0-100 kg, Gyerek 1. (9-10</v>
      </c>
      <c r="F651" s="156" t="s">
        <v>520</v>
      </c>
      <c r="G651" s="157" t="str">
        <f t="shared" si="243"/>
        <v>13</v>
      </c>
      <c r="H651" s="156" t="str">
        <f t="shared" si="244"/>
        <v>16 fős egyenes kiesés</v>
      </c>
      <c r="I651" s="157" t="str">
        <f>"11-16"</f>
        <v>11-16</v>
      </c>
      <c r="J651" s="156" t="str">
        <f>"Pista Nóra"</f>
        <v>Pista Nóra</v>
      </c>
      <c r="K651" s="156" t="str">
        <f>"Bendiák Dojo"</f>
        <v>Bendiák Dojo</v>
      </c>
      <c r="L651" s="156" t="str">
        <f t="shared" si="245"/>
        <v>HUN</v>
      </c>
      <c r="M651" s="163">
        <v>0</v>
      </c>
      <c r="O651" s="154" t="s">
        <v>410</v>
      </c>
      <c r="P651" s="159">
        <v>46103</v>
      </c>
      <c r="Q651" s="154" t="str">
        <f t="shared" si="246"/>
        <v>Pista Nóra - Bendiák Dojo</v>
      </c>
      <c r="R651" s="154" t="s">
        <v>636</v>
      </c>
      <c r="S651" s="154" t="str">
        <f t="shared" si="247"/>
        <v>Bendiák Dojo</v>
      </c>
      <c r="T651" s="154" t="s">
        <v>645</v>
      </c>
      <c r="U651" s="154" t="s">
        <v>796</v>
      </c>
      <c r="V651" s="154"/>
    </row>
    <row r="652" spans="1:22" s="158" customFormat="1" x14ac:dyDescent="0.3">
      <c r="A652" s="154" t="s">
        <v>777</v>
      </c>
      <c r="B652" s="155" t="s">
        <v>154</v>
      </c>
      <c r="C652" s="154">
        <v>570</v>
      </c>
      <c r="D652" s="156" t="str">
        <f t="shared" ref="D652:D709" si="248">"Kumite"</f>
        <v>Kumite</v>
      </c>
      <c r="E652" s="156" t="str">
        <f t="shared" ref="E652:E667" si="249">"Kumite, -, 0-35 kg, Gyerek 2. (11-12"</f>
        <v>Kumite, -, 0-35 kg, Gyerek 2. (11-12</v>
      </c>
      <c r="F652" s="156" t="s">
        <v>512</v>
      </c>
      <c r="G652" s="157" t="str">
        <f t="shared" ref="G652:G667" si="250">"21"</f>
        <v>21</v>
      </c>
      <c r="H652" s="156" t="str">
        <f t="shared" ref="H652:H667" si="251">"32 fős egyenes kiesés"</f>
        <v>32 fős egyenes kiesés</v>
      </c>
      <c r="I652" s="157" t="str">
        <f>"1"</f>
        <v>1</v>
      </c>
      <c r="J652" s="156" t="str">
        <f>"Szabó Alex Dominik"</f>
        <v>Szabó Alex Dominik</v>
      </c>
      <c r="K652" s="156" t="str">
        <f>"Shogun"</f>
        <v>Shogun</v>
      </c>
      <c r="L652" s="156" t="str">
        <f t="shared" si="245"/>
        <v>HUN</v>
      </c>
      <c r="M652" s="163">
        <v>13</v>
      </c>
      <c r="O652" s="154" t="s">
        <v>410</v>
      </c>
      <c r="P652" s="159">
        <v>46103</v>
      </c>
      <c r="Q652" s="154" t="str">
        <f t="shared" si="246"/>
        <v>Szabó Alex Dominik - Shogun</v>
      </c>
      <c r="R652" s="154" t="s">
        <v>636</v>
      </c>
      <c r="S652" s="154" t="str">
        <f t="shared" si="247"/>
        <v>Shogun</v>
      </c>
      <c r="T652" s="154" t="s">
        <v>645</v>
      </c>
      <c r="U652" s="154" t="s">
        <v>796</v>
      </c>
      <c r="V652" s="154"/>
    </row>
    <row r="653" spans="1:22" s="158" customFormat="1" x14ac:dyDescent="0.3">
      <c r="A653" s="154" t="s">
        <v>777</v>
      </c>
      <c r="B653" s="155" t="s">
        <v>154</v>
      </c>
      <c r="C653" s="154">
        <v>571</v>
      </c>
      <c r="D653" s="156" t="str">
        <f t="shared" si="248"/>
        <v>Kumite</v>
      </c>
      <c r="E653" s="156" t="str">
        <f t="shared" si="249"/>
        <v>Kumite, -, 0-35 kg, Gyerek 2. (11-12</v>
      </c>
      <c r="F653" s="156" t="s">
        <v>512</v>
      </c>
      <c r="G653" s="157" t="str">
        <f t="shared" si="250"/>
        <v>21</v>
      </c>
      <c r="H653" s="156" t="str">
        <f t="shared" si="251"/>
        <v>32 fős egyenes kiesés</v>
      </c>
      <c r="I653" s="157" t="str">
        <f>"2"</f>
        <v>2</v>
      </c>
      <c r="J653" s="156" t="str">
        <f>"Tarr Bence"</f>
        <v>Tarr Bence</v>
      </c>
      <c r="K653" s="156" t="str">
        <f>"Shogun"</f>
        <v>Shogun</v>
      </c>
      <c r="L653" s="156" t="str">
        <f t="shared" si="245"/>
        <v>HUN</v>
      </c>
      <c r="M653" s="163">
        <v>10</v>
      </c>
      <c r="O653" s="154" t="s">
        <v>410</v>
      </c>
      <c r="P653" s="159">
        <v>46103</v>
      </c>
      <c r="Q653" s="154" t="str">
        <f t="shared" si="246"/>
        <v>Tarr Bence - Shogun</v>
      </c>
      <c r="R653" s="154" t="s">
        <v>636</v>
      </c>
      <c r="S653" s="154" t="str">
        <f t="shared" si="247"/>
        <v>Shogun</v>
      </c>
      <c r="T653" s="154" t="s">
        <v>645</v>
      </c>
      <c r="U653" s="154" t="s">
        <v>796</v>
      </c>
      <c r="V653" s="154"/>
    </row>
    <row r="654" spans="1:22" s="158" customFormat="1" x14ac:dyDescent="0.3">
      <c r="A654" s="154" t="s">
        <v>777</v>
      </c>
      <c r="B654" s="155" t="s">
        <v>154</v>
      </c>
      <c r="C654" s="154">
        <v>572</v>
      </c>
      <c r="D654" s="156" t="str">
        <f t="shared" si="248"/>
        <v>Kumite</v>
      </c>
      <c r="E654" s="156" t="str">
        <f t="shared" si="249"/>
        <v>Kumite, -, 0-35 kg, Gyerek 2. (11-12</v>
      </c>
      <c r="F654" s="156" t="s">
        <v>512</v>
      </c>
      <c r="G654" s="157" t="str">
        <f t="shared" si="250"/>
        <v>21</v>
      </c>
      <c r="H654" s="156" t="str">
        <f t="shared" si="251"/>
        <v>32 fős egyenes kiesés</v>
      </c>
      <c r="I654" s="157" t="str">
        <f>"3"</f>
        <v>3</v>
      </c>
      <c r="J654" s="156" t="str">
        <f>"Hegedűs Vencel"</f>
        <v>Hegedűs Vencel</v>
      </c>
      <c r="K654" s="156" t="str">
        <f>"Nagykátai Bushido SE"</f>
        <v>Nagykátai Bushido SE</v>
      </c>
      <c r="L654" s="156" t="str">
        <f t="shared" si="245"/>
        <v>HUN</v>
      </c>
      <c r="M654" s="163">
        <v>7</v>
      </c>
      <c r="O654" s="154" t="s">
        <v>410</v>
      </c>
      <c r="P654" s="159">
        <v>46103</v>
      </c>
      <c r="Q654" s="154" t="str">
        <f t="shared" si="246"/>
        <v>Hegedűs Vencel - Nagykátai Bushido SE</v>
      </c>
      <c r="R654" s="154" t="s">
        <v>636</v>
      </c>
      <c r="S654" s="154" t="str">
        <f t="shared" si="247"/>
        <v>Nagykátai Bushido SE</v>
      </c>
      <c r="T654" s="154" t="s">
        <v>645</v>
      </c>
      <c r="U654" s="154" t="s">
        <v>796</v>
      </c>
      <c r="V654" s="154"/>
    </row>
    <row r="655" spans="1:22" s="158" customFormat="1" x14ac:dyDescent="0.3">
      <c r="A655" s="154" t="s">
        <v>777</v>
      </c>
      <c r="B655" s="155" t="s">
        <v>154</v>
      </c>
      <c r="C655" s="154">
        <v>573</v>
      </c>
      <c r="D655" s="156" t="str">
        <f t="shared" si="248"/>
        <v>Kumite</v>
      </c>
      <c r="E655" s="156" t="str">
        <f t="shared" si="249"/>
        <v>Kumite, -, 0-35 kg, Gyerek 2. (11-12</v>
      </c>
      <c r="F655" s="156" t="s">
        <v>512</v>
      </c>
      <c r="G655" s="157" t="str">
        <f t="shared" si="250"/>
        <v>21</v>
      </c>
      <c r="H655" s="156" t="str">
        <f t="shared" si="251"/>
        <v>32 fős egyenes kiesés</v>
      </c>
      <c r="I655" s="157" t="str">
        <f>"3"</f>
        <v>3</v>
      </c>
      <c r="J655" s="156" t="str">
        <f>"Boka Norman Eliot"</f>
        <v>Boka Norman Eliot</v>
      </c>
      <c r="K655" s="156" t="str">
        <f>"Katana SE"</f>
        <v>Katana SE</v>
      </c>
      <c r="L655" s="156" t="str">
        <f t="shared" si="245"/>
        <v>HUN</v>
      </c>
      <c r="M655" s="163">
        <v>7</v>
      </c>
      <c r="O655" s="154" t="s">
        <v>410</v>
      </c>
      <c r="P655" s="159">
        <v>46103</v>
      </c>
      <c r="Q655" s="154" t="str">
        <f t="shared" si="246"/>
        <v>Boka Norman Eliot - Katana SE</v>
      </c>
      <c r="R655" s="154" t="s">
        <v>636</v>
      </c>
      <c r="S655" s="154" t="str">
        <f t="shared" si="247"/>
        <v>Katana SE</v>
      </c>
      <c r="T655" s="154" t="s">
        <v>645</v>
      </c>
      <c r="U655" s="154" t="s">
        <v>796</v>
      </c>
      <c r="V655" s="154"/>
    </row>
    <row r="656" spans="1:22" s="158" customFormat="1" x14ac:dyDescent="0.3">
      <c r="A656" s="154" t="s">
        <v>777</v>
      </c>
      <c r="B656" s="155" t="s">
        <v>154</v>
      </c>
      <c r="C656" s="154">
        <v>574</v>
      </c>
      <c r="D656" s="156" t="str">
        <f t="shared" si="248"/>
        <v>Kumite</v>
      </c>
      <c r="E656" s="156" t="str">
        <f t="shared" si="249"/>
        <v>Kumite, -, 0-35 kg, Gyerek 2. (11-12</v>
      </c>
      <c r="F656" s="156" t="s">
        <v>512</v>
      </c>
      <c r="G656" s="157" t="str">
        <f t="shared" si="250"/>
        <v>21</v>
      </c>
      <c r="H656" s="156" t="str">
        <f t="shared" si="251"/>
        <v>32 fős egyenes kiesés</v>
      </c>
      <c r="I656" s="157" t="str">
        <f>"5"</f>
        <v>5</v>
      </c>
      <c r="J656" s="156" t="str">
        <f>"Szűcs Norbert"</f>
        <v>Szűcs Norbert</v>
      </c>
      <c r="K656" s="156" t="str">
        <f>"Shogun"</f>
        <v>Shogun</v>
      </c>
      <c r="L656" s="156" t="str">
        <f t="shared" si="245"/>
        <v>HUN</v>
      </c>
      <c r="M656" s="163">
        <v>4</v>
      </c>
      <c r="O656" s="154" t="s">
        <v>410</v>
      </c>
      <c r="P656" s="159">
        <v>46103</v>
      </c>
      <c r="Q656" s="154" t="str">
        <f t="shared" si="246"/>
        <v>Szűcs Norbert - Shogun</v>
      </c>
      <c r="R656" s="154" t="s">
        <v>636</v>
      </c>
      <c r="S656" s="154" t="str">
        <f t="shared" si="247"/>
        <v>Shogun</v>
      </c>
      <c r="T656" s="154" t="s">
        <v>645</v>
      </c>
      <c r="U656" s="154" t="s">
        <v>796</v>
      </c>
      <c r="V656" s="154"/>
    </row>
    <row r="657" spans="1:22" s="158" customFormat="1" x14ac:dyDescent="0.3">
      <c r="A657" s="154" t="s">
        <v>777</v>
      </c>
      <c r="B657" s="155" t="s">
        <v>154</v>
      </c>
      <c r="C657" s="154">
        <v>575</v>
      </c>
      <c r="D657" s="156" t="str">
        <f t="shared" si="248"/>
        <v>Kumite</v>
      </c>
      <c r="E657" s="156" t="str">
        <f t="shared" si="249"/>
        <v>Kumite, -, 0-35 kg, Gyerek 2. (11-12</v>
      </c>
      <c r="F657" s="156" t="s">
        <v>512</v>
      </c>
      <c r="G657" s="157" t="str">
        <f t="shared" si="250"/>
        <v>21</v>
      </c>
      <c r="H657" s="156" t="str">
        <f t="shared" si="251"/>
        <v>32 fős egyenes kiesés</v>
      </c>
      <c r="I657" s="157" t="str">
        <f>"6"</f>
        <v>6</v>
      </c>
      <c r="J657" s="156" t="str">
        <f>"Makai Mór"</f>
        <v>Makai Mór</v>
      </c>
      <c r="K657" s="156" t="str">
        <f>"Victory"</f>
        <v>Victory</v>
      </c>
      <c r="L657" s="156" t="str">
        <f t="shared" si="245"/>
        <v>HUN</v>
      </c>
      <c r="M657" s="163">
        <v>4</v>
      </c>
      <c r="O657" s="154" t="s">
        <v>410</v>
      </c>
      <c r="P657" s="159">
        <v>46103</v>
      </c>
      <c r="Q657" s="154" t="str">
        <f t="shared" si="246"/>
        <v>Makai Mór - Victory</v>
      </c>
      <c r="R657" s="154" t="s">
        <v>636</v>
      </c>
      <c r="S657" s="154" t="str">
        <f t="shared" si="247"/>
        <v>Victory</v>
      </c>
      <c r="T657" s="154" t="s">
        <v>645</v>
      </c>
      <c r="U657" s="154" t="s">
        <v>796</v>
      </c>
      <c r="V657" s="154"/>
    </row>
    <row r="658" spans="1:22" s="158" customFormat="1" x14ac:dyDescent="0.3">
      <c r="A658" s="154" t="s">
        <v>777</v>
      </c>
      <c r="B658" s="155" t="s">
        <v>154</v>
      </c>
      <c r="C658" s="154">
        <v>576</v>
      </c>
      <c r="D658" s="156" t="str">
        <f t="shared" si="248"/>
        <v>Kumite</v>
      </c>
      <c r="E658" s="156" t="str">
        <f t="shared" si="249"/>
        <v>Kumite, -, 0-35 kg, Gyerek 2. (11-12</v>
      </c>
      <c r="F658" s="156" t="s">
        <v>512</v>
      </c>
      <c r="G658" s="157" t="str">
        <f t="shared" si="250"/>
        <v>21</v>
      </c>
      <c r="H658" s="156" t="str">
        <f t="shared" si="251"/>
        <v>32 fős egyenes kiesés</v>
      </c>
      <c r="I658" s="157" t="str">
        <f>"7-8"</f>
        <v>7-8</v>
      </c>
      <c r="J658" s="156" t="str">
        <f>"Pajkos Dominik"</f>
        <v>Pajkos Dominik</v>
      </c>
      <c r="K658" s="156" t="str">
        <f>"Shogun"</f>
        <v>Shogun</v>
      </c>
      <c r="L658" s="156" t="str">
        <f t="shared" si="245"/>
        <v>HUN</v>
      </c>
      <c r="M658" s="163">
        <v>4</v>
      </c>
      <c r="O658" s="154" t="s">
        <v>410</v>
      </c>
      <c r="P658" s="159">
        <v>46103</v>
      </c>
      <c r="Q658" s="154" t="str">
        <f t="shared" si="246"/>
        <v>Pajkos Dominik - Shogun</v>
      </c>
      <c r="R658" s="154" t="s">
        <v>636</v>
      </c>
      <c r="S658" s="154" t="str">
        <f t="shared" si="247"/>
        <v>Shogun</v>
      </c>
      <c r="T658" s="154" t="s">
        <v>645</v>
      </c>
      <c r="U658" s="154" t="s">
        <v>796</v>
      </c>
      <c r="V658" s="154"/>
    </row>
    <row r="659" spans="1:22" s="158" customFormat="1" x14ac:dyDescent="0.3">
      <c r="A659" s="154" t="s">
        <v>777</v>
      </c>
      <c r="B659" s="155" t="s">
        <v>154</v>
      </c>
      <c r="C659" s="154">
        <v>577</v>
      </c>
      <c r="D659" s="156" t="str">
        <f t="shared" si="248"/>
        <v>Kumite</v>
      </c>
      <c r="E659" s="156" t="str">
        <f t="shared" si="249"/>
        <v>Kumite, -, 0-35 kg, Gyerek 2. (11-12</v>
      </c>
      <c r="F659" s="156" t="s">
        <v>512</v>
      </c>
      <c r="G659" s="157" t="str">
        <f t="shared" si="250"/>
        <v>21</v>
      </c>
      <c r="H659" s="156" t="str">
        <f t="shared" si="251"/>
        <v>32 fős egyenes kiesés</v>
      </c>
      <c r="I659" s="157" t="str">
        <f>"7-8"</f>
        <v>7-8</v>
      </c>
      <c r="J659" s="156" t="str">
        <f>"Berényi Milán"</f>
        <v>Berényi Milán</v>
      </c>
      <c r="K659" s="156" t="str">
        <f>"Shogun"</f>
        <v>Shogun</v>
      </c>
      <c r="L659" s="156" t="str">
        <f t="shared" si="245"/>
        <v>HUN</v>
      </c>
      <c r="M659" s="163">
        <v>4</v>
      </c>
      <c r="O659" s="154" t="s">
        <v>410</v>
      </c>
      <c r="P659" s="159">
        <v>46103</v>
      </c>
      <c r="Q659" s="154" t="str">
        <f t="shared" si="246"/>
        <v>Berényi Milán - Shogun</v>
      </c>
      <c r="R659" s="154" t="s">
        <v>636</v>
      </c>
      <c r="S659" s="154" t="str">
        <f t="shared" si="247"/>
        <v>Shogun</v>
      </c>
      <c r="T659" s="154" t="s">
        <v>645</v>
      </c>
      <c r="U659" s="154" t="s">
        <v>796</v>
      </c>
      <c r="V659" s="154"/>
    </row>
    <row r="660" spans="1:22" s="158" customFormat="1" x14ac:dyDescent="0.3">
      <c r="A660" s="154" t="s">
        <v>777</v>
      </c>
      <c r="B660" s="155" t="s">
        <v>154</v>
      </c>
      <c r="C660" s="154">
        <v>578</v>
      </c>
      <c r="D660" s="156" t="str">
        <f t="shared" si="248"/>
        <v>Kumite</v>
      </c>
      <c r="E660" s="156" t="str">
        <f t="shared" si="249"/>
        <v>Kumite, -, 0-35 kg, Gyerek 2. (11-12</v>
      </c>
      <c r="F660" s="156" t="s">
        <v>512</v>
      </c>
      <c r="G660" s="157" t="str">
        <f t="shared" si="250"/>
        <v>21</v>
      </c>
      <c r="H660" s="156" t="str">
        <f t="shared" si="251"/>
        <v>32 fős egyenes kiesés</v>
      </c>
      <c r="I660" s="157" t="str">
        <f>"9"</f>
        <v>9</v>
      </c>
      <c r="J660" s="156" t="str">
        <f>"Süller Zsombor"</f>
        <v>Süller Zsombor</v>
      </c>
      <c r="K660" s="156" t="str">
        <f>"Katana SE"</f>
        <v>Katana SE</v>
      </c>
      <c r="L660" s="156" t="str">
        <f t="shared" si="245"/>
        <v>HUN</v>
      </c>
      <c r="M660" s="163">
        <v>0</v>
      </c>
      <c r="O660" s="154" t="s">
        <v>410</v>
      </c>
      <c r="P660" s="159">
        <v>46103</v>
      </c>
      <c r="Q660" s="154" t="str">
        <f t="shared" si="246"/>
        <v>Süller Zsombor - Katana SE</v>
      </c>
      <c r="R660" s="154" t="s">
        <v>636</v>
      </c>
      <c r="S660" s="154" t="str">
        <f t="shared" si="247"/>
        <v>Katana SE</v>
      </c>
      <c r="T660" s="154" t="s">
        <v>645</v>
      </c>
      <c r="U660" s="154" t="s">
        <v>796</v>
      </c>
      <c r="V660" s="154"/>
    </row>
    <row r="661" spans="1:22" s="158" customFormat="1" x14ac:dyDescent="0.3">
      <c r="A661" s="154" t="s">
        <v>777</v>
      </c>
      <c r="B661" s="155" t="s">
        <v>154</v>
      </c>
      <c r="C661" s="154">
        <v>579</v>
      </c>
      <c r="D661" s="156" t="str">
        <f t="shared" si="248"/>
        <v>Kumite</v>
      </c>
      <c r="E661" s="156" t="str">
        <f t="shared" si="249"/>
        <v>Kumite, -, 0-35 kg, Gyerek 2. (11-12</v>
      </c>
      <c r="F661" s="156" t="s">
        <v>512</v>
      </c>
      <c r="G661" s="157" t="str">
        <f t="shared" si="250"/>
        <v>21</v>
      </c>
      <c r="H661" s="156" t="str">
        <f t="shared" si="251"/>
        <v>32 fős egyenes kiesés</v>
      </c>
      <c r="I661" s="157" t="str">
        <f>"10"</f>
        <v>10</v>
      </c>
      <c r="J661" s="156" t="str">
        <f>"Kalmár Ádám István"</f>
        <v>Kalmár Ádám István</v>
      </c>
      <c r="K661" s="156" t="str">
        <f>"Castrum"</f>
        <v>Castrum</v>
      </c>
      <c r="L661" s="156" t="str">
        <f t="shared" si="245"/>
        <v>HUN</v>
      </c>
      <c r="M661" s="163">
        <v>0</v>
      </c>
      <c r="O661" s="154" t="s">
        <v>410</v>
      </c>
      <c r="P661" s="159">
        <v>46103</v>
      </c>
      <c r="Q661" s="154" t="str">
        <f t="shared" si="246"/>
        <v>Kalmár Ádám István - Castrum</v>
      </c>
      <c r="R661" s="154" t="s">
        <v>636</v>
      </c>
      <c r="S661" s="154" t="str">
        <f t="shared" si="247"/>
        <v>Castrum</v>
      </c>
      <c r="T661" s="154" t="s">
        <v>645</v>
      </c>
      <c r="U661" s="154" t="s">
        <v>796</v>
      </c>
      <c r="V661" s="154"/>
    </row>
    <row r="662" spans="1:22" s="158" customFormat="1" x14ac:dyDescent="0.3">
      <c r="A662" s="154" t="s">
        <v>777</v>
      </c>
      <c r="B662" s="155" t="s">
        <v>154</v>
      </c>
      <c r="C662" s="154">
        <v>580</v>
      </c>
      <c r="D662" s="156" t="str">
        <f t="shared" si="248"/>
        <v>Kumite</v>
      </c>
      <c r="E662" s="156" t="str">
        <f t="shared" si="249"/>
        <v>Kumite, -, 0-35 kg, Gyerek 2. (11-12</v>
      </c>
      <c r="F662" s="156" t="s">
        <v>512</v>
      </c>
      <c r="G662" s="157" t="str">
        <f t="shared" si="250"/>
        <v>21</v>
      </c>
      <c r="H662" s="156" t="str">
        <f t="shared" si="251"/>
        <v>32 fős egyenes kiesés</v>
      </c>
      <c r="I662" s="157" t="str">
        <f t="shared" ref="I662:I667" si="252">"11-16"</f>
        <v>11-16</v>
      </c>
      <c r="J662" s="156" t="str">
        <f>"Kovács Milán"</f>
        <v>Kovács Milán</v>
      </c>
      <c r="K662" s="156" t="str">
        <f>"Katana SE"</f>
        <v>Katana SE</v>
      </c>
      <c r="L662" s="156" t="str">
        <f t="shared" si="245"/>
        <v>HUN</v>
      </c>
      <c r="M662" s="163">
        <v>0</v>
      </c>
      <c r="O662" s="154" t="s">
        <v>410</v>
      </c>
      <c r="P662" s="159">
        <v>46103</v>
      </c>
      <c r="Q662" s="154" t="str">
        <f t="shared" si="246"/>
        <v>Kovács Milán - Katana SE</v>
      </c>
      <c r="R662" s="154" t="s">
        <v>636</v>
      </c>
      <c r="S662" s="154" t="str">
        <f t="shared" si="247"/>
        <v>Katana SE</v>
      </c>
      <c r="T662" s="154" t="s">
        <v>645</v>
      </c>
      <c r="U662" s="154" t="s">
        <v>796</v>
      </c>
      <c r="V662" s="154"/>
    </row>
    <row r="663" spans="1:22" s="158" customFormat="1" x14ac:dyDescent="0.3">
      <c r="A663" s="154" t="s">
        <v>777</v>
      </c>
      <c r="B663" s="155" t="s">
        <v>154</v>
      </c>
      <c r="C663" s="154">
        <v>581</v>
      </c>
      <c r="D663" s="156" t="str">
        <f t="shared" si="248"/>
        <v>Kumite</v>
      </c>
      <c r="E663" s="156" t="str">
        <f t="shared" si="249"/>
        <v>Kumite, -, 0-35 kg, Gyerek 2. (11-12</v>
      </c>
      <c r="F663" s="156" t="s">
        <v>512</v>
      </c>
      <c r="G663" s="157" t="str">
        <f t="shared" si="250"/>
        <v>21</v>
      </c>
      <c r="H663" s="156" t="str">
        <f t="shared" si="251"/>
        <v>32 fős egyenes kiesés</v>
      </c>
      <c r="I663" s="157" t="str">
        <f t="shared" si="252"/>
        <v>11-16</v>
      </c>
      <c r="J663" s="156" t="str">
        <f>"Török Márton Ignác"</f>
        <v>Török Márton Ignác</v>
      </c>
      <c r="K663" s="156" t="str">
        <f>"Kelemen-Team"</f>
        <v>Kelemen-Team</v>
      </c>
      <c r="L663" s="156" t="str">
        <f t="shared" si="245"/>
        <v>HUN</v>
      </c>
      <c r="M663" s="163">
        <v>0</v>
      </c>
      <c r="O663" s="154" t="s">
        <v>410</v>
      </c>
      <c r="P663" s="159">
        <v>46103</v>
      </c>
      <c r="Q663" s="154" t="str">
        <f t="shared" si="246"/>
        <v>Török Márton Ignác - Kelemen-Team</v>
      </c>
      <c r="R663" s="154" t="s">
        <v>636</v>
      </c>
      <c r="S663" s="154" t="str">
        <f t="shared" si="247"/>
        <v>Kelemen-Team</v>
      </c>
      <c r="T663" s="154" t="s">
        <v>645</v>
      </c>
      <c r="U663" s="154" t="s">
        <v>796</v>
      </c>
      <c r="V663" s="154"/>
    </row>
    <row r="664" spans="1:22" s="158" customFormat="1" x14ac:dyDescent="0.3">
      <c r="A664" s="154" t="s">
        <v>777</v>
      </c>
      <c r="B664" s="155" t="s">
        <v>154</v>
      </c>
      <c r="C664" s="154">
        <v>582</v>
      </c>
      <c r="D664" s="156" t="str">
        <f t="shared" si="248"/>
        <v>Kumite</v>
      </c>
      <c r="E664" s="156" t="str">
        <f t="shared" si="249"/>
        <v>Kumite, -, 0-35 kg, Gyerek 2. (11-12</v>
      </c>
      <c r="F664" s="156" t="s">
        <v>512</v>
      </c>
      <c r="G664" s="157" t="str">
        <f t="shared" si="250"/>
        <v>21</v>
      </c>
      <c r="H664" s="156" t="str">
        <f t="shared" si="251"/>
        <v>32 fős egyenes kiesés</v>
      </c>
      <c r="I664" s="157" t="str">
        <f t="shared" si="252"/>
        <v>11-16</v>
      </c>
      <c r="J664" s="156" t="str">
        <f>"Gordos Zalán"</f>
        <v>Gordos Zalán</v>
      </c>
      <c r="K664" s="156" t="str">
        <f>"VTSE"</f>
        <v>VTSE</v>
      </c>
      <c r="L664" s="156" t="str">
        <f t="shared" si="245"/>
        <v>HUN</v>
      </c>
      <c r="M664" s="163">
        <v>0</v>
      </c>
      <c r="O664" s="154" t="s">
        <v>410</v>
      </c>
      <c r="P664" s="159">
        <v>46103</v>
      </c>
      <c r="Q664" s="154" t="str">
        <f t="shared" si="246"/>
        <v>Gordos Zalán - VTSE</v>
      </c>
      <c r="R664" s="154" t="s">
        <v>637</v>
      </c>
      <c r="S664" s="154" t="str">
        <f t="shared" si="247"/>
        <v>VTSE</v>
      </c>
      <c r="T664" s="154" t="s">
        <v>645</v>
      </c>
      <c r="U664" s="154" t="s">
        <v>796</v>
      </c>
      <c r="V664" s="154"/>
    </row>
    <row r="665" spans="1:22" s="158" customFormat="1" x14ac:dyDescent="0.3">
      <c r="A665" s="154" t="s">
        <v>777</v>
      </c>
      <c r="B665" s="155" t="s">
        <v>154</v>
      </c>
      <c r="C665" s="154">
        <v>583</v>
      </c>
      <c r="D665" s="156" t="str">
        <f t="shared" si="248"/>
        <v>Kumite</v>
      </c>
      <c r="E665" s="156" t="str">
        <f t="shared" si="249"/>
        <v>Kumite, -, 0-35 kg, Gyerek 2. (11-12</v>
      </c>
      <c r="F665" s="156" t="s">
        <v>512</v>
      </c>
      <c r="G665" s="157" t="str">
        <f t="shared" si="250"/>
        <v>21</v>
      </c>
      <c r="H665" s="156" t="str">
        <f t="shared" si="251"/>
        <v>32 fős egyenes kiesés</v>
      </c>
      <c r="I665" s="157" t="str">
        <f t="shared" si="252"/>
        <v>11-16</v>
      </c>
      <c r="J665" s="156" t="str">
        <f>"Kis Olivér"</f>
        <v>Kis Olivér</v>
      </c>
      <c r="K665" s="156" t="str">
        <f>"KYO Fighter SE"</f>
        <v>KYO Fighter SE</v>
      </c>
      <c r="L665" s="156" t="str">
        <f t="shared" si="245"/>
        <v>HUN</v>
      </c>
      <c r="M665" s="163">
        <v>0</v>
      </c>
      <c r="O665" s="154" t="s">
        <v>410</v>
      </c>
      <c r="P665" s="159">
        <v>46103</v>
      </c>
      <c r="Q665" s="154" t="str">
        <f t="shared" si="246"/>
        <v>Kis Olivér - KYO Fighter SE</v>
      </c>
      <c r="R665" s="154" t="s">
        <v>636</v>
      </c>
      <c r="S665" s="154" t="str">
        <f t="shared" si="247"/>
        <v>KYO Fighter SE</v>
      </c>
      <c r="T665" s="154" t="s">
        <v>645</v>
      </c>
      <c r="U665" s="154" t="s">
        <v>796</v>
      </c>
      <c r="V665" s="154"/>
    </row>
    <row r="666" spans="1:22" s="158" customFormat="1" x14ac:dyDescent="0.3">
      <c r="A666" s="154" t="s">
        <v>777</v>
      </c>
      <c r="B666" s="155" t="s">
        <v>154</v>
      </c>
      <c r="C666" s="154">
        <v>584</v>
      </c>
      <c r="D666" s="156" t="str">
        <f t="shared" si="248"/>
        <v>Kumite</v>
      </c>
      <c r="E666" s="156" t="str">
        <f t="shared" si="249"/>
        <v>Kumite, -, 0-35 kg, Gyerek 2. (11-12</v>
      </c>
      <c r="F666" s="156" t="s">
        <v>512</v>
      </c>
      <c r="G666" s="157" t="str">
        <f t="shared" si="250"/>
        <v>21</v>
      </c>
      <c r="H666" s="156" t="str">
        <f t="shared" si="251"/>
        <v>32 fős egyenes kiesés</v>
      </c>
      <c r="I666" s="157" t="str">
        <f t="shared" si="252"/>
        <v>11-16</v>
      </c>
      <c r="J666" s="156" t="str">
        <f>"Nagy Zétény"</f>
        <v>Nagy Zétény</v>
      </c>
      <c r="K666" s="156" t="str">
        <f>"BHMSE"</f>
        <v>BHMSE</v>
      </c>
      <c r="L666" s="156" t="str">
        <f t="shared" si="245"/>
        <v>HUN</v>
      </c>
      <c r="M666" s="163">
        <v>0</v>
      </c>
      <c r="O666" s="154" t="s">
        <v>410</v>
      </c>
      <c r="P666" s="159">
        <v>46103</v>
      </c>
      <c r="Q666" s="154" t="str">
        <f t="shared" si="246"/>
        <v>Nagy Zétény - BHMSE</v>
      </c>
      <c r="R666" s="154" t="s">
        <v>636</v>
      </c>
      <c r="S666" s="154" t="str">
        <f t="shared" si="247"/>
        <v>BHMSE</v>
      </c>
      <c r="T666" s="154" t="s">
        <v>645</v>
      </c>
      <c r="U666" s="154" t="s">
        <v>796</v>
      </c>
      <c r="V666" s="154"/>
    </row>
    <row r="667" spans="1:22" s="158" customFormat="1" x14ac:dyDescent="0.3">
      <c r="A667" s="154" t="s">
        <v>777</v>
      </c>
      <c r="B667" s="155" t="s">
        <v>154</v>
      </c>
      <c r="C667" s="154">
        <v>585</v>
      </c>
      <c r="D667" s="156" t="str">
        <f t="shared" si="248"/>
        <v>Kumite</v>
      </c>
      <c r="E667" s="156" t="str">
        <f t="shared" si="249"/>
        <v>Kumite, -, 0-35 kg, Gyerek 2. (11-12</v>
      </c>
      <c r="F667" s="156" t="s">
        <v>512</v>
      </c>
      <c r="G667" s="157" t="str">
        <f t="shared" si="250"/>
        <v>21</v>
      </c>
      <c r="H667" s="156" t="str">
        <f t="shared" si="251"/>
        <v>32 fős egyenes kiesés</v>
      </c>
      <c r="I667" s="157" t="str">
        <f t="shared" si="252"/>
        <v>11-16</v>
      </c>
      <c r="J667" s="156" t="str">
        <f>"Ungai Csaba"</f>
        <v>Ungai Csaba</v>
      </c>
      <c r="K667" s="156" t="str">
        <f>"Hajdúszoboszló"</f>
        <v>Hajdúszoboszló</v>
      </c>
      <c r="L667" s="156" t="str">
        <f t="shared" si="245"/>
        <v>HUN</v>
      </c>
      <c r="M667" s="163">
        <v>0</v>
      </c>
      <c r="O667" s="154" t="s">
        <v>410</v>
      </c>
      <c r="P667" s="159">
        <v>46103</v>
      </c>
      <c r="Q667" s="154" t="str">
        <f t="shared" si="246"/>
        <v>Ungai Csaba - Hajdúszoboszló</v>
      </c>
      <c r="R667" s="154" t="s">
        <v>636</v>
      </c>
      <c r="S667" s="154" t="str">
        <f t="shared" si="247"/>
        <v>Hajdúszoboszló</v>
      </c>
      <c r="T667" s="154" t="s">
        <v>645</v>
      </c>
      <c r="U667" s="154" t="s">
        <v>796</v>
      </c>
      <c r="V667" s="154"/>
    </row>
    <row r="668" spans="1:22" s="158" customFormat="1" x14ac:dyDescent="0.3">
      <c r="A668" s="154" t="s">
        <v>777</v>
      </c>
      <c r="B668" s="155" t="s">
        <v>154</v>
      </c>
      <c r="C668" s="154">
        <v>586</v>
      </c>
      <c r="D668" s="156" t="str">
        <f t="shared" si="248"/>
        <v>Kumite</v>
      </c>
      <c r="E668" s="156" t="str">
        <f t="shared" ref="E668:E679" si="253">"Kumite, -, 35-40 kg, Gyerek 2. (11-12"</f>
        <v>Kumite, -, 35-40 kg, Gyerek 2. (11-12</v>
      </c>
      <c r="F668" s="156" t="s">
        <v>518</v>
      </c>
      <c r="G668" s="157" t="str">
        <f t="shared" ref="G668:G679" si="254">"12"</f>
        <v>12</v>
      </c>
      <c r="H668" s="156" t="str">
        <f t="shared" ref="H668:H679" si="255">"16 fős egyenes kiesés"</f>
        <v>16 fős egyenes kiesés</v>
      </c>
      <c r="I668" s="157" t="str">
        <f>"1"</f>
        <v>1</v>
      </c>
      <c r="J668" s="156" t="str">
        <f>"Kiss Adrián"</f>
        <v>Kiss Adrián</v>
      </c>
      <c r="K668" s="156" t="str">
        <f>"Keizoku SE"</f>
        <v>Keizoku SE</v>
      </c>
      <c r="L668" s="156" t="str">
        <f t="shared" si="245"/>
        <v>HUN</v>
      </c>
      <c r="M668" s="163">
        <v>10</v>
      </c>
      <c r="O668" s="154" t="s">
        <v>410</v>
      </c>
      <c r="P668" s="159">
        <v>46103</v>
      </c>
      <c r="Q668" s="154" t="str">
        <f t="shared" si="246"/>
        <v>Kiss Adrián - Keizoku SE</v>
      </c>
      <c r="R668" s="154" t="s">
        <v>636</v>
      </c>
      <c r="S668" s="154" t="str">
        <f t="shared" si="247"/>
        <v>Keizoku SE</v>
      </c>
      <c r="T668" s="154" t="s">
        <v>645</v>
      </c>
      <c r="U668" s="154" t="s">
        <v>796</v>
      </c>
      <c r="V668" s="154"/>
    </row>
    <row r="669" spans="1:22" s="158" customFormat="1" x14ac:dyDescent="0.3">
      <c r="A669" s="154" t="s">
        <v>777</v>
      </c>
      <c r="B669" s="155" t="s">
        <v>154</v>
      </c>
      <c r="C669" s="154">
        <v>587</v>
      </c>
      <c r="D669" s="156" t="str">
        <f t="shared" si="248"/>
        <v>Kumite</v>
      </c>
      <c r="E669" s="156" t="str">
        <f t="shared" si="253"/>
        <v>Kumite, -, 35-40 kg, Gyerek 2. (11-12</v>
      </c>
      <c r="F669" s="156" t="s">
        <v>518</v>
      </c>
      <c r="G669" s="157" t="str">
        <f t="shared" si="254"/>
        <v>12</v>
      </c>
      <c r="H669" s="156" t="str">
        <f t="shared" si="255"/>
        <v>16 fős egyenes kiesés</v>
      </c>
      <c r="I669" s="157" t="str">
        <f>"2"</f>
        <v>2</v>
      </c>
      <c r="J669" s="156" t="str">
        <f>"Sádt Zénó"</f>
        <v>Sádt Zénó</v>
      </c>
      <c r="K669" s="156" t="str">
        <f>"Buke Reikon HRSE"</f>
        <v>Buke Reikon HRSE</v>
      </c>
      <c r="L669" s="156" t="str">
        <f t="shared" si="245"/>
        <v>HUN</v>
      </c>
      <c r="M669" s="163">
        <v>8</v>
      </c>
      <c r="O669" s="154" t="s">
        <v>410</v>
      </c>
      <c r="P669" s="159">
        <v>46103</v>
      </c>
      <c r="Q669" s="154" t="str">
        <f t="shared" si="246"/>
        <v>Sádt Zénó - Buke Reikon HRSE</v>
      </c>
      <c r="R669" s="154" t="s">
        <v>636</v>
      </c>
      <c r="S669" s="154" t="str">
        <f t="shared" si="247"/>
        <v>Buke Reikon HRSE</v>
      </c>
      <c r="T669" s="154" t="s">
        <v>645</v>
      </c>
      <c r="U669" s="154" t="s">
        <v>796</v>
      </c>
      <c r="V669" s="154"/>
    </row>
    <row r="670" spans="1:22" s="158" customFormat="1" x14ac:dyDescent="0.3">
      <c r="A670" s="154" t="s">
        <v>777</v>
      </c>
      <c r="B670" s="155" t="s">
        <v>154</v>
      </c>
      <c r="C670" s="154">
        <v>588</v>
      </c>
      <c r="D670" s="156" t="str">
        <f t="shared" si="248"/>
        <v>Kumite</v>
      </c>
      <c r="E670" s="156" t="str">
        <f t="shared" si="253"/>
        <v>Kumite, -, 35-40 kg, Gyerek 2. (11-12</v>
      </c>
      <c r="F670" s="156" t="s">
        <v>518</v>
      </c>
      <c r="G670" s="157" t="str">
        <f t="shared" si="254"/>
        <v>12</v>
      </c>
      <c r="H670" s="156" t="str">
        <f t="shared" si="255"/>
        <v>16 fős egyenes kiesés</v>
      </c>
      <c r="I670" s="157" t="str">
        <f>"3"</f>
        <v>3</v>
      </c>
      <c r="J670" s="156" t="str">
        <f>"Szabó Áron Levente"</f>
        <v>Szabó Áron Levente</v>
      </c>
      <c r="K670" s="156" t="str">
        <f>"Katana SE"</f>
        <v>Katana SE</v>
      </c>
      <c r="L670" s="156" t="str">
        <f t="shared" si="245"/>
        <v>HUN</v>
      </c>
      <c r="M670" s="163">
        <v>6</v>
      </c>
      <c r="O670" s="154" t="s">
        <v>410</v>
      </c>
      <c r="P670" s="159">
        <v>46103</v>
      </c>
      <c r="Q670" s="154" t="str">
        <f t="shared" si="246"/>
        <v>Szabó Áron Levente - Katana SE</v>
      </c>
      <c r="R670" s="154" t="s">
        <v>636</v>
      </c>
      <c r="S670" s="154" t="str">
        <f t="shared" si="247"/>
        <v>Katana SE</v>
      </c>
      <c r="T670" s="154" t="s">
        <v>645</v>
      </c>
      <c r="U670" s="154" t="s">
        <v>796</v>
      </c>
      <c r="V670" s="154"/>
    </row>
    <row r="671" spans="1:22" s="158" customFormat="1" x14ac:dyDescent="0.3">
      <c r="A671" s="154" t="s">
        <v>777</v>
      </c>
      <c r="B671" s="155" t="s">
        <v>154</v>
      </c>
      <c r="C671" s="154">
        <v>589</v>
      </c>
      <c r="D671" s="156" t="str">
        <f t="shared" si="248"/>
        <v>Kumite</v>
      </c>
      <c r="E671" s="156" t="str">
        <f t="shared" si="253"/>
        <v>Kumite, -, 35-40 kg, Gyerek 2. (11-12</v>
      </c>
      <c r="F671" s="156" t="s">
        <v>518</v>
      </c>
      <c r="G671" s="157" t="str">
        <f t="shared" si="254"/>
        <v>12</v>
      </c>
      <c r="H671" s="156" t="str">
        <f t="shared" si="255"/>
        <v>16 fős egyenes kiesés</v>
      </c>
      <c r="I671" s="157" t="str">
        <f>"3"</f>
        <v>3</v>
      </c>
      <c r="J671" s="156" t="str">
        <f>"Balázs Dénes"</f>
        <v>Balázs Dénes</v>
      </c>
      <c r="K671" s="156" t="str">
        <f>"Griff SE"</f>
        <v>Griff SE</v>
      </c>
      <c r="L671" s="156" t="str">
        <f t="shared" si="245"/>
        <v>HUN</v>
      </c>
      <c r="M671" s="163">
        <v>6</v>
      </c>
      <c r="O671" s="154" t="s">
        <v>410</v>
      </c>
      <c r="P671" s="159">
        <v>46103</v>
      </c>
      <c r="Q671" s="154" t="str">
        <f t="shared" si="246"/>
        <v>Balázs Dénes - Griff SE</v>
      </c>
      <c r="R671" s="154" t="s">
        <v>636</v>
      </c>
      <c r="S671" s="154" t="str">
        <f t="shared" si="247"/>
        <v>Griff SE</v>
      </c>
      <c r="T671" s="154" t="s">
        <v>645</v>
      </c>
      <c r="U671" s="154" t="s">
        <v>796</v>
      </c>
      <c r="V671" s="154"/>
    </row>
    <row r="672" spans="1:22" s="158" customFormat="1" x14ac:dyDescent="0.3">
      <c r="A672" s="154" t="s">
        <v>777</v>
      </c>
      <c r="B672" s="155" t="s">
        <v>154</v>
      </c>
      <c r="C672" s="154">
        <v>590</v>
      </c>
      <c r="D672" s="156" t="str">
        <f t="shared" si="248"/>
        <v>Kumite</v>
      </c>
      <c r="E672" s="156" t="str">
        <f t="shared" si="253"/>
        <v>Kumite, -, 35-40 kg, Gyerek 2. (11-12</v>
      </c>
      <c r="F672" s="156" t="s">
        <v>518</v>
      </c>
      <c r="G672" s="157" t="str">
        <f t="shared" si="254"/>
        <v>12</v>
      </c>
      <c r="H672" s="156" t="str">
        <f t="shared" si="255"/>
        <v>16 fős egyenes kiesés</v>
      </c>
      <c r="I672" s="157" t="str">
        <f>"5"</f>
        <v>5</v>
      </c>
      <c r="J672" s="156" t="str">
        <f>"Szenner Valentin"</f>
        <v>Szenner Valentin</v>
      </c>
      <c r="K672" s="156" t="str">
        <f>"Katana SE"</f>
        <v>Katana SE</v>
      </c>
      <c r="L672" s="156" t="str">
        <f t="shared" si="245"/>
        <v>HUN</v>
      </c>
      <c r="M672" s="163">
        <v>0</v>
      </c>
      <c r="N672" s="158" t="s">
        <v>704</v>
      </c>
      <c r="O672" s="154" t="s">
        <v>410</v>
      </c>
      <c r="P672" s="159">
        <v>46103</v>
      </c>
      <c r="Q672" s="154" t="str">
        <f t="shared" si="246"/>
        <v>Szenner Valentin - Katana SE</v>
      </c>
      <c r="R672" s="154" t="s">
        <v>636</v>
      </c>
      <c r="S672" s="154" t="str">
        <f t="shared" si="247"/>
        <v>Katana SE</v>
      </c>
      <c r="T672" s="154" t="s">
        <v>645</v>
      </c>
      <c r="U672" s="154" t="s">
        <v>796</v>
      </c>
      <c r="V672" s="154"/>
    </row>
    <row r="673" spans="1:22" s="158" customFormat="1" x14ac:dyDescent="0.3">
      <c r="A673" s="154" t="s">
        <v>777</v>
      </c>
      <c r="B673" s="155" t="s">
        <v>154</v>
      </c>
      <c r="C673" s="154">
        <v>591</v>
      </c>
      <c r="D673" s="156" t="str">
        <f t="shared" si="248"/>
        <v>Kumite</v>
      </c>
      <c r="E673" s="156" t="str">
        <f t="shared" si="253"/>
        <v>Kumite, -, 35-40 kg, Gyerek 2. (11-12</v>
      </c>
      <c r="F673" s="156" t="s">
        <v>518</v>
      </c>
      <c r="G673" s="157" t="str">
        <f t="shared" si="254"/>
        <v>12</v>
      </c>
      <c r="H673" s="156" t="str">
        <f t="shared" si="255"/>
        <v>16 fős egyenes kiesés</v>
      </c>
      <c r="I673" s="157" t="str">
        <f>"6"</f>
        <v>6</v>
      </c>
      <c r="J673" s="156" t="str">
        <f>"Eszenyi Barnabás"</f>
        <v>Eszenyi Barnabás</v>
      </c>
      <c r="K673" s="156" t="str">
        <f>"Shogun"</f>
        <v>Shogun</v>
      </c>
      <c r="L673" s="156" t="str">
        <f t="shared" si="245"/>
        <v>HUN</v>
      </c>
      <c r="M673" s="163">
        <v>3</v>
      </c>
      <c r="O673" s="154" t="s">
        <v>410</v>
      </c>
      <c r="P673" s="159">
        <v>46103</v>
      </c>
      <c r="Q673" s="154" t="str">
        <f t="shared" si="246"/>
        <v>Eszenyi Barnabás - Shogun</v>
      </c>
      <c r="R673" s="154" t="s">
        <v>636</v>
      </c>
      <c r="S673" s="154" t="str">
        <f t="shared" si="247"/>
        <v>Shogun</v>
      </c>
      <c r="T673" s="154" t="s">
        <v>645</v>
      </c>
      <c r="U673" s="154" t="s">
        <v>796</v>
      </c>
      <c r="V673" s="154"/>
    </row>
    <row r="674" spans="1:22" s="158" customFormat="1" x14ac:dyDescent="0.3">
      <c r="A674" s="154" t="s">
        <v>777</v>
      </c>
      <c r="B674" s="155" t="s">
        <v>154</v>
      </c>
      <c r="C674" s="154">
        <v>592</v>
      </c>
      <c r="D674" s="156" t="str">
        <f t="shared" si="248"/>
        <v>Kumite</v>
      </c>
      <c r="E674" s="156" t="str">
        <f t="shared" si="253"/>
        <v>Kumite, -, 35-40 kg, Gyerek 2. (11-12</v>
      </c>
      <c r="F674" s="156" t="s">
        <v>518</v>
      </c>
      <c r="G674" s="157" t="str">
        <f t="shared" si="254"/>
        <v>12</v>
      </c>
      <c r="H674" s="156" t="str">
        <f t="shared" si="255"/>
        <v>16 fős egyenes kiesés</v>
      </c>
      <c r="I674" s="157" t="str">
        <f>"7-8"</f>
        <v>7-8</v>
      </c>
      <c r="J674" s="156" t="str">
        <f>"Benedek Barnabás"</f>
        <v>Benedek Barnabás</v>
      </c>
      <c r="K674" s="156" t="str">
        <f>"Nagykátai Bushido SE"</f>
        <v>Nagykátai Bushido SE</v>
      </c>
      <c r="L674" s="156" t="str">
        <f t="shared" si="245"/>
        <v>HUN</v>
      </c>
      <c r="M674" s="163">
        <v>3</v>
      </c>
      <c r="O674" s="154" t="s">
        <v>410</v>
      </c>
      <c r="P674" s="159">
        <v>46103</v>
      </c>
      <c r="Q674" s="154" t="str">
        <f t="shared" si="246"/>
        <v>Benedek Barnabás - Nagykátai Bushido SE</v>
      </c>
      <c r="R674" s="154" t="s">
        <v>636</v>
      </c>
      <c r="S674" s="154" t="str">
        <f t="shared" si="247"/>
        <v>Nagykátai Bushido SE</v>
      </c>
      <c r="T674" s="154" t="s">
        <v>645</v>
      </c>
      <c r="U674" s="154" t="s">
        <v>796</v>
      </c>
      <c r="V674" s="154"/>
    </row>
    <row r="675" spans="1:22" s="158" customFormat="1" x14ac:dyDescent="0.3">
      <c r="A675" s="154" t="s">
        <v>777</v>
      </c>
      <c r="B675" s="155" t="s">
        <v>154</v>
      </c>
      <c r="C675" s="154">
        <v>593</v>
      </c>
      <c r="D675" s="156" t="str">
        <f t="shared" si="248"/>
        <v>Kumite</v>
      </c>
      <c r="E675" s="156" t="str">
        <f t="shared" si="253"/>
        <v>Kumite, -, 35-40 kg, Gyerek 2. (11-12</v>
      </c>
      <c r="F675" s="156" t="s">
        <v>518</v>
      </c>
      <c r="G675" s="157" t="str">
        <f t="shared" si="254"/>
        <v>12</v>
      </c>
      <c r="H675" s="156" t="str">
        <f t="shared" si="255"/>
        <v>16 fős egyenes kiesés</v>
      </c>
      <c r="I675" s="157" t="str">
        <f>"7-8"</f>
        <v>7-8</v>
      </c>
      <c r="J675" s="156" t="str">
        <f>"Héder Patrik"</f>
        <v>Héder Patrik</v>
      </c>
      <c r="K675" s="156" t="str">
        <f>"Bátor KSE"</f>
        <v>Bátor KSE</v>
      </c>
      <c r="L675" s="156" t="str">
        <f t="shared" si="245"/>
        <v>HUN</v>
      </c>
      <c r="M675" s="163">
        <v>0</v>
      </c>
      <c r="N675" s="158" t="s">
        <v>704</v>
      </c>
      <c r="O675" s="154" t="s">
        <v>410</v>
      </c>
      <c r="P675" s="159">
        <v>46103</v>
      </c>
      <c r="Q675" s="154" t="str">
        <f t="shared" si="246"/>
        <v>Héder Patrik - Bátor KSE</v>
      </c>
      <c r="R675" s="154" t="s">
        <v>636</v>
      </c>
      <c r="S675" s="154" t="str">
        <f t="shared" si="247"/>
        <v>Bátor KSE</v>
      </c>
      <c r="T675" s="154" t="s">
        <v>645</v>
      </c>
      <c r="U675" s="154" t="s">
        <v>796</v>
      </c>
      <c r="V675" s="154"/>
    </row>
    <row r="676" spans="1:22" s="158" customFormat="1" x14ac:dyDescent="0.3">
      <c r="A676" s="154" t="s">
        <v>777</v>
      </c>
      <c r="B676" s="155" t="s">
        <v>154</v>
      </c>
      <c r="C676" s="154">
        <v>594</v>
      </c>
      <c r="D676" s="156" t="str">
        <f t="shared" si="248"/>
        <v>Kumite</v>
      </c>
      <c r="E676" s="156" t="str">
        <f t="shared" si="253"/>
        <v>Kumite, -, 35-40 kg, Gyerek 2. (11-12</v>
      </c>
      <c r="F676" s="156" t="s">
        <v>518</v>
      </c>
      <c r="G676" s="157" t="str">
        <f t="shared" si="254"/>
        <v>12</v>
      </c>
      <c r="H676" s="156" t="str">
        <f t="shared" si="255"/>
        <v>16 fős egyenes kiesés</v>
      </c>
      <c r="I676" s="157" t="str">
        <f>"9"</f>
        <v>9</v>
      </c>
      <c r="J676" s="156" t="str">
        <f>"Kárász Dániel"</f>
        <v>Kárász Dániel</v>
      </c>
      <c r="K676" s="156" t="str">
        <f>"BHMSE"</f>
        <v>BHMSE</v>
      </c>
      <c r="L676" s="156" t="str">
        <f t="shared" si="245"/>
        <v>HUN</v>
      </c>
      <c r="M676" s="163">
        <v>0</v>
      </c>
      <c r="O676" s="154" t="s">
        <v>410</v>
      </c>
      <c r="P676" s="159">
        <v>46103</v>
      </c>
      <c r="Q676" s="154" t="str">
        <f t="shared" si="246"/>
        <v>Kárász Dániel - BHMSE</v>
      </c>
      <c r="R676" s="154" t="s">
        <v>636</v>
      </c>
      <c r="S676" s="154" t="str">
        <f t="shared" si="247"/>
        <v>BHMSE</v>
      </c>
      <c r="T676" s="154" t="s">
        <v>645</v>
      </c>
      <c r="U676" s="154" t="s">
        <v>796</v>
      </c>
      <c r="V676" s="154"/>
    </row>
    <row r="677" spans="1:22" s="158" customFormat="1" x14ac:dyDescent="0.3">
      <c r="A677" s="154" t="s">
        <v>777</v>
      </c>
      <c r="B677" s="155" t="s">
        <v>154</v>
      </c>
      <c r="C677" s="154">
        <v>595</v>
      </c>
      <c r="D677" s="156" t="str">
        <f t="shared" si="248"/>
        <v>Kumite</v>
      </c>
      <c r="E677" s="156" t="str">
        <f t="shared" si="253"/>
        <v>Kumite, -, 35-40 kg, Gyerek 2. (11-12</v>
      </c>
      <c r="F677" s="156" t="s">
        <v>518</v>
      </c>
      <c r="G677" s="157" t="str">
        <f t="shared" si="254"/>
        <v>12</v>
      </c>
      <c r="H677" s="156" t="str">
        <f t="shared" si="255"/>
        <v>16 fős egyenes kiesés</v>
      </c>
      <c r="I677" s="157" t="str">
        <f>"11-16"</f>
        <v>11-16</v>
      </c>
      <c r="J677" s="156" t="str">
        <f>"Molnár I. Zétény"</f>
        <v>Molnár I. Zétény</v>
      </c>
      <c r="K677" s="156" t="str">
        <f>"KKE - Spartacus"</f>
        <v>KKE - Spartacus</v>
      </c>
      <c r="L677" s="156" t="str">
        <f t="shared" si="245"/>
        <v>HUN</v>
      </c>
      <c r="M677" s="163">
        <v>0</v>
      </c>
      <c r="O677" s="154" t="s">
        <v>410</v>
      </c>
      <c r="P677" s="159">
        <v>46103</v>
      </c>
      <c r="Q677" s="154" t="str">
        <f t="shared" si="246"/>
        <v>Molnár I. Zétény - KKE - Spartacus</v>
      </c>
      <c r="R677" s="154" t="s">
        <v>636</v>
      </c>
      <c r="S677" s="154" t="str">
        <f t="shared" si="247"/>
        <v>KKE - Spartacus</v>
      </c>
      <c r="T677" s="154" t="s">
        <v>645</v>
      </c>
      <c r="U677" s="154" t="s">
        <v>796</v>
      </c>
      <c r="V677" s="154"/>
    </row>
    <row r="678" spans="1:22" s="158" customFormat="1" x14ac:dyDescent="0.3">
      <c r="A678" s="154" t="s">
        <v>777</v>
      </c>
      <c r="B678" s="155" t="s">
        <v>154</v>
      </c>
      <c r="C678" s="154">
        <v>596</v>
      </c>
      <c r="D678" s="156" t="str">
        <f t="shared" si="248"/>
        <v>Kumite</v>
      </c>
      <c r="E678" s="156" t="str">
        <f t="shared" si="253"/>
        <v>Kumite, -, 35-40 kg, Gyerek 2. (11-12</v>
      </c>
      <c r="F678" s="156" t="s">
        <v>518</v>
      </c>
      <c r="G678" s="157" t="str">
        <f t="shared" si="254"/>
        <v>12</v>
      </c>
      <c r="H678" s="156" t="str">
        <f t="shared" si="255"/>
        <v>16 fős egyenes kiesés</v>
      </c>
      <c r="I678" s="157" t="str">
        <f>"11-16"</f>
        <v>11-16</v>
      </c>
      <c r="J678" s="156" t="str">
        <f>"Hidegh Krisztián"</f>
        <v>Hidegh Krisztián</v>
      </c>
      <c r="K678" s="156" t="str">
        <f>"Rakurai"</f>
        <v>Rakurai</v>
      </c>
      <c r="L678" s="156" t="str">
        <f t="shared" si="245"/>
        <v>HUN</v>
      </c>
      <c r="M678" s="163">
        <v>0</v>
      </c>
      <c r="O678" s="154" t="s">
        <v>410</v>
      </c>
      <c r="P678" s="159">
        <v>46103</v>
      </c>
      <c r="Q678" s="154" t="str">
        <f t="shared" si="246"/>
        <v>Hidegh Krisztián - Rakurai</v>
      </c>
      <c r="R678" s="154" t="s">
        <v>636</v>
      </c>
      <c r="S678" s="154" t="str">
        <f t="shared" si="247"/>
        <v>Rakurai</v>
      </c>
      <c r="T678" s="154" t="s">
        <v>645</v>
      </c>
      <c r="U678" s="154" t="s">
        <v>796</v>
      </c>
      <c r="V678" s="154"/>
    </row>
    <row r="679" spans="1:22" s="158" customFormat="1" x14ac:dyDescent="0.3">
      <c r="A679" s="154" t="s">
        <v>777</v>
      </c>
      <c r="B679" s="155" t="s">
        <v>154</v>
      </c>
      <c r="C679" s="154">
        <v>597</v>
      </c>
      <c r="D679" s="156" t="str">
        <f t="shared" si="248"/>
        <v>Kumite</v>
      </c>
      <c r="E679" s="156" t="str">
        <f t="shared" si="253"/>
        <v>Kumite, -, 35-40 kg, Gyerek 2. (11-12</v>
      </c>
      <c r="F679" s="156" t="s">
        <v>518</v>
      </c>
      <c r="G679" s="157" t="str">
        <f t="shared" si="254"/>
        <v>12</v>
      </c>
      <c r="H679" s="156" t="str">
        <f t="shared" si="255"/>
        <v>16 fős egyenes kiesés</v>
      </c>
      <c r="I679" s="157" t="str">
        <f>"11-16"</f>
        <v>11-16</v>
      </c>
      <c r="J679" s="156" t="str">
        <f>"Hegedűs Botond"</f>
        <v>Hegedűs Botond</v>
      </c>
      <c r="K679" s="156" t="str">
        <f>"Keizoku SE"</f>
        <v>Keizoku SE</v>
      </c>
      <c r="L679" s="156" t="str">
        <f t="shared" si="245"/>
        <v>HUN</v>
      </c>
      <c r="M679" s="163">
        <v>0</v>
      </c>
      <c r="O679" s="154" t="s">
        <v>410</v>
      </c>
      <c r="P679" s="159">
        <v>46103</v>
      </c>
      <c r="Q679" s="154" t="str">
        <f t="shared" si="246"/>
        <v>Hegedűs Botond - Keizoku SE</v>
      </c>
      <c r="R679" s="154" t="s">
        <v>636</v>
      </c>
      <c r="S679" s="154" t="str">
        <f t="shared" si="247"/>
        <v>Keizoku SE</v>
      </c>
      <c r="T679" s="154" t="s">
        <v>645</v>
      </c>
      <c r="U679" s="154" t="s">
        <v>796</v>
      </c>
      <c r="V679" s="154"/>
    </row>
    <row r="680" spans="1:22" s="158" customFormat="1" x14ac:dyDescent="0.3">
      <c r="A680" s="154" t="s">
        <v>777</v>
      </c>
      <c r="B680" s="155" t="s">
        <v>154</v>
      </c>
      <c r="C680" s="154">
        <v>598</v>
      </c>
      <c r="D680" s="156" t="str">
        <f t="shared" si="248"/>
        <v>Kumite</v>
      </c>
      <c r="E680" s="156" t="str">
        <f>"Kumite, -, 40-45 kg, Gyerek 2. (11-12"</f>
        <v>Kumite, -, 40-45 kg, Gyerek 2. (11-12</v>
      </c>
      <c r="F680" s="156" t="s">
        <v>521</v>
      </c>
      <c r="G680" s="157" t="str">
        <f>"4"</f>
        <v>4</v>
      </c>
      <c r="H680" s="156" t="str">
        <f>"4 fős körmérkőzés"</f>
        <v>4 fős körmérkőzés</v>
      </c>
      <c r="I680" s="157" t="str">
        <f>"1"</f>
        <v>1</v>
      </c>
      <c r="J680" s="156" t="str">
        <f>"Árendás Botond"</f>
        <v>Árendás Botond</v>
      </c>
      <c r="K680" s="156" t="str">
        <f>"KSE Tarján"</f>
        <v>KSE Tarján</v>
      </c>
      <c r="L680" s="156" t="str">
        <f t="shared" si="245"/>
        <v>HUN</v>
      </c>
      <c r="M680" s="163">
        <v>8</v>
      </c>
      <c r="O680" s="154" t="s">
        <v>410</v>
      </c>
      <c r="P680" s="159">
        <v>46103</v>
      </c>
      <c r="Q680" s="154" t="str">
        <f t="shared" si="246"/>
        <v>Árendás Botond - KSE Tarján</v>
      </c>
      <c r="R680" s="154" t="s">
        <v>636</v>
      </c>
      <c r="S680" s="154" t="str">
        <f t="shared" si="247"/>
        <v>KSE Tarján</v>
      </c>
      <c r="T680" s="154" t="s">
        <v>645</v>
      </c>
      <c r="U680" s="154" t="s">
        <v>796</v>
      </c>
      <c r="V680" s="154"/>
    </row>
    <row r="681" spans="1:22" s="158" customFormat="1" x14ac:dyDescent="0.3">
      <c r="A681" s="154" t="s">
        <v>777</v>
      </c>
      <c r="B681" s="155" t="s">
        <v>154</v>
      </c>
      <c r="C681" s="154">
        <v>599</v>
      </c>
      <c r="D681" s="156" t="str">
        <f t="shared" si="248"/>
        <v>Kumite</v>
      </c>
      <c r="E681" s="156" t="str">
        <f>"Kumite, -, 40-45 kg, Gyerek 2. (11-12"</f>
        <v>Kumite, -, 40-45 kg, Gyerek 2. (11-12</v>
      </c>
      <c r="F681" s="156" t="s">
        <v>521</v>
      </c>
      <c r="G681" s="157" t="str">
        <f>"4"</f>
        <v>4</v>
      </c>
      <c r="H681" s="156" t="str">
        <f>"4 fős körmérkőzés"</f>
        <v>4 fős körmérkőzés</v>
      </c>
      <c r="I681" s="157" t="str">
        <f>"2"</f>
        <v>2</v>
      </c>
      <c r="J681" s="156" t="str">
        <f>"Horváth Kristóf"</f>
        <v>Horváth Kristóf</v>
      </c>
      <c r="K681" s="156" t="str">
        <f>"Griff SE"</f>
        <v>Griff SE</v>
      </c>
      <c r="L681" s="156" t="str">
        <f t="shared" si="245"/>
        <v>HUN</v>
      </c>
      <c r="M681" s="163">
        <v>6</v>
      </c>
      <c r="O681" s="154" t="s">
        <v>410</v>
      </c>
      <c r="P681" s="159">
        <v>46103</v>
      </c>
      <c r="Q681" s="154" t="str">
        <f t="shared" si="246"/>
        <v>Horváth Kristóf - Griff SE</v>
      </c>
      <c r="R681" s="154" t="s">
        <v>636</v>
      </c>
      <c r="S681" s="154" t="str">
        <f t="shared" si="247"/>
        <v>Griff SE</v>
      </c>
      <c r="T681" s="154" t="s">
        <v>645</v>
      </c>
      <c r="U681" s="154" t="s">
        <v>796</v>
      </c>
      <c r="V681" s="154"/>
    </row>
    <row r="682" spans="1:22" s="158" customFormat="1" x14ac:dyDescent="0.3">
      <c r="A682" s="154" t="s">
        <v>777</v>
      </c>
      <c r="B682" s="155" t="s">
        <v>154</v>
      </c>
      <c r="C682" s="154">
        <v>600</v>
      </c>
      <c r="D682" s="156" t="str">
        <f t="shared" si="248"/>
        <v>Kumite</v>
      </c>
      <c r="E682" s="156" t="str">
        <f>"Kumite, -, 40-45 kg, Gyerek 2. (11-12"</f>
        <v>Kumite, -, 40-45 kg, Gyerek 2. (11-12</v>
      </c>
      <c r="F682" s="156" t="s">
        <v>521</v>
      </c>
      <c r="G682" s="157" t="str">
        <f>"4"</f>
        <v>4</v>
      </c>
      <c r="H682" s="156" t="str">
        <f>"4 fős körmérkőzés"</f>
        <v>4 fős körmérkőzés</v>
      </c>
      <c r="I682" s="157" t="str">
        <f>"3"</f>
        <v>3</v>
      </c>
      <c r="J682" s="156" t="str">
        <f>"Fekete Kristóf"</f>
        <v>Fekete Kristóf</v>
      </c>
      <c r="K682" s="156" t="str">
        <f>"Rokku KKSE"</f>
        <v>Rokku KKSE</v>
      </c>
      <c r="L682" s="156" t="str">
        <f t="shared" si="245"/>
        <v>HUN</v>
      </c>
      <c r="M682" s="163">
        <v>4</v>
      </c>
      <c r="O682" s="154" t="s">
        <v>410</v>
      </c>
      <c r="P682" s="159">
        <v>46103</v>
      </c>
      <c r="Q682" s="154" t="str">
        <f t="shared" si="246"/>
        <v>Fekete Kristóf - Rokku KKSE</v>
      </c>
      <c r="R682" s="154" t="s">
        <v>636</v>
      </c>
      <c r="S682" s="154" t="str">
        <f t="shared" si="247"/>
        <v>Rokku KKSE</v>
      </c>
      <c r="T682" s="154" t="s">
        <v>645</v>
      </c>
      <c r="U682" s="154" t="s">
        <v>796</v>
      </c>
      <c r="V682" s="154"/>
    </row>
    <row r="683" spans="1:22" s="158" customFormat="1" x14ac:dyDescent="0.3">
      <c r="A683" s="154" t="s">
        <v>777</v>
      </c>
      <c r="B683" s="155" t="s">
        <v>154</v>
      </c>
      <c r="C683" s="154">
        <v>601</v>
      </c>
      <c r="D683" s="156" t="str">
        <f t="shared" si="248"/>
        <v>Kumite</v>
      </c>
      <c r="E683" s="156" t="str">
        <f>"Kumite, -, 40-45 kg, Gyerek 2. (11-12"</f>
        <v>Kumite, -, 40-45 kg, Gyerek 2. (11-12</v>
      </c>
      <c r="F683" s="156" t="s">
        <v>521</v>
      </c>
      <c r="G683" s="157" t="str">
        <f>"4"</f>
        <v>4</v>
      </c>
      <c r="H683" s="156" t="str">
        <f>"4 fős körmérkőzés"</f>
        <v>4 fős körmérkőzés</v>
      </c>
      <c r="I683" s="157" t="str">
        <f>"4"</f>
        <v>4</v>
      </c>
      <c r="J683" s="156" t="str">
        <f>"Dani Andor"</f>
        <v>Dani Andor</v>
      </c>
      <c r="K683" s="156" t="str">
        <f>"Kamikaze S"</f>
        <v>Kamikaze S</v>
      </c>
      <c r="L683" s="156" t="str">
        <f t="shared" si="245"/>
        <v>HUN</v>
      </c>
      <c r="M683" s="163">
        <v>0</v>
      </c>
      <c r="O683" s="154" t="s">
        <v>410</v>
      </c>
      <c r="P683" s="159">
        <v>46103</v>
      </c>
      <c r="Q683" s="154" t="str">
        <f t="shared" si="246"/>
        <v>Dani Andor - Kamikaze S</v>
      </c>
      <c r="R683" s="154" t="s">
        <v>636</v>
      </c>
      <c r="S683" s="154" t="str">
        <f t="shared" si="247"/>
        <v>Kamikaze S</v>
      </c>
      <c r="T683" s="154" t="s">
        <v>645</v>
      </c>
      <c r="U683" s="154" t="s">
        <v>796</v>
      </c>
      <c r="V683" s="154"/>
    </row>
    <row r="684" spans="1:22" s="158" customFormat="1" x14ac:dyDescent="0.3">
      <c r="A684" s="154" t="s">
        <v>777</v>
      </c>
      <c r="B684" s="155" t="s">
        <v>154</v>
      </c>
      <c r="C684" s="154">
        <v>602</v>
      </c>
      <c r="D684" s="156" t="str">
        <f t="shared" si="248"/>
        <v>Kumite</v>
      </c>
      <c r="E684" s="156" t="str">
        <f t="shared" ref="E684:E697" si="256">"Kumite, -, 45-55 kg, Gyerek 2. (11-12"</f>
        <v>Kumite, -, 45-55 kg, Gyerek 2. (11-12</v>
      </c>
      <c r="F684" s="156" t="s">
        <v>522</v>
      </c>
      <c r="G684" s="157" t="str">
        <f t="shared" ref="G684:G697" si="257">"15"</f>
        <v>15</v>
      </c>
      <c r="H684" s="156" t="str">
        <f t="shared" ref="H684:H709" si="258">"16 fős egyenes kiesés"</f>
        <v>16 fős egyenes kiesés</v>
      </c>
      <c r="I684" s="157" t="str">
        <f>"1"</f>
        <v>1</v>
      </c>
      <c r="J684" s="156" t="str">
        <f>"Gombos-Weidinger Zsombor"</f>
        <v>Gombos-Weidinger Zsombor</v>
      </c>
      <c r="K684" s="156" t="str">
        <f>"BHMSE"</f>
        <v>BHMSE</v>
      </c>
      <c r="L684" s="156" t="str">
        <f t="shared" si="245"/>
        <v>HUN</v>
      </c>
      <c r="M684" s="163">
        <v>10</v>
      </c>
      <c r="O684" s="154" t="s">
        <v>410</v>
      </c>
      <c r="P684" s="159">
        <v>46103</v>
      </c>
      <c r="Q684" s="154" t="str">
        <f t="shared" si="246"/>
        <v>Gombos-Weidinger Zsombor - BHMSE</v>
      </c>
      <c r="R684" s="154" t="s">
        <v>636</v>
      </c>
      <c r="S684" s="154" t="str">
        <f t="shared" si="247"/>
        <v>BHMSE</v>
      </c>
      <c r="T684" s="154" t="s">
        <v>645</v>
      </c>
      <c r="U684" s="154" t="s">
        <v>796</v>
      </c>
      <c r="V684" s="154"/>
    </row>
    <row r="685" spans="1:22" s="158" customFormat="1" x14ac:dyDescent="0.3">
      <c r="A685" s="154" t="s">
        <v>777</v>
      </c>
      <c r="B685" s="155" t="s">
        <v>154</v>
      </c>
      <c r="C685" s="154">
        <v>603</v>
      </c>
      <c r="D685" s="156" t="str">
        <f t="shared" si="248"/>
        <v>Kumite</v>
      </c>
      <c r="E685" s="156" t="str">
        <f t="shared" si="256"/>
        <v>Kumite, -, 45-55 kg, Gyerek 2. (11-12</v>
      </c>
      <c r="F685" s="156" t="s">
        <v>522</v>
      </c>
      <c r="G685" s="157" t="str">
        <f t="shared" si="257"/>
        <v>15</v>
      </c>
      <c r="H685" s="156" t="str">
        <f t="shared" si="258"/>
        <v>16 fős egyenes kiesés</v>
      </c>
      <c r="I685" s="157" t="str">
        <f>"2"</f>
        <v>2</v>
      </c>
      <c r="J685" s="156" t="str">
        <f>"Zeke Dávid"</f>
        <v>Zeke Dávid</v>
      </c>
      <c r="K685" s="156" t="str">
        <f>"Kelemen-Team"</f>
        <v>Kelemen-Team</v>
      </c>
      <c r="L685" s="156" t="str">
        <f t="shared" si="245"/>
        <v>HUN</v>
      </c>
      <c r="M685" s="163">
        <v>8</v>
      </c>
      <c r="O685" s="154" t="s">
        <v>410</v>
      </c>
      <c r="P685" s="159">
        <v>46103</v>
      </c>
      <c r="Q685" s="154" t="str">
        <f t="shared" si="246"/>
        <v>Zeke Dávid - Kelemen-Team</v>
      </c>
      <c r="R685" s="154" t="s">
        <v>636</v>
      </c>
      <c r="S685" s="154" t="str">
        <f t="shared" si="247"/>
        <v>Kelemen-Team</v>
      </c>
      <c r="T685" s="154" t="s">
        <v>645</v>
      </c>
      <c r="U685" s="154" t="s">
        <v>796</v>
      </c>
      <c r="V685" s="154"/>
    </row>
    <row r="686" spans="1:22" s="158" customFormat="1" x14ac:dyDescent="0.3">
      <c r="A686" s="154" t="s">
        <v>777</v>
      </c>
      <c r="B686" s="155" t="s">
        <v>154</v>
      </c>
      <c r="C686" s="154">
        <v>604</v>
      </c>
      <c r="D686" s="156" t="str">
        <f t="shared" si="248"/>
        <v>Kumite</v>
      </c>
      <c r="E686" s="156" t="str">
        <f t="shared" si="256"/>
        <v>Kumite, -, 45-55 kg, Gyerek 2. (11-12</v>
      </c>
      <c r="F686" s="156" t="s">
        <v>522</v>
      </c>
      <c r="G686" s="157" t="str">
        <f t="shared" si="257"/>
        <v>15</v>
      </c>
      <c r="H686" s="156" t="str">
        <f t="shared" si="258"/>
        <v>16 fős egyenes kiesés</v>
      </c>
      <c r="I686" s="157" t="str">
        <f>"3"</f>
        <v>3</v>
      </c>
      <c r="J686" s="156" t="str">
        <f>"Vámosi Juhász Máté"</f>
        <v>Vámosi Juhász Máté</v>
      </c>
      <c r="K686" s="156" t="str">
        <f>"Nagykátai Bushido SE"</f>
        <v>Nagykátai Bushido SE</v>
      </c>
      <c r="L686" s="156" t="str">
        <f t="shared" si="245"/>
        <v>HUN</v>
      </c>
      <c r="M686" s="163">
        <v>6</v>
      </c>
      <c r="O686" s="154" t="s">
        <v>410</v>
      </c>
      <c r="P686" s="159">
        <v>46103</v>
      </c>
      <c r="Q686" s="154" t="str">
        <f t="shared" si="246"/>
        <v>Vámosi Juhász Máté - Nagykátai Bushido SE</v>
      </c>
      <c r="R686" s="154" t="s">
        <v>636</v>
      </c>
      <c r="S686" s="154" t="str">
        <f t="shared" si="247"/>
        <v>Nagykátai Bushido SE</v>
      </c>
      <c r="T686" s="154" t="s">
        <v>645</v>
      </c>
      <c r="U686" s="154" t="s">
        <v>796</v>
      </c>
      <c r="V686" s="154"/>
    </row>
    <row r="687" spans="1:22" s="158" customFormat="1" x14ac:dyDescent="0.3">
      <c r="A687" s="154" t="s">
        <v>777</v>
      </c>
      <c r="B687" s="155" t="s">
        <v>154</v>
      </c>
      <c r="C687" s="154">
        <v>605</v>
      </c>
      <c r="D687" s="156" t="str">
        <f t="shared" si="248"/>
        <v>Kumite</v>
      </c>
      <c r="E687" s="156" t="str">
        <f t="shared" si="256"/>
        <v>Kumite, -, 45-55 kg, Gyerek 2. (11-12</v>
      </c>
      <c r="F687" s="156" t="s">
        <v>522</v>
      </c>
      <c r="G687" s="157" t="str">
        <f t="shared" si="257"/>
        <v>15</v>
      </c>
      <c r="H687" s="156" t="str">
        <f t="shared" si="258"/>
        <v>16 fős egyenes kiesés</v>
      </c>
      <c r="I687" s="157" t="str">
        <f>"3"</f>
        <v>3</v>
      </c>
      <c r="J687" s="156" t="str">
        <f>"Némethy Balázs"</f>
        <v>Némethy Balázs</v>
      </c>
      <c r="K687" s="156" t="str">
        <f>"Shogun"</f>
        <v>Shogun</v>
      </c>
      <c r="L687" s="156" t="str">
        <f t="shared" si="245"/>
        <v>HUN</v>
      </c>
      <c r="M687" s="163">
        <v>6</v>
      </c>
      <c r="O687" s="154" t="s">
        <v>410</v>
      </c>
      <c r="P687" s="159">
        <v>46103</v>
      </c>
      <c r="Q687" s="154" t="str">
        <f t="shared" si="246"/>
        <v>Némethy Balázs - Shogun</v>
      </c>
      <c r="R687" s="154" t="s">
        <v>636</v>
      </c>
      <c r="S687" s="154" t="str">
        <f t="shared" si="247"/>
        <v>Shogun</v>
      </c>
      <c r="T687" s="154" t="s">
        <v>645</v>
      </c>
      <c r="U687" s="154" t="s">
        <v>796</v>
      </c>
      <c r="V687" s="154"/>
    </row>
    <row r="688" spans="1:22" s="158" customFormat="1" x14ac:dyDescent="0.3">
      <c r="A688" s="154" t="s">
        <v>777</v>
      </c>
      <c r="B688" s="155" t="s">
        <v>154</v>
      </c>
      <c r="C688" s="154">
        <v>606</v>
      </c>
      <c r="D688" s="156" t="str">
        <f t="shared" si="248"/>
        <v>Kumite</v>
      </c>
      <c r="E688" s="156" t="str">
        <f t="shared" si="256"/>
        <v>Kumite, -, 45-55 kg, Gyerek 2. (11-12</v>
      </c>
      <c r="F688" s="156" t="s">
        <v>522</v>
      </c>
      <c r="G688" s="157" t="str">
        <f t="shared" si="257"/>
        <v>15</v>
      </c>
      <c r="H688" s="156" t="str">
        <f t="shared" si="258"/>
        <v>16 fős egyenes kiesés</v>
      </c>
      <c r="I688" s="157" t="str">
        <f>"5"</f>
        <v>5</v>
      </c>
      <c r="J688" s="156" t="str">
        <f>"Kiss Levente"</f>
        <v>Kiss Levente</v>
      </c>
      <c r="K688" s="156" t="str">
        <f>"Derecske BUDO"</f>
        <v>Derecske BUDO</v>
      </c>
      <c r="L688" s="156" t="str">
        <f t="shared" si="245"/>
        <v>HUN</v>
      </c>
      <c r="M688" s="163">
        <v>3</v>
      </c>
      <c r="O688" s="154" t="s">
        <v>410</v>
      </c>
      <c r="P688" s="159">
        <v>46103</v>
      </c>
      <c r="Q688" s="154" t="str">
        <f t="shared" si="246"/>
        <v>Kiss Levente - Derecske BUDO</v>
      </c>
      <c r="R688" s="154" t="s">
        <v>636</v>
      </c>
      <c r="S688" s="154" t="str">
        <f t="shared" si="247"/>
        <v>Derecske BUDO</v>
      </c>
      <c r="T688" s="154" t="s">
        <v>645</v>
      </c>
      <c r="U688" s="154" t="s">
        <v>796</v>
      </c>
      <c r="V688" s="154"/>
    </row>
    <row r="689" spans="1:22" s="158" customFormat="1" x14ac:dyDescent="0.3">
      <c r="A689" s="154" t="s">
        <v>777</v>
      </c>
      <c r="B689" s="155" t="s">
        <v>154</v>
      </c>
      <c r="C689" s="154">
        <v>607</v>
      </c>
      <c r="D689" s="156" t="str">
        <f t="shared" si="248"/>
        <v>Kumite</v>
      </c>
      <c r="E689" s="156" t="str">
        <f t="shared" si="256"/>
        <v>Kumite, -, 45-55 kg, Gyerek 2. (11-12</v>
      </c>
      <c r="F689" s="156" t="s">
        <v>522</v>
      </c>
      <c r="G689" s="157" t="str">
        <f t="shared" si="257"/>
        <v>15</v>
      </c>
      <c r="H689" s="156" t="str">
        <f t="shared" si="258"/>
        <v>16 fős egyenes kiesés</v>
      </c>
      <c r="I689" s="157" t="str">
        <f>"6"</f>
        <v>6</v>
      </c>
      <c r="J689" s="156" t="str">
        <f>"Hernádi Bere"</f>
        <v>Hernádi Bere</v>
      </c>
      <c r="K689" s="156" t="str">
        <f>"BHMSE"</f>
        <v>BHMSE</v>
      </c>
      <c r="L689" s="156" t="str">
        <f t="shared" si="245"/>
        <v>HUN</v>
      </c>
      <c r="M689" s="163">
        <v>3</v>
      </c>
      <c r="O689" s="154" t="s">
        <v>410</v>
      </c>
      <c r="P689" s="159">
        <v>46103</v>
      </c>
      <c r="Q689" s="154" t="str">
        <f t="shared" si="246"/>
        <v>Hernádi Bere - BHMSE</v>
      </c>
      <c r="R689" s="154" t="s">
        <v>636</v>
      </c>
      <c r="S689" s="154" t="str">
        <f t="shared" si="247"/>
        <v>BHMSE</v>
      </c>
      <c r="T689" s="154" t="s">
        <v>645</v>
      </c>
      <c r="U689" s="154" t="s">
        <v>796</v>
      </c>
      <c r="V689" s="154"/>
    </row>
    <row r="690" spans="1:22" s="158" customFormat="1" x14ac:dyDescent="0.3">
      <c r="A690" s="154" t="s">
        <v>777</v>
      </c>
      <c r="B690" s="155" t="s">
        <v>154</v>
      </c>
      <c r="C690" s="154">
        <v>608</v>
      </c>
      <c r="D690" s="156" t="str">
        <f t="shared" si="248"/>
        <v>Kumite</v>
      </c>
      <c r="E690" s="156" t="str">
        <f t="shared" si="256"/>
        <v>Kumite, -, 45-55 kg, Gyerek 2. (11-12</v>
      </c>
      <c r="F690" s="156" t="s">
        <v>522</v>
      </c>
      <c r="G690" s="157" t="str">
        <f t="shared" si="257"/>
        <v>15</v>
      </c>
      <c r="H690" s="156" t="str">
        <f t="shared" si="258"/>
        <v>16 fős egyenes kiesés</v>
      </c>
      <c r="I690" s="157" t="str">
        <f>"7-8"</f>
        <v>7-8</v>
      </c>
      <c r="J690" s="156" t="str">
        <f>"Farkas Kristóf"</f>
        <v>Farkas Kristóf</v>
      </c>
      <c r="K690" s="156" t="str">
        <f>"Buke Reikon HRSE"</f>
        <v>Buke Reikon HRSE</v>
      </c>
      <c r="L690" s="156" t="str">
        <f t="shared" si="245"/>
        <v>HUN</v>
      </c>
      <c r="M690" s="163">
        <v>3</v>
      </c>
      <c r="O690" s="154" t="s">
        <v>410</v>
      </c>
      <c r="P690" s="159">
        <v>46103</v>
      </c>
      <c r="Q690" s="154" t="str">
        <f t="shared" si="246"/>
        <v>Farkas Kristóf - Buke Reikon HRSE</v>
      </c>
      <c r="R690" s="154" t="s">
        <v>636</v>
      </c>
      <c r="S690" s="154" t="str">
        <f t="shared" si="247"/>
        <v>Buke Reikon HRSE</v>
      </c>
      <c r="T690" s="154" t="s">
        <v>645</v>
      </c>
      <c r="U690" s="154" t="s">
        <v>796</v>
      </c>
      <c r="V690" s="154"/>
    </row>
    <row r="691" spans="1:22" s="158" customFormat="1" x14ac:dyDescent="0.3">
      <c r="A691" s="154" t="s">
        <v>777</v>
      </c>
      <c r="B691" s="155" t="s">
        <v>154</v>
      </c>
      <c r="C691" s="154">
        <v>609</v>
      </c>
      <c r="D691" s="156" t="str">
        <f t="shared" si="248"/>
        <v>Kumite</v>
      </c>
      <c r="E691" s="156" t="str">
        <f t="shared" si="256"/>
        <v>Kumite, -, 45-55 kg, Gyerek 2. (11-12</v>
      </c>
      <c r="F691" s="156" t="s">
        <v>522</v>
      </c>
      <c r="G691" s="157" t="str">
        <f t="shared" si="257"/>
        <v>15</v>
      </c>
      <c r="H691" s="156" t="str">
        <f t="shared" si="258"/>
        <v>16 fős egyenes kiesés</v>
      </c>
      <c r="I691" s="157" t="str">
        <f>"7-8"</f>
        <v>7-8</v>
      </c>
      <c r="J691" s="156" t="str">
        <f>"Simon Titusz"</f>
        <v>Simon Titusz</v>
      </c>
      <c r="K691" s="156" t="str">
        <f>"Buke Reikon HRSE"</f>
        <v>Buke Reikon HRSE</v>
      </c>
      <c r="L691" s="156" t="str">
        <f t="shared" si="245"/>
        <v>HUN</v>
      </c>
      <c r="M691" s="163">
        <v>3</v>
      </c>
      <c r="O691" s="154" t="s">
        <v>410</v>
      </c>
      <c r="P691" s="159">
        <v>46103</v>
      </c>
      <c r="Q691" s="154" t="str">
        <f t="shared" si="246"/>
        <v>Simon Titusz - Buke Reikon HRSE</v>
      </c>
      <c r="R691" s="154" t="s">
        <v>636</v>
      </c>
      <c r="S691" s="154" t="str">
        <f t="shared" si="247"/>
        <v>Buke Reikon HRSE</v>
      </c>
      <c r="T691" s="154" t="s">
        <v>645</v>
      </c>
      <c r="U691" s="154" t="s">
        <v>796</v>
      </c>
      <c r="V691" s="154"/>
    </row>
    <row r="692" spans="1:22" s="158" customFormat="1" x14ac:dyDescent="0.3">
      <c r="A692" s="154" t="s">
        <v>777</v>
      </c>
      <c r="B692" s="155" t="s">
        <v>154</v>
      </c>
      <c r="C692" s="154">
        <v>610</v>
      </c>
      <c r="D692" s="156" t="str">
        <f t="shared" si="248"/>
        <v>Kumite</v>
      </c>
      <c r="E692" s="156" t="str">
        <f t="shared" si="256"/>
        <v>Kumite, -, 45-55 kg, Gyerek 2. (11-12</v>
      </c>
      <c r="F692" s="156" t="s">
        <v>522</v>
      </c>
      <c r="G692" s="157" t="str">
        <f t="shared" si="257"/>
        <v>15</v>
      </c>
      <c r="H692" s="156" t="str">
        <f t="shared" si="258"/>
        <v>16 fős egyenes kiesés</v>
      </c>
      <c r="I692" s="157" t="str">
        <f>"9"</f>
        <v>9</v>
      </c>
      <c r="J692" s="156" t="str">
        <f>"Sztarek Benett"</f>
        <v>Sztarek Benett</v>
      </c>
      <c r="K692" s="156" t="str">
        <f>"Buke Reikon HRSE"</f>
        <v>Buke Reikon HRSE</v>
      </c>
      <c r="L692" s="156" t="str">
        <f t="shared" si="245"/>
        <v>HUN</v>
      </c>
      <c r="M692" s="163">
        <v>0</v>
      </c>
      <c r="O692" s="154" t="s">
        <v>410</v>
      </c>
      <c r="P692" s="159">
        <v>46103</v>
      </c>
      <c r="Q692" s="154" t="str">
        <f t="shared" si="246"/>
        <v>Sztarek Benett - Buke Reikon HRSE</v>
      </c>
      <c r="R692" s="154" t="s">
        <v>636</v>
      </c>
      <c r="S692" s="154" t="str">
        <f t="shared" si="247"/>
        <v>Buke Reikon HRSE</v>
      </c>
      <c r="T692" s="154" t="s">
        <v>645</v>
      </c>
      <c r="U692" s="154" t="s">
        <v>796</v>
      </c>
      <c r="V692" s="154"/>
    </row>
    <row r="693" spans="1:22" s="158" customFormat="1" x14ac:dyDescent="0.3">
      <c r="A693" s="154" t="s">
        <v>777</v>
      </c>
      <c r="B693" s="155" t="s">
        <v>154</v>
      </c>
      <c r="C693" s="154">
        <v>611</v>
      </c>
      <c r="D693" s="156" t="str">
        <f t="shared" si="248"/>
        <v>Kumite</v>
      </c>
      <c r="E693" s="156" t="str">
        <f t="shared" si="256"/>
        <v>Kumite, -, 45-55 kg, Gyerek 2. (11-12</v>
      </c>
      <c r="F693" s="156" t="s">
        <v>522</v>
      </c>
      <c r="G693" s="157" t="str">
        <f t="shared" si="257"/>
        <v>15</v>
      </c>
      <c r="H693" s="156" t="str">
        <f t="shared" si="258"/>
        <v>16 fős egyenes kiesés</v>
      </c>
      <c r="I693" s="157" t="str">
        <f>"10"</f>
        <v>10</v>
      </c>
      <c r="J693" s="156" t="str">
        <f>"Szabó Máté Péter"</f>
        <v>Szabó Máté Péter</v>
      </c>
      <c r="K693" s="156" t="str">
        <f>"WARRIORS TEAM"</f>
        <v>WARRIORS TEAM</v>
      </c>
      <c r="L693" s="156" t="str">
        <f t="shared" si="245"/>
        <v>HUN</v>
      </c>
      <c r="M693" s="163">
        <v>0</v>
      </c>
      <c r="O693" s="154" t="s">
        <v>410</v>
      </c>
      <c r="P693" s="159">
        <v>46103</v>
      </c>
      <c r="Q693" s="154" t="str">
        <f t="shared" si="246"/>
        <v>Szabó Máté Péter - WARRIORS TEAM</v>
      </c>
      <c r="R693" s="154" t="s">
        <v>636</v>
      </c>
      <c r="S693" s="154" t="str">
        <f t="shared" si="247"/>
        <v>WARRIORS TEAM</v>
      </c>
      <c r="T693" s="154" t="s">
        <v>645</v>
      </c>
      <c r="U693" s="154" t="s">
        <v>796</v>
      </c>
      <c r="V693" s="154"/>
    </row>
    <row r="694" spans="1:22" s="158" customFormat="1" x14ac:dyDescent="0.3">
      <c r="A694" s="154" t="s">
        <v>777</v>
      </c>
      <c r="B694" s="155" t="s">
        <v>154</v>
      </c>
      <c r="C694" s="154">
        <v>612</v>
      </c>
      <c r="D694" s="156" t="str">
        <f t="shared" si="248"/>
        <v>Kumite</v>
      </c>
      <c r="E694" s="156" t="str">
        <f t="shared" si="256"/>
        <v>Kumite, -, 45-55 kg, Gyerek 2. (11-12</v>
      </c>
      <c r="F694" s="156" t="s">
        <v>522</v>
      </c>
      <c r="G694" s="157" t="str">
        <f t="shared" si="257"/>
        <v>15</v>
      </c>
      <c r="H694" s="156" t="str">
        <f t="shared" si="258"/>
        <v>16 fős egyenes kiesés</v>
      </c>
      <c r="I694" s="157" t="str">
        <f>"11-16"</f>
        <v>11-16</v>
      </c>
      <c r="J694" s="156" t="str">
        <f>"Zádori Zénó "</f>
        <v xml:space="preserve">Zádori Zénó </v>
      </c>
      <c r="K694" s="156" t="str">
        <f>"Buke Reikon HRSE"</f>
        <v>Buke Reikon HRSE</v>
      </c>
      <c r="L694" s="156" t="str">
        <f t="shared" si="245"/>
        <v>HUN</v>
      </c>
      <c r="M694" s="163">
        <v>0</v>
      </c>
      <c r="O694" s="154" t="s">
        <v>410</v>
      </c>
      <c r="P694" s="159">
        <v>46103</v>
      </c>
      <c r="Q694" s="154" t="str">
        <f t="shared" si="246"/>
        <v>Zádori Zénó  - Buke Reikon HRSE</v>
      </c>
      <c r="R694" s="154" t="s">
        <v>636</v>
      </c>
      <c r="S694" s="154" t="str">
        <f t="shared" si="247"/>
        <v>Buke Reikon HRSE</v>
      </c>
      <c r="T694" s="154" t="s">
        <v>645</v>
      </c>
      <c r="U694" s="154" t="s">
        <v>796</v>
      </c>
      <c r="V694" s="154"/>
    </row>
    <row r="695" spans="1:22" s="158" customFormat="1" x14ac:dyDescent="0.3">
      <c r="A695" s="154" t="s">
        <v>777</v>
      </c>
      <c r="B695" s="155" t="s">
        <v>154</v>
      </c>
      <c r="C695" s="154">
        <v>613</v>
      </c>
      <c r="D695" s="156" t="str">
        <f t="shared" si="248"/>
        <v>Kumite</v>
      </c>
      <c r="E695" s="156" t="str">
        <f t="shared" si="256"/>
        <v>Kumite, -, 45-55 kg, Gyerek 2. (11-12</v>
      </c>
      <c r="F695" s="156" t="s">
        <v>522</v>
      </c>
      <c r="G695" s="157" t="str">
        <f t="shared" si="257"/>
        <v>15</v>
      </c>
      <c r="H695" s="156" t="str">
        <f t="shared" si="258"/>
        <v>16 fős egyenes kiesés</v>
      </c>
      <c r="I695" s="157" t="str">
        <f>"11-16"</f>
        <v>11-16</v>
      </c>
      <c r="J695" s="156" t="str">
        <f>"Kiss István"</f>
        <v>Kiss István</v>
      </c>
      <c r="K695" s="156" t="str">
        <f>"Derecske BUDO"</f>
        <v>Derecske BUDO</v>
      </c>
      <c r="L695" s="156" t="str">
        <f t="shared" si="245"/>
        <v>HUN</v>
      </c>
      <c r="M695" s="163">
        <v>0</v>
      </c>
      <c r="O695" s="154" t="s">
        <v>410</v>
      </c>
      <c r="P695" s="159">
        <v>46103</v>
      </c>
      <c r="Q695" s="154" t="str">
        <f t="shared" si="246"/>
        <v>Kiss István - Derecske BUDO</v>
      </c>
      <c r="R695" s="154" t="s">
        <v>636</v>
      </c>
      <c r="S695" s="154" t="str">
        <f t="shared" si="247"/>
        <v>Derecske BUDO</v>
      </c>
      <c r="T695" s="154" t="s">
        <v>645</v>
      </c>
      <c r="U695" s="154" t="s">
        <v>796</v>
      </c>
      <c r="V695" s="154"/>
    </row>
    <row r="696" spans="1:22" s="158" customFormat="1" x14ac:dyDescent="0.3">
      <c r="A696" s="154" t="s">
        <v>777</v>
      </c>
      <c r="B696" s="155" t="s">
        <v>154</v>
      </c>
      <c r="C696" s="154">
        <v>614</v>
      </c>
      <c r="D696" s="156" t="str">
        <f t="shared" si="248"/>
        <v>Kumite</v>
      </c>
      <c r="E696" s="156" t="str">
        <f t="shared" si="256"/>
        <v>Kumite, -, 45-55 kg, Gyerek 2. (11-12</v>
      </c>
      <c r="F696" s="156" t="s">
        <v>522</v>
      </c>
      <c r="G696" s="157" t="str">
        <f t="shared" si="257"/>
        <v>15</v>
      </c>
      <c r="H696" s="156" t="str">
        <f t="shared" si="258"/>
        <v>16 fős egyenes kiesés</v>
      </c>
      <c r="I696" s="157" t="str">
        <f>"11-16"</f>
        <v>11-16</v>
      </c>
      <c r="J696" s="156" t="str">
        <f>"Szabó Zsombor"</f>
        <v>Szabó Zsombor</v>
      </c>
      <c r="K696" s="156" t="str">
        <f>"Buke Reikon HRSE"</f>
        <v>Buke Reikon HRSE</v>
      </c>
      <c r="L696" s="156" t="str">
        <f t="shared" si="245"/>
        <v>HUN</v>
      </c>
      <c r="M696" s="163">
        <v>0</v>
      </c>
      <c r="O696" s="154" t="s">
        <v>410</v>
      </c>
      <c r="P696" s="159">
        <v>46103</v>
      </c>
      <c r="Q696" s="154" t="str">
        <f t="shared" si="246"/>
        <v>Szabó Zsombor - Buke Reikon HRSE</v>
      </c>
      <c r="R696" s="154" t="s">
        <v>636</v>
      </c>
      <c r="S696" s="154" t="str">
        <f t="shared" si="247"/>
        <v>Buke Reikon HRSE</v>
      </c>
      <c r="T696" s="154" t="s">
        <v>645</v>
      </c>
      <c r="U696" s="154" t="s">
        <v>796</v>
      </c>
      <c r="V696" s="154"/>
    </row>
    <row r="697" spans="1:22" s="158" customFormat="1" x14ac:dyDescent="0.3">
      <c r="A697" s="154" t="s">
        <v>777</v>
      </c>
      <c r="B697" s="155" t="s">
        <v>154</v>
      </c>
      <c r="C697" s="154">
        <v>615</v>
      </c>
      <c r="D697" s="156" t="str">
        <f t="shared" si="248"/>
        <v>Kumite</v>
      </c>
      <c r="E697" s="156" t="str">
        <f t="shared" si="256"/>
        <v>Kumite, -, 45-55 kg, Gyerek 2. (11-12</v>
      </c>
      <c r="F697" s="156" t="s">
        <v>522</v>
      </c>
      <c r="G697" s="157" t="str">
        <f t="shared" si="257"/>
        <v>15</v>
      </c>
      <c r="H697" s="156" t="str">
        <f t="shared" si="258"/>
        <v>16 fős egyenes kiesés</v>
      </c>
      <c r="I697" s="157" t="str">
        <f>"11-16"</f>
        <v>11-16</v>
      </c>
      <c r="J697" s="156" t="str">
        <f>"Eszenyi Tamás Zsolt"</f>
        <v>Eszenyi Tamás Zsolt</v>
      </c>
      <c r="K697" s="156" t="str">
        <f>"Bátor KSE"</f>
        <v>Bátor KSE</v>
      </c>
      <c r="L697" s="156" t="str">
        <f t="shared" si="245"/>
        <v>HUN</v>
      </c>
      <c r="M697" s="163">
        <v>0</v>
      </c>
      <c r="O697" s="154" t="s">
        <v>410</v>
      </c>
      <c r="P697" s="159">
        <v>46103</v>
      </c>
      <c r="Q697" s="154" t="str">
        <f t="shared" si="246"/>
        <v>Eszenyi Tamás Zsolt - Bátor KSE</v>
      </c>
      <c r="R697" s="154" t="s">
        <v>636</v>
      </c>
      <c r="S697" s="154" t="str">
        <f t="shared" si="247"/>
        <v>Bátor KSE</v>
      </c>
      <c r="T697" s="154" t="s">
        <v>645</v>
      </c>
      <c r="U697" s="154" t="s">
        <v>796</v>
      </c>
      <c r="V697" s="154"/>
    </row>
    <row r="698" spans="1:22" s="158" customFormat="1" x14ac:dyDescent="0.3">
      <c r="A698" s="154" t="s">
        <v>777</v>
      </c>
      <c r="B698" s="155" t="s">
        <v>154</v>
      </c>
      <c r="C698" s="154">
        <v>616</v>
      </c>
      <c r="D698" s="156" t="str">
        <f t="shared" si="248"/>
        <v>Kumite</v>
      </c>
      <c r="E698" s="156" t="str">
        <f t="shared" ref="E698:E709" si="259">"Kumite, -, 55-999 kg, Gyerek 2. (11-12"</f>
        <v>Kumite, -, 55-999 kg, Gyerek 2. (11-12</v>
      </c>
      <c r="F698" s="156" t="s">
        <v>524</v>
      </c>
      <c r="G698" s="157" t="str">
        <f t="shared" ref="G698:G709" si="260">"12"</f>
        <v>12</v>
      </c>
      <c r="H698" s="156" t="str">
        <f t="shared" si="258"/>
        <v>16 fős egyenes kiesés</v>
      </c>
      <c r="I698" s="157" t="str">
        <f>"1"</f>
        <v>1</v>
      </c>
      <c r="J698" s="156" t="str">
        <f>"Tálas Csongor"</f>
        <v>Tálas Csongor</v>
      </c>
      <c r="K698" s="156" t="str">
        <f>"Ippon KKSE"</f>
        <v>Ippon KKSE</v>
      </c>
      <c r="L698" s="156" t="str">
        <f t="shared" si="245"/>
        <v>HUN</v>
      </c>
      <c r="M698" s="163">
        <v>10</v>
      </c>
      <c r="O698" s="154" t="s">
        <v>410</v>
      </c>
      <c r="P698" s="159">
        <v>46103</v>
      </c>
      <c r="Q698" s="154" t="str">
        <f t="shared" si="246"/>
        <v>Tálas Csongor - Ippon KKSE</v>
      </c>
      <c r="R698" s="154" t="s">
        <v>636</v>
      </c>
      <c r="S698" s="154" t="str">
        <f t="shared" si="247"/>
        <v>Ippon KKSE</v>
      </c>
      <c r="T698" s="154" t="s">
        <v>645</v>
      </c>
      <c r="U698" s="154" t="s">
        <v>796</v>
      </c>
      <c r="V698" s="154"/>
    </row>
    <row r="699" spans="1:22" s="158" customFormat="1" x14ac:dyDescent="0.3">
      <c r="A699" s="154" t="s">
        <v>777</v>
      </c>
      <c r="B699" s="155" t="s">
        <v>154</v>
      </c>
      <c r="C699" s="154">
        <v>617</v>
      </c>
      <c r="D699" s="156" t="str">
        <f t="shared" si="248"/>
        <v>Kumite</v>
      </c>
      <c r="E699" s="156" t="str">
        <f t="shared" si="259"/>
        <v>Kumite, -, 55-999 kg, Gyerek 2. (11-12</v>
      </c>
      <c r="F699" s="156" t="s">
        <v>524</v>
      </c>
      <c r="G699" s="157" t="str">
        <f t="shared" si="260"/>
        <v>12</v>
      </c>
      <c r="H699" s="156" t="str">
        <f t="shared" si="258"/>
        <v>16 fős egyenes kiesés</v>
      </c>
      <c r="I699" s="157" t="str">
        <f>"2"</f>
        <v>2</v>
      </c>
      <c r="J699" s="156" t="str">
        <f>"Szabó Bence"</f>
        <v>Szabó Bence</v>
      </c>
      <c r="K699" s="156" t="str">
        <f>"Shogun"</f>
        <v>Shogun</v>
      </c>
      <c r="L699" s="156" t="str">
        <f t="shared" si="245"/>
        <v>HUN</v>
      </c>
      <c r="M699" s="163">
        <v>8</v>
      </c>
      <c r="O699" s="154" t="s">
        <v>410</v>
      </c>
      <c r="P699" s="159">
        <v>46103</v>
      </c>
      <c r="Q699" s="154" t="str">
        <f t="shared" si="246"/>
        <v>Szabó Bence - Shogun</v>
      </c>
      <c r="R699" s="154" t="s">
        <v>636</v>
      </c>
      <c r="S699" s="154" t="str">
        <f t="shared" si="247"/>
        <v>Shogun</v>
      </c>
      <c r="T699" s="154" t="s">
        <v>645</v>
      </c>
      <c r="U699" s="154" t="s">
        <v>796</v>
      </c>
      <c r="V699" s="154"/>
    </row>
    <row r="700" spans="1:22" s="158" customFormat="1" x14ac:dyDescent="0.3">
      <c r="A700" s="154" t="s">
        <v>777</v>
      </c>
      <c r="B700" s="155" t="s">
        <v>154</v>
      </c>
      <c r="C700" s="154">
        <v>618</v>
      </c>
      <c r="D700" s="156" t="str">
        <f t="shared" si="248"/>
        <v>Kumite</v>
      </c>
      <c r="E700" s="156" t="str">
        <f t="shared" si="259"/>
        <v>Kumite, -, 55-999 kg, Gyerek 2. (11-12</v>
      </c>
      <c r="F700" s="156" t="s">
        <v>524</v>
      </c>
      <c r="G700" s="157" t="str">
        <f t="shared" si="260"/>
        <v>12</v>
      </c>
      <c r="H700" s="156" t="str">
        <f t="shared" si="258"/>
        <v>16 fős egyenes kiesés</v>
      </c>
      <c r="I700" s="157" t="str">
        <f>"3"</f>
        <v>3</v>
      </c>
      <c r="J700" s="156" t="str">
        <f>"Rajmon Tamás"</f>
        <v>Rajmon Tamás</v>
      </c>
      <c r="K700" s="156" t="str">
        <f>"Victory"</f>
        <v>Victory</v>
      </c>
      <c r="L700" s="156" t="str">
        <f t="shared" si="245"/>
        <v>HUN</v>
      </c>
      <c r="M700" s="163">
        <v>6</v>
      </c>
      <c r="O700" s="154" t="s">
        <v>410</v>
      </c>
      <c r="P700" s="159">
        <v>46103</v>
      </c>
      <c r="Q700" s="154" t="str">
        <f t="shared" si="246"/>
        <v>Rajmon Tamás - Victory</v>
      </c>
      <c r="R700" s="154" t="s">
        <v>636</v>
      </c>
      <c r="S700" s="154" t="str">
        <f t="shared" si="247"/>
        <v>Victory</v>
      </c>
      <c r="T700" s="154" t="s">
        <v>645</v>
      </c>
      <c r="U700" s="154" t="s">
        <v>796</v>
      </c>
      <c r="V700" s="154"/>
    </row>
    <row r="701" spans="1:22" s="158" customFormat="1" x14ac:dyDescent="0.3">
      <c r="A701" s="154" t="s">
        <v>777</v>
      </c>
      <c r="B701" s="155" t="s">
        <v>154</v>
      </c>
      <c r="C701" s="154">
        <v>619</v>
      </c>
      <c r="D701" s="156" t="str">
        <f t="shared" si="248"/>
        <v>Kumite</v>
      </c>
      <c r="E701" s="156" t="str">
        <f t="shared" si="259"/>
        <v>Kumite, -, 55-999 kg, Gyerek 2. (11-12</v>
      </c>
      <c r="F701" s="156" t="s">
        <v>524</v>
      </c>
      <c r="G701" s="157" t="str">
        <f t="shared" si="260"/>
        <v>12</v>
      </c>
      <c r="H701" s="156" t="str">
        <f t="shared" si="258"/>
        <v>16 fős egyenes kiesés</v>
      </c>
      <c r="I701" s="157" t="str">
        <f>"3"</f>
        <v>3</v>
      </c>
      <c r="J701" s="156" t="str">
        <f>"Gyuricska Benedek"</f>
        <v>Gyuricska Benedek</v>
      </c>
      <c r="K701" s="156" t="str">
        <f>"Shogun"</f>
        <v>Shogun</v>
      </c>
      <c r="L701" s="156" t="str">
        <f t="shared" si="245"/>
        <v>HUN</v>
      </c>
      <c r="M701" s="163">
        <v>6</v>
      </c>
      <c r="O701" s="154" t="s">
        <v>410</v>
      </c>
      <c r="P701" s="159">
        <v>46103</v>
      </c>
      <c r="Q701" s="154" t="str">
        <f t="shared" si="246"/>
        <v>Gyuricska Benedek - Shogun</v>
      </c>
      <c r="R701" s="154" t="s">
        <v>636</v>
      </c>
      <c r="S701" s="154" t="str">
        <f t="shared" si="247"/>
        <v>Shogun</v>
      </c>
      <c r="T701" s="154" t="s">
        <v>645</v>
      </c>
      <c r="U701" s="154" t="s">
        <v>796</v>
      </c>
      <c r="V701" s="154"/>
    </row>
    <row r="702" spans="1:22" s="158" customFormat="1" x14ac:dyDescent="0.3">
      <c r="A702" s="154" t="s">
        <v>777</v>
      </c>
      <c r="B702" s="155" t="s">
        <v>154</v>
      </c>
      <c r="C702" s="154">
        <v>620</v>
      </c>
      <c r="D702" s="156" t="str">
        <f t="shared" si="248"/>
        <v>Kumite</v>
      </c>
      <c r="E702" s="156" t="str">
        <f t="shared" si="259"/>
        <v>Kumite, -, 55-999 kg, Gyerek 2. (11-12</v>
      </c>
      <c r="F702" s="156" t="s">
        <v>524</v>
      </c>
      <c r="G702" s="157" t="str">
        <f t="shared" si="260"/>
        <v>12</v>
      </c>
      <c r="H702" s="156" t="str">
        <f t="shared" si="258"/>
        <v>16 fős egyenes kiesés</v>
      </c>
      <c r="I702" s="157" t="str">
        <f>"5"</f>
        <v>5</v>
      </c>
      <c r="J702" s="156" t="str">
        <f>"Bervanger Bálint"</f>
        <v>Bervanger Bálint</v>
      </c>
      <c r="K702" s="156" t="str">
        <f>"Shogun"</f>
        <v>Shogun</v>
      </c>
      <c r="L702" s="156" t="str">
        <f t="shared" si="245"/>
        <v>HUN</v>
      </c>
      <c r="M702" s="163">
        <v>3</v>
      </c>
      <c r="O702" s="154" t="s">
        <v>410</v>
      </c>
      <c r="P702" s="159">
        <v>46103</v>
      </c>
      <c r="Q702" s="154" t="str">
        <f t="shared" si="246"/>
        <v>Bervanger Bálint - Shogun</v>
      </c>
      <c r="R702" s="154" t="s">
        <v>636</v>
      </c>
      <c r="S702" s="154" t="str">
        <f t="shared" si="247"/>
        <v>Shogun</v>
      </c>
      <c r="T702" s="154" t="s">
        <v>645</v>
      </c>
      <c r="U702" s="154" t="s">
        <v>796</v>
      </c>
      <c r="V702" s="154"/>
    </row>
    <row r="703" spans="1:22" s="158" customFormat="1" x14ac:dyDescent="0.3">
      <c r="A703" s="154" t="s">
        <v>777</v>
      </c>
      <c r="B703" s="155" t="s">
        <v>154</v>
      </c>
      <c r="C703" s="154">
        <v>621</v>
      </c>
      <c r="D703" s="156" t="str">
        <f t="shared" si="248"/>
        <v>Kumite</v>
      </c>
      <c r="E703" s="156" t="str">
        <f t="shared" si="259"/>
        <v>Kumite, -, 55-999 kg, Gyerek 2. (11-12</v>
      </c>
      <c r="F703" s="156" t="s">
        <v>524</v>
      </c>
      <c r="G703" s="157" t="str">
        <f t="shared" si="260"/>
        <v>12</v>
      </c>
      <c r="H703" s="156" t="str">
        <f t="shared" si="258"/>
        <v>16 fős egyenes kiesés</v>
      </c>
      <c r="I703" s="157" t="str">
        <f>"6"</f>
        <v>6</v>
      </c>
      <c r="J703" s="156" t="str">
        <f>"Baky Kornél"</f>
        <v>Baky Kornél</v>
      </c>
      <c r="K703" s="156" t="str">
        <f>"BHMSE"</f>
        <v>BHMSE</v>
      </c>
      <c r="L703" s="156" t="str">
        <f t="shared" si="245"/>
        <v>HUN</v>
      </c>
      <c r="M703" s="163">
        <v>0</v>
      </c>
      <c r="N703" s="158" t="s">
        <v>704</v>
      </c>
      <c r="O703" s="154" t="s">
        <v>410</v>
      </c>
      <c r="P703" s="159">
        <v>46103</v>
      </c>
      <c r="Q703" s="154" t="str">
        <f t="shared" si="246"/>
        <v>Baky Kornél - BHMSE</v>
      </c>
      <c r="R703" s="154" t="s">
        <v>636</v>
      </c>
      <c r="S703" s="154" t="str">
        <f t="shared" si="247"/>
        <v>BHMSE</v>
      </c>
      <c r="T703" s="154" t="s">
        <v>645</v>
      </c>
      <c r="U703" s="154" t="s">
        <v>796</v>
      </c>
      <c r="V703" s="154"/>
    </row>
    <row r="704" spans="1:22" s="158" customFormat="1" x14ac:dyDescent="0.3">
      <c r="A704" s="154" t="s">
        <v>777</v>
      </c>
      <c r="B704" s="155" t="s">
        <v>154</v>
      </c>
      <c r="C704" s="154">
        <v>622</v>
      </c>
      <c r="D704" s="156" t="str">
        <f t="shared" si="248"/>
        <v>Kumite</v>
      </c>
      <c r="E704" s="156" t="str">
        <f t="shared" si="259"/>
        <v>Kumite, -, 55-999 kg, Gyerek 2. (11-12</v>
      </c>
      <c r="F704" s="156" t="s">
        <v>524</v>
      </c>
      <c r="G704" s="157" t="str">
        <f t="shared" si="260"/>
        <v>12</v>
      </c>
      <c r="H704" s="156" t="str">
        <f t="shared" si="258"/>
        <v>16 fős egyenes kiesés</v>
      </c>
      <c r="I704" s="157" t="str">
        <f>"7-8"</f>
        <v>7-8</v>
      </c>
      <c r="J704" s="156" t="str">
        <f>"Petróczki Farkas"</f>
        <v>Petróczki Farkas</v>
      </c>
      <c r="K704" s="156" t="str">
        <f>"Bátor KSE"</f>
        <v>Bátor KSE</v>
      </c>
      <c r="L704" s="156" t="str">
        <f t="shared" si="245"/>
        <v>HUN</v>
      </c>
      <c r="M704" s="163">
        <v>0</v>
      </c>
      <c r="N704" s="158" t="s">
        <v>704</v>
      </c>
      <c r="O704" s="154" t="s">
        <v>410</v>
      </c>
      <c r="P704" s="159">
        <v>46103</v>
      </c>
      <c r="Q704" s="154" t="str">
        <f t="shared" si="246"/>
        <v>Petróczki Farkas - Bátor KSE</v>
      </c>
      <c r="R704" s="154" t="s">
        <v>636</v>
      </c>
      <c r="S704" s="154" t="str">
        <f t="shared" si="247"/>
        <v>Bátor KSE</v>
      </c>
      <c r="T704" s="154" t="s">
        <v>645</v>
      </c>
      <c r="U704" s="154" t="s">
        <v>796</v>
      </c>
      <c r="V704" s="154"/>
    </row>
    <row r="705" spans="1:22" s="158" customFormat="1" x14ac:dyDescent="0.3">
      <c r="A705" s="154" t="s">
        <v>777</v>
      </c>
      <c r="B705" s="155" t="s">
        <v>154</v>
      </c>
      <c r="C705" s="154">
        <v>623</v>
      </c>
      <c r="D705" s="156" t="str">
        <f t="shared" si="248"/>
        <v>Kumite</v>
      </c>
      <c r="E705" s="156" t="str">
        <f t="shared" si="259"/>
        <v>Kumite, -, 55-999 kg, Gyerek 2. (11-12</v>
      </c>
      <c r="F705" s="156" t="s">
        <v>524</v>
      </c>
      <c r="G705" s="157" t="str">
        <f t="shared" si="260"/>
        <v>12</v>
      </c>
      <c r="H705" s="156" t="str">
        <f t="shared" si="258"/>
        <v>16 fős egyenes kiesés</v>
      </c>
      <c r="I705" s="157" t="str">
        <f>"7-8"</f>
        <v>7-8</v>
      </c>
      <c r="J705" s="156" t="str">
        <f>"Jagyugy Zalán"</f>
        <v>Jagyugy Zalán</v>
      </c>
      <c r="K705" s="156" t="str">
        <f>"Kelemen-Team"</f>
        <v>Kelemen-Team</v>
      </c>
      <c r="L705" s="156" t="str">
        <f t="shared" si="245"/>
        <v>HUN</v>
      </c>
      <c r="M705" s="163">
        <v>3</v>
      </c>
      <c r="O705" s="154" t="s">
        <v>410</v>
      </c>
      <c r="P705" s="159">
        <v>46103</v>
      </c>
      <c r="Q705" s="154" t="str">
        <f t="shared" si="246"/>
        <v>Jagyugy Zalán - Kelemen-Team</v>
      </c>
      <c r="R705" s="154" t="s">
        <v>636</v>
      </c>
      <c r="S705" s="154" t="str">
        <f t="shared" si="247"/>
        <v>Kelemen-Team</v>
      </c>
      <c r="T705" s="154" t="s">
        <v>645</v>
      </c>
      <c r="U705" s="154" t="s">
        <v>796</v>
      </c>
      <c r="V705" s="154"/>
    </row>
    <row r="706" spans="1:22" s="158" customFormat="1" x14ac:dyDescent="0.3">
      <c r="A706" s="154" t="s">
        <v>777</v>
      </c>
      <c r="B706" s="155" t="s">
        <v>154</v>
      </c>
      <c r="C706" s="154">
        <v>624</v>
      </c>
      <c r="D706" s="156" t="str">
        <f t="shared" si="248"/>
        <v>Kumite</v>
      </c>
      <c r="E706" s="156" t="str">
        <f t="shared" si="259"/>
        <v>Kumite, -, 55-999 kg, Gyerek 2. (11-12</v>
      </c>
      <c r="F706" s="156" t="s">
        <v>524</v>
      </c>
      <c r="G706" s="157" t="str">
        <f t="shared" si="260"/>
        <v>12</v>
      </c>
      <c r="H706" s="156" t="str">
        <f t="shared" si="258"/>
        <v>16 fős egyenes kiesés</v>
      </c>
      <c r="I706" s="157" t="str">
        <f>"10"</f>
        <v>10</v>
      </c>
      <c r="J706" s="156" t="str">
        <f>"Kurucz Árpád Soma"</f>
        <v>Kurucz Árpád Soma</v>
      </c>
      <c r="K706" s="156" t="str">
        <f>"Victory"</f>
        <v>Victory</v>
      </c>
      <c r="L706" s="156" t="str">
        <f t="shared" si="245"/>
        <v>HUN</v>
      </c>
      <c r="M706" s="163">
        <v>0</v>
      </c>
      <c r="O706" s="154" t="s">
        <v>410</v>
      </c>
      <c r="P706" s="159">
        <v>46103</v>
      </c>
      <c r="Q706" s="154" t="str">
        <f t="shared" si="246"/>
        <v>Kurucz Árpád Soma - Victory</v>
      </c>
      <c r="R706" s="154" t="s">
        <v>636</v>
      </c>
      <c r="S706" s="154" t="str">
        <f t="shared" si="247"/>
        <v>Victory</v>
      </c>
      <c r="T706" s="154" t="s">
        <v>645</v>
      </c>
      <c r="U706" s="154" t="s">
        <v>796</v>
      </c>
      <c r="V706" s="154"/>
    </row>
    <row r="707" spans="1:22" s="158" customFormat="1" x14ac:dyDescent="0.3">
      <c r="A707" s="154" t="s">
        <v>777</v>
      </c>
      <c r="B707" s="155" t="s">
        <v>154</v>
      </c>
      <c r="C707" s="154">
        <v>625</v>
      </c>
      <c r="D707" s="156" t="str">
        <f t="shared" si="248"/>
        <v>Kumite</v>
      </c>
      <c r="E707" s="156" t="str">
        <f t="shared" si="259"/>
        <v>Kumite, -, 55-999 kg, Gyerek 2. (11-12</v>
      </c>
      <c r="F707" s="156" t="s">
        <v>524</v>
      </c>
      <c r="G707" s="157" t="str">
        <f t="shared" si="260"/>
        <v>12</v>
      </c>
      <c r="H707" s="156" t="str">
        <f t="shared" si="258"/>
        <v>16 fős egyenes kiesés</v>
      </c>
      <c r="I707" s="157" t="str">
        <f>"11-16"</f>
        <v>11-16</v>
      </c>
      <c r="J707" s="156" t="str">
        <f>"Berki Tamás"</f>
        <v>Berki Tamás</v>
      </c>
      <c r="K707" s="156" t="str">
        <f>"Victory"</f>
        <v>Victory</v>
      </c>
      <c r="L707" s="156" t="str">
        <f t="shared" si="245"/>
        <v>HUN</v>
      </c>
      <c r="M707" s="163">
        <v>0</v>
      </c>
      <c r="O707" s="154" t="s">
        <v>410</v>
      </c>
      <c r="P707" s="159">
        <v>46103</v>
      </c>
      <c r="Q707" s="154" t="str">
        <f t="shared" si="246"/>
        <v>Berki Tamás - Victory</v>
      </c>
      <c r="R707" s="154" t="s">
        <v>636</v>
      </c>
      <c r="S707" s="154" t="str">
        <f t="shared" si="247"/>
        <v>Victory</v>
      </c>
      <c r="T707" s="154" t="s">
        <v>645</v>
      </c>
      <c r="U707" s="154" t="s">
        <v>796</v>
      </c>
      <c r="V707" s="154"/>
    </row>
    <row r="708" spans="1:22" s="158" customFormat="1" x14ac:dyDescent="0.3">
      <c r="A708" s="154" t="s">
        <v>777</v>
      </c>
      <c r="B708" s="155" t="s">
        <v>154</v>
      </c>
      <c r="C708" s="154">
        <v>626</v>
      </c>
      <c r="D708" s="156" t="str">
        <f t="shared" si="248"/>
        <v>Kumite</v>
      </c>
      <c r="E708" s="156" t="str">
        <f t="shared" si="259"/>
        <v>Kumite, -, 55-999 kg, Gyerek 2. (11-12</v>
      </c>
      <c r="F708" s="156" t="s">
        <v>524</v>
      </c>
      <c r="G708" s="157" t="str">
        <f t="shared" si="260"/>
        <v>12</v>
      </c>
      <c r="H708" s="156" t="str">
        <f t="shared" si="258"/>
        <v>16 fős egyenes kiesés</v>
      </c>
      <c r="I708" s="157" t="str">
        <f>"11-16"</f>
        <v>11-16</v>
      </c>
      <c r="J708" s="156" t="str">
        <f>"Odorics Zétény"</f>
        <v>Odorics Zétény</v>
      </c>
      <c r="K708" s="156" t="str">
        <f>"Rakurai"</f>
        <v>Rakurai</v>
      </c>
      <c r="L708" s="156" t="str">
        <f t="shared" ref="L708:L771" si="261">"HUN"</f>
        <v>HUN</v>
      </c>
      <c r="M708" s="163">
        <v>0</v>
      </c>
      <c r="O708" s="154" t="s">
        <v>410</v>
      </c>
      <c r="P708" s="159">
        <v>46103</v>
      </c>
      <c r="Q708" s="154" t="str">
        <f t="shared" ref="Q708:Q771" si="262">J708&amp;" - "&amp;K708</f>
        <v>Odorics Zétény - Rakurai</v>
      </c>
      <c r="R708" s="154" t="s">
        <v>636</v>
      </c>
      <c r="S708" s="154" t="str">
        <f t="shared" ref="S708:S771" si="263">K708</f>
        <v>Rakurai</v>
      </c>
      <c r="T708" s="154" t="s">
        <v>645</v>
      </c>
      <c r="U708" s="154" t="s">
        <v>796</v>
      </c>
      <c r="V708" s="154"/>
    </row>
    <row r="709" spans="1:22" s="158" customFormat="1" x14ac:dyDescent="0.3">
      <c r="A709" s="154" t="s">
        <v>777</v>
      </c>
      <c r="B709" s="155" t="s">
        <v>154</v>
      </c>
      <c r="C709" s="154">
        <v>627</v>
      </c>
      <c r="D709" s="156" t="str">
        <f t="shared" si="248"/>
        <v>Kumite</v>
      </c>
      <c r="E709" s="156" t="str">
        <f t="shared" si="259"/>
        <v>Kumite, -, 55-999 kg, Gyerek 2. (11-12</v>
      </c>
      <c r="F709" s="156" t="s">
        <v>524</v>
      </c>
      <c r="G709" s="157" t="str">
        <f t="shared" si="260"/>
        <v>12</v>
      </c>
      <c r="H709" s="156" t="str">
        <f t="shared" si="258"/>
        <v>16 fős egyenes kiesés</v>
      </c>
      <c r="I709" s="157" t="str">
        <f>"11-16"</f>
        <v>11-16</v>
      </c>
      <c r="J709" s="156" t="str">
        <f>"Tóth Marcell Kevin"</f>
        <v>Tóth Marcell Kevin</v>
      </c>
      <c r="K709" s="156" t="str">
        <f>"Nozomu Dojo"</f>
        <v>Nozomu Dojo</v>
      </c>
      <c r="L709" s="156" t="str">
        <f t="shared" si="261"/>
        <v>HUN</v>
      </c>
      <c r="M709" s="163">
        <v>0</v>
      </c>
      <c r="O709" s="154" t="s">
        <v>410</v>
      </c>
      <c r="P709" s="159">
        <v>46103</v>
      </c>
      <c r="Q709" s="154" t="str">
        <f t="shared" si="262"/>
        <v>Tóth Marcell Kevin - Nozomu Dojo</v>
      </c>
      <c r="R709" s="154" t="s">
        <v>636</v>
      </c>
      <c r="S709" s="154" t="str">
        <f t="shared" si="263"/>
        <v>Nozomu Dojo</v>
      </c>
      <c r="T709" s="154" t="s">
        <v>645</v>
      </c>
      <c r="U709" s="154" t="s">
        <v>796</v>
      </c>
      <c r="V709" s="154"/>
    </row>
    <row r="710" spans="1:22" s="158" customFormat="1" x14ac:dyDescent="0.3">
      <c r="A710" s="154" t="s">
        <v>777</v>
      </c>
      <c r="B710" s="155" t="s">
        <v>154</v>
      </c>
      <c r="C710" s="154">
        <v>628</v>
      </c>
      <c r="D710" s="156" t="str">
        <f t="shared" ref="D710:D725" si="264">"Kata"</f>
        <v>Kata</v>
      </c>
      <c r="E710" s="156" t="str">
        <f t="shared" ref="E710:E725" si="265">"Kata, -, 0-100 kg, Gyerek 2. (11-12"</f>
        <v>Kata, -, 0-100 kg, Gyerek 2. (11-12</v>
      </c>
      <c r="F710" s="156" t="s">
        <v>525</v>
      </c>
      <c r="G710" s="157" t="str">
        <f t="shared" ref="G710:G725" si="266">"18"</f>
        <v>18</v>
      </c>
      <c r="H710" s="156" t="str">
        <f t="shared" ref="H710:H725" si="267">"32 fős egyenes kiesés"</f>
        <v>32 fős egyenes kiesés</v>
      </c>
      <c r="I710" s="157" t="str">
        <f>"1"</f>
        <v>1</v>
      </c>
      <c r="J710" s="156" t="str">
        <f>"Hegedűs Botond"</f>
        <v>Hegedűs Botond</v>
      </c>
      <c r="K710" s="156" t="str">
        <f>"Keizoku SE"</f>
        <v>Keizoku SE</v>
      </c>
      <c r="L710" s="156" t="str">
        <f t="shared" si="261"/>
        <v>HUN</v>
      </c>
      <c r="M710" s="163">
        <v>10</v>
      </c>
      <c r="O710" s="154" t="s">
        <v>410</v>
      </c>
      <c r="P710" s="159">
        <v>46103</v>
      </c>
      <c r="Q710" s="154" t="str">
        <f t="shared" si="262"/>
        <v>Hegedűs Botond - Keizoku SE</v>
      </c>
      <c r="R710" s="154" t="s">
        <v>636</v>
      </c>
      <c r="S710" s="154" t="str">
        <f t="shared" si="263"/>
        <v>Keizoku SE</v>
      </c>
      <c r="T710" s="154" t="s">
        <v>645</v>
      </c>
      <c r="U710" s="154" t="s">
        <v>796</v>
      </c>
      <c r="V710" s="154"/>
    </row>
    <row r="711" spans="1:22" s="158" customFormat="1" x14ac:dyDescent="0.3">
      <c r="A711" s="154" t="s">
        <v>777</v>
      </c>
      <c r="B711" s="155" t="s">
        <v>154</v>
      </c>
      <c r="C711" s="154">
        <v>629</v>
      </c>
      <c r="D711" s="156" t="str">
        <f t="shared" si="264"/>
        <v>Kata</v>
      </c>
      <c r="E711" s="156" t="str">
        <f t="shared" si="265"/>
        <v>Kata, -, 0-100 kg, Gyerek 2. (11-12</v>
      </c>
      <c r="F711" s="156" t="s">
        <v>525</v>
      </c>
      <c r="G711" s="157" t="str">
        <f t="shared" si="266"/>
        <v>18</v>
      </c>
      <c r="H711" s="156" t="str">
        <f t="shared" si="267"/>
        <v>32 fős egyenes kiesés</v>
      </c>
      <c r="I711" s="157" t="str">
        <f>"2"</f>
        <v>2</v>
      </c>
      <c r="J711" s="156" t="str">
        <f>"Nagy Zétény"</f>
        <v>Nagy Zétény</v>
      </c>
      <c r="K711" s="156" t="str">
        <f>"BHMSE"</f>
        <v>BHMSE</v>
      </c>
      <c r="L711" s="156" t="str">
        <f t="shared" si="261"/>
        <v>HUN</v>
      </c>
      <c r="M711" s="163">
        <v>7</v>
      </c>
      <c r="O711" s="154" t="s">
        <v>410</v>
      </c>
      <c r="P711" s="159">
        <v>46103</v>
      </c>
      <c r="Q711" s="154" t="str">
        <f t="shared" si="262"/>
        <v>Nagy Zétény - BHMSE</v>
      </c>
      <c r="R711" s="154" t="s">
        <v>636</v>
      </c>
      <c r="S711" s="154" t="str">
        <f t="shared" si="263"/>
        <v>BHMSE</v>
      </c>
      <c r="T711" s="154" t="s">
        <v>645</v>
      </c>
      <c r="U711" s="154" t="s">
        <v>796</v>
      </c>
      <c r="V711" s="154"/>
    </row>
    <row r="712" spans="1:22" s="158" customFormat="1" x14ac:dyDescent="0.3">
      <c r="A712" s="154" t="s">
        <v>777</v>
      </c>
      <c r="B712" s="155" t="s">
        <v>154</v>
      </c>
      <c r="C712" s="154">
        <v>630</v>
      </c>
      <c r="D712" s="156" t="str">
        <f t="shared" si="264"/>
        <v>Kata</v>
      </c>
      <c r="E712" s="156" t="str">
        <f t="shared" si="265"/>
        <v>Kata, -, 0-100 kg, Gyerek 2. (11-12</v>
      </c>
      <c r="F712" s="156" t="s">
        <v>525</v>
      </c>
      <c r="G712" s="157" t="str">
        <f t="shared" si="266"/>
        <v>18</v>
      </c>
      <c r="H712" s="156" t="str">
        <f t="shared" si="267"/>
        <v>32 fős egyenes kiesés</v>
      </c>
      <c r="I712" s="157" t="str">
        <f>"3"</f>
        <v>3</v>
      </c>
      <c r="J712" s="156" t="str">
        <f>"Tarr Bence"</f>
        <v>Tarr Bence</v>
      </c>
      <c r="K712" s="156" t="str">
        <f>"Shogun"</f>
        <v>Shogun</v>
      </c>
      <c r="L712" s="156" t="str">
        <f t="shared" si="261"/>
        <v>HUN</v>
      </c>
      <c r="M712" s="163">
        <v>5</v>
      </c>
      <c r="O712" s="154" t="s">
        <v>410</v>
      </c>
      <c r="P712" s="159">
        <v>46103</v>
      </c>
      <c r="Q712" s="154" t="str">
        <f t="shared" si="262"/>
        <v>Tarr Bence - Shogun</v>
      </c>
      <c r="R712" s="154" t="s">
        <v>636</v>
      </c>
      <c r="S712" s="154" t="str">
        <f t="shared" si="263"/>
        <v>Shogun</v>
      </c>
      <c r="T712" s="154" t="s">
        <v>645</v>
      </c>
      <c r="U712" s="154" t="s">
        <v>796</v>
      </c>
      <c r="V712" s="154"/>
    </row>
    <row r="713" spans="1:22" s="158" customFormat="1" x14ac:dyDescent="0.3">
      <c r="A713" s="154" t="s">
        <v>777</v>
      </c>
      <c r="B713" s="155" t="s">
        <v>154</v>
      </c>
      <c r="C713" s="154">
        <v>631</v>
      </c>
      <c r="D713" s="156" t="str">
        <f t="shared" si="264"/>
        <v>Kata</v>
      </c>
      <c r="E713" s="156" t="str">
        <f t="shared" si="265"/>
        <v>Kata, -, 0-100 kg, Gyerek 2. (11-12</v>
      </c>
      <c r="F713" s="156" t="s">
        <v>525</v>
      </c>
      <c r="G713" s="157" t="str">
        <f t="shared" si="266"/>
        <v>18</v>
      </c>
      <c r="H713" s="156" t="str">
        <f t="shared" si="267"/>
        <v>32 fős egyenes kiesés</v>
      </c>
      <c r="I713" s="157" t="str">
        <f>"3"</f>
        <v>3</v>
      </c>
      <c r="J713" s="156" t="str">
        <f>"Eszenyi Barnabás"</f>
        <v>Eszenyi Barnabás</v>
      </c>
      <c r="K713" s="156" t="str">
        <f>"Shogun"</f>
        <v>Shogun</v>
      </c>
      <c r="L713" s="156" t="str">
        <f t="shared" si="261"/>
        <v>HUN</v>
      </c>
      <c r="M713" s="163">
        <v>5</v>
      </c>
      <c r="O713" s="154" t="s">
        <v>410</v>
      </c>
      <c r="P713" s="159">
        <v>46103</v>
      </c>
      <c r="Q713" s="154" t="str">
        <f t="shared" si="262"/>
        <v>Eszenyi Barnabás - Shogun</v>
      </c>
      <c r="R713" s="154" t="s">
        <v>636</v>
      </c>
      <c r="S713" s="154" t="str">
        <f t="shared" si="263"/>
        <v>Shogun</v>
      </c>
      <c r="T713" s="154" t="s">
        <v>645</v>
      </c>
      <c r="U713" s="154" t="s">
        <v>796</v>
      </c>
      <c r="V713" s="154"/>
    </row>
    <row r="714" spans="1:22" s="158" customFormat="1" x14ac:dyDescent="0.3">
      <c r="A714" s="154" t="s">
        <v>777</v>
      </c>
      <c r="B714" s="155" t="s">
        <v>154</v>
      </c>
      <c r="C714" s="154">
        <v>632</v>
      </c>
      <c r="D714" s="156" t="str">
        <f t="shared" si="264"/>
        <v>Kata</v>
      </c>
      <c r="E714" s="156" t="str">
        <f t="shared" si="265"/>
        <v>Kata, -, 0-100 kg, Gyerek 2. (11-12</v>
      </c>
      <c r="F714" s="156" t="s">
        <v>525</v>
      </c>
      <c r="G714" s="157" t="str">
        <f t="shared" si="266"/>
        <v>18</v>
      </c>
      <c r="H714" s="156" t="str">
        <f t="shared" si="267"/>
        <v>32 fős egyenes kiesés</v>
      </c>
      <c r="I714" s="157" t="str">
        <f>"5"</f>
        <v>5</v>
      </c>
      <c r="J714" s="156" t="str">
        <f>"Virág Oszkár"</f>
        <v>Virág Oszkár</v>
      </c>
      <c r="K714" s="156" t="str">
        <f>"Rokku KKSE"</f>
        <v>Rokku KKSE</v>
      </c>
      <c r="L714" s="156" t="str">
        <f t="shared" si="261"/>
        <v>HUN</v>
      </c>
      <c r="M714" s="163">
        <v>3</v>
      </c>
      <c r="O714" s="154" t="s">
        <v>410</v>
      </c>
      <c r="P714" s="159">
        <v>46103</v>
      </c>
      <c r="Q714" s="154" t="str">
        <f t="shared" si="262"/>
        <v>Virág Oszkár - Rokku KKSE</v>
      </c>
      <c r="R714" s="154" t="s">
        <v>636</v>
      </c>
      <c r="S714" s="154" t="str">
        <f t="shared" si="263"/>
        <v>Rokku KKSE</v>
      </c>
      <c r="T714" s="154" t="s">
        <v>645</v>
      </c>
      <c r="U714" s="154" t="s">
        <v>796</v>
      </c>
      <c r="V714" s="154"/>
    </row>
    <row r="715" spans="1:22" s="158" customFormat="1" x14ac:dyDescent="0.3">
      <c r="A715" s="154" t="s">
        <v>777</v>
      </c>
      <c r="B715" s="155" t="s">
        <v>154</v>
      </c>
      <c r="C715" s="154">
        <v>633</v>
      </c>
      <c r="D715" s="156" t="str">
        <f t="shared" si="264"/>
        <v>Kata</v>
      </c>
      <c r="E715" s="156" t="str">
        <f t="shared" si="265"/>
        <v>Kata, -, 0-100 kg, Gyerek 2. (11-12</v>
      </c>
      <c r="F715" s="156" t="s">
        <v>525</v>
      </c>
      <c r="G715" s="157" t="str">
        <f t="shared" si="266"/>
        <v>18</v>
      </c>
      <c r="H715" s="156" t="str">
        <f t="shared" si="267"/>
        <v>32 fős egyenes kiesés</v>
      </c>
      <c r="I715" s="157" t="str">
        <f>"6"</f>
        <v>6</v>
      </c>
      <c r="J715" s="156" t="str">
        <f>"Pajkos Dominik"</f>
        <v>Pajkos Dominik</v>
      </c>
      <c r="K715" s="156" t="str">
        <f>"Shogun"</f>
        <v>Shogun</v>
      </c>
      <c r="L715" s="156" t="str">
        <f t="shared" si="261"/>
        <v>HUN</v>
      </c>
      <c r="M715" s="163">
        <v>3</v>
      </c>
      <c r="O715" s="154" t="s">
        <v>410</v>
      </c>
      <c r="P715" s="159">
        <v>46103</v>
      </c>
      <c r="Q715" s="154" t="str">
        <f t="shared" si="262"/>
        <v>Pajkos Dominik - Shogun</v>
      </c>
      <c r="R715" s="154" t="s">
        <v>636</v>
      </c>
      <c r="S715" s="154" t="str">
        <f t="shared" si="263"/>
        <v>Shogun</v>
      </c>
      <c r="T715" s="154" t="s">
        <v>645</v>
      </c>
      <c r="U715" s="154" t="s">
        <v>796</v>
      </c>
      <c r="V715" s="154"/>
    </row>
    <row r="716" spans="1:22" s="158" customFormat="1" x14ac:dyDescent="0.3">
      <c r="A716" s="154" t="s">
        <v>777</v>
      </c>
      <c r="B716" s="155" t="s">
        <v>154</v>
      </c>
      <c r="C716" s="154">
        <v>634</v>
      </c>
      <c r="D716" s="156" t="str">
        <f t="shared" si="264"/>
        <v>Kata</v>
      </c>
      <c r="E716" s="156" t="str">
        <f t="shared" si="265"/>
        <v>Kata, -, 0-100 kg, Gyerek 2. (11-12</v>
      </c>
      <c r="F716" s="156" t="s">
        <v>525</v>
      </c>
      <c r="G716" s="157" t="str">
        <f t="shared" si="266"/>
        <v>18</v>
      </c>
      <c r="H716" s="156" t="str">
        <f t="shared" si="267"/>
        <v>32 fős egyenes kiesés</v>
      </c>
      <c r="I716" s="157" t="str">
        <f>"7-8"</f>
        <v>7-8</v>
      </c>
      <c r="J716" s="156" t="str">
        <f>"Eperjesi Dávid"</f>
        <v>Eperjesi Dávid</v>
      </c>
      <c r="K716" s="156" t="str">
        <f>"BHMSE"</f>
        <v>BHMSE</v>
      </c>
      <c r="L716" s="156" t="str">
        <f t="shared" si="261"/>
        <v>HUN</v>
      </c>
      <c r="M716" s="163">
        <v>3</v>
      </c>
      <c r="O716" s="154" t="s">
        <v>410</v>
      </c>
      <c r="P716" s="159">
        <v>46103</v>
      </c>
      <c r="Q716" s="154" t="str">
        <f t="shared" si="262"/>
        <v>Eperjesi Dávid - BHMSE</v>
      </c>
      <c r="R716" s="154" t="s">
        <v>636</v>
      </c>
      <c r="S716" s="154" t="str">
        <f t="shared" si="263"/>
        <v>BHMSE</v>
      </c>
      <c r="T716" s="154" t="s">
        <v>645</v>
      </c>
      <c r="U716" s="154" t="s">
        <v>796</v>
      </c>
      <c r="V716" s="154"/>
    </row>
    <row r="717" spans="1:22" s="158" customFormat="1" x14ac:dyDescent="0.3">
      <c r="A717" s="154" t="s">
        <v>777</v>
      </c>
      <c r="B717" s="155" t="s">
        <v>154</v>
      </c>
      <c r="C717" s="154">
        <v>635</v>
      </c>
      <c r="D717" s="156" t="str">
        <f t="shared" si="264"/>
        <v>Kata</v>
      </c>
      <c r="E717" s="156" t="str">
        <f t="shared" si="265"/>
        <v>Kata, -, 0-100 kg, Gyerek 2. (11-12</v>
      </c>
      <c r="F717" s="156" t="s">
        <v>525</v>
      </c>
      <c r="G717" s="157" t="str">
        <f t="shared" si="266"/>
        <v>18</v>
      </c>
      <c r="H717" s="156" t="str">
        <f t="shared" si="267"/>
        <v>32 fős egyenes kiesés</v>
      </c>
      <c r="I717" s="157" t="str">
        <f>"7-8"</f>
        <v>7-8</v>
      </c>
      <c r="J717" s="156" t="str">
        <f>"Kőszegfalvi Csanád"</f>
        <v>Kőszegfalvi Csanád</v>
      </c>
      <c r="K717" s="156" t="str">
        <f>"Shinkyo SE"</f>
        <v>Shinkyo SE</v>
      </c>
      <c r="L717" s="156" t="str">
        <f t="shared" si="261"/>
        <v>HUN</v>
      </c>
      <c r="M717" s="163">
        <v>3</v>
      </c>
      <c r="O717" s="154" t="s">
        <v>410</v>
      </c>
      <c r="P717" s="159">
        <v>46103</v>
      </c>
      <c r="Q717" s="154" t="str">
        <f t="shared" si="262"/>
        <v>Kőszegfalvi Csanád - Shinkyo SE</v>
      </c>
      <c r="R717" s="154" t="s">
        <v>636</v>
      </c>
      <c r="S717" s="154" t="str">
        <f t="shared" si="263"/>
        <v>Shinkyo SE</v>
      </c>
      <c r="T717" s="154" t="s">
        <v>645</v>
      </c>
      <c r="U717" s="154" t="s">
        <v>796</v>
      </c>
      <c r="V717" s="154"/>
    </row>
    <row r="718" spans="1:22" s="158" customFormat="1" x14ac:dyDescent="0.3">
      <c r="A718" s="154" t="s">
        <v>777</v>
      </c>
      <c r="B718" s="155" t="s">
        <v>154</v>
      </c>
      <c r="C718" s="154">
        <v>636</v>
      </c>
      <c r="D718" s="156" t="str">
        <f t="shared" si="264"/>
        <v>Kata</v>
      </c>
      <c r="E718" s="156" t="str">
        <f t="shared" si="265"/>
        <v>Kata, -, 0-100 kg, Gyerek 2. (11-12</v>
      </c>
      <c r="F718" s="156" t="s">
        <v>525</v>
      </c>
      <c r="G718" s="157" t="str">
        <f t="shared" si="266"/>
        <v>18</v>
      </c>
      <c r="H718" s="156" t="str">
        <f t="shared" si="267"/>
        <v>32 fős egyenes kiesés</v>
      </c>
      <c r="I718" s="157" t="str">
        <f>"9"</f>
        <v>9</v>
      </c>
      <c r="J718" s="156" t="str">
        <f>"Némethy Balázs"</f>
        <v>Némethy Balázs</v>
      </c>
      <c r="K718" s="156" t="str">
        <f>"Shogun"</f>
        <v>Shogun</v>
      </c>
      <c r="L718" s="156" t="str">
        <f t="shared" si="261"/>
        <v>HUN</v>
      </c>
      <c r="M718" s="163">
        <v>0</v>
      </c>
      <c r="O718" s="154" t="s">
        <v>410</v>
      </c>
      <c r="P718" s="159">
        <v>46103</v>
      </c>
      <c r="Q718" s="154" t="str">
        <f t="shared" si="262"/>
        <v>Némethy Balázs - Shogun</v>
      </c>
      <c r="R718" s="154" t="s">
        <v>636</v>
      </c>
      <c r="S718" s="154" t="str">
        <f t="shared" si="263"/>
        <v>Shogun</v>
      </c>
      <c r="T718" s="154" t="s">
        <v>645</v>
      </c>
      <c r="U718" s="154" t="s">
        <v>796</v>
      </c>
      <c r="V718" s="154"/>
    </row>
    <row r="719" spans="1:22" s="158" customFormat="1" x14ac:dyDescent="0.3">
      <c r="A719" s="154" t="s">
        <v>777</v>
      </c>
      <c r="B719" s="155" t="s">
        <v>154</v>
      </c>
      <c r="C719" s="154">
        <v>637</v>
      </c>
      <c r="D719" s="156" t="str">
        <f t="shared" si="264"/>
        <v>Kata</v>
      </c>
      <c r="E719" s="156" t="str">
        <f t="shared" si="265"/>
        <v>Kata, -, 0-100 kg, Gyerek 2. (11-12</v>
      </c>
      <c r="F719" s="156" t="s">
        <v>525</v>
      </c>
      <c r="G719" s="157" t="str">
        <f t="shared" si="266"/>
        <v>18</v>
      </c>
      <c r="H719" s="156" t="str">
        <f t="shared" si="267"/>
        <v>32 fős egyenes kiesés</v>
      </c>
      <c r="I719" s="157" t="str">
        <f>"10"</f>
        <v>10</v>
      </c>
      <c r="J719" s="156" t="str">
        <f>"Árendás Botond"</f>
        <v>Árendás Botond</v>
      </c>
      <c r="K719" s="156" t="str">
        <f>"KSE Tarján"</f>
        <v>KSE Tarján</v>
      </c>
      <c r="L719" s="156" t="str">
        <f t="shared" si="261"/>
        <v>HUN</v>
      </c>
      <c r="M719" s="163">
        <v>0</v>
      </c>
      <c r="O719" s="154" t="s">
        <v>410</v>
      </c>
      <c r="P719" s="159">
        <v>46103</v>
      </c>
      <c r="Q719" s="154" t="str">
        <f t="shared" si="262"/>
        <v>Árendás Botond - KSE Tarján</v>
      </c>
      <c r="R719" s="154" t="s">
        <v>636</v>
      </c>
      <c r="S719" s="154" t="str">
        <f t="shared" si="263"/>
        <v>KSE Tarján</v>
      </c>
      <c r="T719" s="154" t="s">
        <v>645</v>
      </c>
      <c r="U719" s="154" t="s">
        <v>796</v>
      </c>
      <c r="V719" s="154"/>
    </row>
    <row r="720" spans="1:22" s="158" customFormat="1" x14ac:dyDescent="0.3">
      <c r="A720" s="154" t="s">
        <v>777</v>
      </c>
      <c r="B720" s="155" t="s">
        <v>154</v>
      </c>
      <c r="C720" s="154">
        <v>638</v>
      </c>
      <c r="D720" s="156" t="str">
        <f t="shared" si="264"/>
        <v>Kata</v>
      </c>
      <c r="E720" s="156" t="str">
        <f t="shared" si="265"/>
        <v>Kata, -, 0-100 kg, Gyerek 2. (11-12</v>
      </c>
      <c r="F720" s="156" t="s">
        <v>525</v>
      </c>
      <c r="G720" s="157" t="str">
        <f t="shared" si="266"/>
        <v>18</v>
      </c>
      <c r="H720" s="156" t="str">
        <f t="shared" si="267"/>
        <v>32 fős egyenes kiesés</v>
      </c>
      <c r="I720" s="157" t="str">
        <f t="shared" ref="I720:I725" si="268">"11-16"</f>
        <v>11-16</v>
      </c>
      <c r="J720" s="156" t="str">
        <f>"Kiss Adrián"</f>
        <v>Kiss Adrián</v>
      </c>
      <c r="K720" s="156" t="str">
        <f>"Keizoku SE"</f>
        <v>Keizoku SE</v>
      </c>
      <c r="L720" s="156" t="str">
        <f t="shared" si="261"/>
        <v>HUN</v>
      </c>
      <c r="M720" s="163">
        <v>0</v>
      </c>
      <c r="O720" s="154" t="s">
        <v>410</v>
      </c>
      <c r="P720" s="159">
        <v>46103</v>
      </c>
      <c r="Q720" s="154" t="str">
        <f t="shared" si="262"/>
        <v>Kiss Adrián - Keizoku SE</v>
      </c>
      <c r="R720" s="154" t="s">
        <v>636</v>
      </c>
      <c r="S720" s="154" t="str">
        <f t="shared" si="263"/>
        <v>Keizoku SE</v>
      </c>
      <c r="T720" s="154" t="s">
        <v>645</v>
      </c>
      <c r="U720" s="154" t="s">
        <v>796</v>
      </c>
      <c r="V720" s="154"/>
    </row>
    <row r="721" spans="1:22" s="158" customFormat="1" x14ac:dyDescent="0.3">
      <c r="A721" s="154" t="s">
        <v>777</v>
      </c>
      <c r="B721" s="155" t="s">
        <v>154</v>
      </c>
      <c r="C721" s="154">
        <v>639</v>
      </c>
      <c r="D721" s="156" t="str">
        <f t="shared" si="264"/>
        <v>Kata</v>
      </c>
      <c r="E721" s="156" t="str">
        <f t="shared" si="265"/>
        <v>Kata, -, 0-100 kg, Gyerek 2. (11-12</v>
      </c>
      <c r="F721" s="156" t="s">
        <v>525</v>
      </c>
      <c r="G721" s="157" t="str">
        <f t="shared" si="266"/>
        <v>18</v>
      </c>
      <c r="H721" s="156" t="str">
        <f t="shared" si="267"/>
        <v>32 fős egyenes kiesés</v>
      </c>
      <c r="I721" s="157" t="str">
        <f t="shared" si="268"/>
        <v>11-16</v>
      </c>
      <c r="J721" s="156" t="str">
        <f>"Kárász Dániel"</f>
        <v>Kárász Dániel</v>
      </c>
      <c r="K721" s="156" t="str">
        <f>"BHMSE"</f>
        <v>BHMSE</v>
      </c>
      <c r="L721" s="156" t="str">
        <f t="shared" si="261"/>
        <v>HUN</v>
      </c>
      <c r="M721" s="163">
        <v>0</v>
      </c>
      <c r="O721" s="154" t="s">
        <v>410</v>
      </c>
      <c r="P721" s="159">
        <v>46103</v>
      </c>
      <c r="Q721" s="154" t="str">
        <f t="shared" si="262"/>
        <v>Kárász Dániel - BHMSE</v>
      </c>
      <c r="R721" s="154" t="s">
        <v>636</v>
      </c>
      <c r="S721" s="154" t="str">
        <f t="shared" si="263"/>
        <v>BHMSE</v>
      </c>
      <c r="T721" s="154" t="s">
        <v>645</v>
      </c>
      <c r="U721" s="154" t="s">
        <v>796</v>
      </c>
      <c r="V721" s="154"/>
    </row>
    <row r="722" spans="1:22" s="158" customFormat="1" x14ac:dyDescent="0.3">
      <c r="A722" s="154" t="s">
        <v>777</v>
      </c>
      <c r="B722" s="155" t="s">
        <v>154</v>
      </c>
      <c r="C722" s="154">
        <v>640</v>
      </c>
      <c r="D722" s="156" t="str">
        <f t="shared" si="264"/>
        <v>Kata</v>
      </c>
      <c r="E722" s="156" t="str">
        <f t="shared" si="265"/>
        <v>Kata, -, 0-100 kg, Gyerek 2. (11-12</v>
      </c>
      <c r="F722" s="156" t="s">
        <v>525</v>
      </c>
      <c r="G722" s="157" t="str">
        <f t="shared" si="266"/>
        <v>18</v>
      </c>
      <c r="H722" s="156" t="str">
        <f t="shared" si="267"/>
        <v>32 fős egyenes kiesés</v>
      </c>
      <c r="I722" s="157" t="str">
        <f t="shared" si="268"/>
        <v>11-16</v>
      </c>
      <c r="J722" s="156" t="str">
        <f>"Hidegh Krisztián"</f>
        <v>Hidegh Krisztián</v>
      </c>
      <c r="K722" s="156" t="str">
        <f>"Rakurai"</f>
        <v>Rakurai</v>
      </c>
      <c r="L722" s="156" t="str">
        <f t="shared" si="261"/>
        <v>HUN</v>
      </c>
      <c r="M722" s="163">
        <v>0</v>
      </c>
      <c r="O722" s="154" t="s">
        <v>410</v>
      </c>
      <c r="P722" s="159">
        <v>46103</v>
      </c>
      <c r="Q722" s="154" t="str">
        <f t="shared" si="262"/>
        <v>Hidegh Krisztián - Rakurai</v>
      </c>
      <c r="R722" s="154" t="s">
        <v>636</v>
      </c>
      <c r="S722" s="154" t="str">
        <f t="shared" si="263"/>
        <v>Rakurai</v>
      </c>
      <c r="T722" s="154" t="s">
        <v>645</v>
      </c>
      <c r="U722" s="154" t="s">
        <v>796</v>
      </c>
      <c r="V722" s="154"/>
    </row>
    <row r="723" spans="1:22" s="158" customFormat="1" x14ac:dyDescent="0.3">
      <c r="A723" s="154" t="s">
        <v>777</v>
      </c>
      <c r="B723" s="155" t="s">
        <v>154</v>
      </c>
      <c r="C723" s="154">
        <v>641</v>
      </c>
      <c r="D723" s="156" t="str">
        <f t="shared" si="264"/>
        <v>Kata</v>
      </c>
      <c r="E723" s="156" t="str">
        <f t="shared" si="265"/>
        <v>Kata, -, 0-100 kg, Gyerek 2. (11-12</v>
      </c>
      <c r="F723" s="156" t="s">
        <v>525</v>
      </c>
      <c r="G723" s="157" t="str">
        <f t="shared" si="266"/>
        <v>18</v>
      </c>
      <c r="H723" s="156" t="str">
        <f t="shared" si="267"/>
        <v>32 fős egyenes kiesés</v>
      </c>
      <c r="I723" s="157" t="str">
        <f t="shared" si="268"/>
        <v>11-16</v>
      </c>
      <c r="J723" s="156" t="str">
        <f>"Hernádi Bere"</f>
        <v>Hernádi Bere</v>
      </c>
      <c r="K723" s="156" t="str">
        <f>"BHMSE"</f>
        <v>BHMSE</v>
      </c>
      <c r="L723" s="156" t="str">
        <f t="shared" si="261"/>
        <v>HUN</v>
      </c>
      <c r="M723" s="163">
        <v>0</v>
      </c>
      <c r="O723" s="154" t="s">
        <v>410</v>
      </c>
      <c r="P723" s="159">
        <v>46103</v>
      </c>
      <c r="Q723" s="154" t="str">
        <f t="shared" si="262"/>
        <v>Hernádi Bere - BHMSE</v>
      </c>
      <c r="R723" s="154" t="s">
        <v>636</v>
      </c>
      <c r="S723" s="154" t="str">
        <f t="shared" si="263"/>
        <v>BHMSE</v>
      </c>
      <c r="T723" s="154" t="s">
        <v>645</v>
      </c>
      <c r="U723" s="154" t="s">
        <v>796</v>
      </c>
      <c r="V723" s="154"/>
    </row>
    <row r="724" spans="1:22" s="158" customFormat="1" x14ac:dyDescent="0.3">
      <c r="A724" s="154" t="s">
        <v>777</v>
      </c>
      <c r="B724" s="155" t="s">
        <v>154</v>
      </c>
      <c r="C724" s="154">
        <v>642</v>
      </c>
      <c r="D724" s="156" t="str">
        <f t="shared" si="264"/>
        <v>Kata</v>
      </c>
      <c r="E724" s="156" t="str">
        <f t="shared" si="265"/>
        <v>Kata, -, 0-100 kg, Gyerek 2. (11-12</v>
      </c>
      <c r="F724" s="156" t="s">
        <v>525</v>
      </c>
      <c r="G724" s="157" t="str">
        <f t="shared" si="266"/>
        <v>18</v>
      </c>
      <c r="H724" s="156" t="str">
        <f t="shared" si="267"/>
        <v>32 fős egyenes kiesés</v>
      </c>
      <c r="I724" s="157" t="str">
        <f t="shared" si="268"/>
        <v>11-16</v>
      </c>
      <c r="J724" s="156" t="str">
        <f>"Gombos-Weidinger Zsombor"</f>
        <v>Gombos-Weidinger Zsombor</v>
      </c>
      <c r="K724" s="156" t="str">
        <f>"BHMSE"</f>
        <v>BHMSE</v>
      </c>
      <c r="L724" s="156" t="str">
        <f t="shared" si="261"/>
        <v>HUN</v>
      </c>
      <c r="M724" s="163">
        <v>0</v>
      </c>
      <c r="O724" s="154" t="s">
        <v>410</v>
      </c>
      <c r="P724" s="159">
        <v>46103</v>
      </c>
      <c r="Q724" s="154" t="str">
        <f t="shared" si="262"/>
        <v>Gombos-Weidinger Zsombor - BHMSE</v>
      </c>
      <c r="R724" s="154" t="s">
        <v>636</v>
      </c>
      <c r="S724" s="154" t="str">
        <f t="shared" si="263"/>
        <v>BHMSE</v>
      </c>
      <c r="T724" s="154" t="s">
        <v>645</v>
      </c>
      <c r="U724" s="154" t="s">
        <v>796</v>
      </c>
      <c r="V724" s="154"/>
    </row>
    <row r="725" spans="1:22" s="158" customFormat="1" x14ac:dyDescent="0.3">
      <c r="A725" s="154" t="s">
        <v>777</v>
      </c>
      <c r="B725" s="155" t="s">
        <v>154</v>
      </c>
      <c r="C725" s="154">
        <v>643</v>
      </c>
      <c r="D725" s="156" t="str">
        <f t="shared" si="264"/>
        <v>Kata</v>
      </c>
      <c r="E725" s="156" t="str">
        <f t="shared" si="265"/>
        <v>Kata, -, 0-100 kg, Gyerek 2. (11-12</v>
      </c>
      <c r="F725" s="156" t="s">
        <v>525</v>
      </c>
      <c r="G725" s="157" t="str">
        <f t="shared" si="266"/>
        <v>18</v>
      </c>
      <c r="H725" s="156" t="str">
        <f t="shared" si="267"/>
        <v>32 fős egyenes kiesés</v>
      </c>
      <c r="I725" s="157" t="str">
        <f t="shared" si="268"/>
        <v>11-16</v>
      </c>
      <c r="J725" s="156" t="str">
        <f>"Bervanger Bálint"</f>
        <v>Bervanger Bálint</v>
      </c>
      <c r="K725" s="156" t="str">
        <f>"Shogun"</f>
        <v>Shogun</v>
      </c>
      <c r="L725" s="156" t="str">
        <f t="shared" si="261"/>
        <v>HUN</v>
      </c>
      <c r="M725" s="163">
        <v>0</v>
      </c>
      <c r="O725" s="154" t="s">
        <v>410</v>
      </c>
      <c r="P725" s="159">
        <v>46103</v>
      </c>
      <c r="Q725" s="154" t="str">
        <f t="shared" si="262"/>
        <v>Bervanger Bálint - Shogun</v>
      </c>
      <c r="R725" s="154" t="s">
        <v>636</v>
      </c>
      <c r="S725" s="154" t="str">
        <f t="shared" si="263"/>
        <v>Shogun</v>
      </c>
      <c r="T725" s="154" t="s">
        <v>645</v>
      </c>
      <c r="U725" s="154" t="s">
        <v>796</v>
      </c>
      <c r="V725" s="154"/>
    </row>
    <row r="726" spans="1:22" s="158" customFormat="1" x14ac:dyDescent="0.3">
      <c r="A726" s="154" t="s">
        <v>777</v>
      </c>
      <c r="B726" s="155" t="s">
        <v>154</v>
      </c>
      <c r="C726" s="154">
        <v>644</v>
      </c>
      <c r="D726" s="156" t="str">
        <f t="shared" ref="D726:D756" si="269">"Kumite"</f>
        <v>Kumite</v>
      </c>
      <c r="E726" s="156" t="str">
        <f t="shared" ref="E726:E736" si="270">"Kumite, -, 0-35 kg, Gyerek 2. (11-12"</f>
        <v>Kumite, -, 0-35 kg, Gyerek 2. (11-12</v>
      </c>
      <c r="F726" s="156" t="s">
        <v>517</v>
      </c>
      <c r="G726" s="157" t="str">
        <f t="shared" ref="G726:G736" si="271">"11"</f>
        <v>11</v>
      </c>
      <c r="H726" s="156" t="str">
        <f t="shared" ref="H726:H736" si="272">"16 fős egyenes kiesés"</f>
        <v>16 fős egyenes kiesés</v>
      </c>
      <c r="I726" s="157" t="str">
        <f>"1"</f>
        <v>1</v>
      </c>
      <c r="J726" s="156" t="str">
        <f>"Jakubovics Nikolett"</f>
        <v>Jakubovics Nikolett</v>
      </c>
      <c r="K726" s="156" t="str">
        <f>"BHMSE"</f>
        <v>BHMSE</v>
      </c>
      <c r="L726" s="156" t="str">
        <f t="shared" si="261"/>
        <v>HUN</v>
      </c>
      <c r="M726" s="163">
        <v>10</v>
      </c>
      <c r="O726" s="154" t="s">
        <v>410</v>
      </c>
      <c r="P726" s="159">
        <v>46103</v>
      </c>
      <c r="Q726" s="154" t="str">
        <f t="shared" si="262"/>
        <v>Jakubovics Nikolett - BHMSE</v>
      </c>
      <c r="R726" s="154" t="s">
        <v>636</v>
      </c>
      <c r="S726" s="154" t="str">
        <f t="shared" si="263"/>
        <v>BHMSE</v>
      </c>
      <c r="T726" s="154" t="s">
        <v>645</v>
      </c>
      <c r="U726" s="154" t="s">
        <v>796</v>
      </c>
      <c r="V726" s="154"/>
    </row>
    <row r="727" spans="1:22" s="158" customFormat="1" x14ac:dyDescent="0.3">
      <c r="A727" s="154" t="s">
        <v>777</v>
      </c>
      <c r="B727" s="155" t="s">
        <v>154</v>
      </c>
      <c r="C727" s="154">
        <v>645</v>
      </c>
      <c r="D727" s="156" t="str">
        <f t="shared" si="269"/>
        <v>Kumite</v>
      </c>
      <c r="E727" s="156" t="str">
        <f t="shared" si="270"/>
        <v>Kumite, -, 0-35 kg, Gyerek 2. (11-12</v>
      </c>
      <c r="F727" s="156" t="s">
        <v>517</v>
      </c>
      <c r="G727" s="157" t="str">
        <f t="shared" si="271"/>
        <v>11</v>
      </c>
      <c r="H727" s="156" t="str">
        <f t="shared" si="272"/>
        <v>16 fős egyenes kiesés</v>
      </c>
      <c r="I727" s="157" t="str">
        <f>"2"</f>
        <v>2</v>
      </c>
      <c r="J727" s="156" t="str">
        <f>"Domján-Herbat Réka"</f>
        <v>Domján-Herbat Réka</v>
      </c>
      <c r="K727" s="156" t="str">
        <f>"BHMSE"</f>
        <v>BHMSE</v>
      </c>
      <c r="L727" s="156" t="str">
        <f t="shared" si="261"/>
        <v>HUN</v>
      </c>
      <c r="M727" s="163">
        <v>8</v>
      </c>
      <c r="O727" s="154" t="s">
        <v>410</v>
      </c>
      <c r="P727" s="159">
        <v>46103</v>
      </c>
      <c r="Q727" s="154" t="str">
        <f t="shared" si="262"/>
        <v>Domján-Herbat Réka - BHMSE</v>
      </c>
      <c r="R727" s="154" t="s">
        <v>636</v>
      </c>
      <c r="S727" s="154" t="str">
        <f t="shared" si="263"/>
        <v>BHMSE</v>
      </c>
      <c r="T727" s="154" t="s">
        <v>645</v>
      </c>
      <c r="U727" s="154" t="s">
        <v>796</v>
      </c>
      <c r="V727" s="154"/>
    </row>
    <row r="728" spans="1:22" s="158" customFormat="1" x14ac:dyDescent="0.3">
      <c r="A728" s="154" t="s">
        <v>777</v>
      </c>
      <c r="B728" s="155" t="s">
        <v>154</v>
      </c>
      <c r="C728" s="154">
        <v>646</v>
      </c>
      <c r="D728" s="156" t="str">
        <f t="shared" si="269"/>
        <v>Kumite</v>
      </c>
      <c r="E728" s="156" t="str">
        <f t="shared" si="270"/>
        <v>Kumite, -, 0-35 kg, Gyerek 2. (11-12</v>
      </c>
      <c r="F728" s="156" t="s">
        <v>517</v>
      </c>
      <c r="G728" s="157" t="str">
        <f t="shared" si="271"/>
        <v>11</v>
      </c>
      <c r="H728" s="156" t="str">
        <f t="shared" si="272"/>
        <v>16 fős egyenes kiesés</v>
      </c>
      <c r="I728" s="157" t="str">
        <f>"3"</f>
        <v>3</v>
      </c>
      <c r="J728" s="156" t="str">
        <f>"Fürjesi Eszter"</f>
        <v>Fürjesi Eszter</v>
      </c>
      <c r="K728" s="156" t="str">
        <f>"Shogun"</f>
        <v>Shogun</v>
      </c>
      <c r="L728" s="156" t="str">
        <f t="shared" si="261"/>
        <v>HUN</v>
      </c>
      <c r="M728" s="163">
        <v>6</v>
      </c>
      <c r="O728" s="154" t="s">
        <v>410</v>
      </c>
      <c r="P728" s="159">
        <v>46103</v>
      </c>
      <c r="Q728" s="154" t="str">
        <f t="shared" si="262"/>
        <v>Fürjesi Eszter - Shogun</v>
      </c>
      <c r="R728" s="154" t="s">
        <v>636</v>
      </c>
      <c r="S728" s="154" t="str">
        <f t="shared" si="263"/>
        <v>Shogun</v>
      </c>
      <c r="T728" s="154" t="s">
        <v>645</v>
      </c>
      <c r="U728" s="154" t="s">
        <v>796</v>
      </c>
      <c r="V728" s="154"/>
    </row>
    <row r="729" spans="1:22" s="158" customFormat="1" x14ac:dyDescent="0.3">
      <c r="A729" s="154" t="s">
        <v>777</v>
      </c>
      <c r="B729" s="155" t="s">
        <v>154</v>
      </c>
      <c r="C729" s="154">
        <v>647</v>
      </c>
      <c r="D729" s="156" t="str">
        <f t="shared" si="269"/>
        <v>Kumite</v>
      </c>
      <c r="E729" s="156" t="str">
        <f t="shared" si="270"/>
        <v>Kumite, -, 0-35 kg, Gyerek 2. (11-12</v>
      </c>
      <c r="F729" s="156" t="s">
        <v>517</v>
      </c>
      <c r="G729" s="157" t="str">
        <f t="shared" si="271"/>
        <v>11</v>
      </c>
      <c r="H729" s="156" t="str">
        <f t="shared" si="272"/>
        <v>16 fős egyenes kiesés</v>
      </c>
      <c r="I729" s="157" t="str">
        <f>"3"</f>
        <v>3</v>
      </c>
      <c r="J729" s="156" t="str">
        <f>"Horváth Boróka"</f>
        <v>Horváth Boróka</v>
      </c>
      <c r="K729" s="156" t="str">
        <f>"Rakurai"</f>
        <v>Rakurai</v>
      </c>
      <c r="L729" s="156" t="str">
        <f t="shared" si="261"/>
        <v>HUN</v>
      </c>
      <c r="M729" s="163">
        <v>6</v>
      </c>
      <c r="O729" s="154" t="s">
        <v>410</v>
      </c>
      <c r="P729" s="159">
        <v>46103</v>
      </c>
      <c r="Q729" s="154" t="str">
        <f t="shared" si="262"/>
        <v>Horváth Boróka - Rakurai</v>
      </c>
      <c r="R729" s="154" t="s">
        <v>636</v>
      </c>
      <c r="S729" s="154" t="str">
        <f t="shared" si="263"/>
        <v>Rakurai</v>
      </c>
      <c r="T729" s="154" t="s">
        <v>645</v>
      </c>
      <c r="U729" s="154" t="s">
        <v>796</v>
      </c>
      <c r="V729" s="154"/>
    </row>
    <row r="730" spans="1:22" s="158" customFormat="1" x14ac:dyDescent="0.3">
      <c r="A730" s="154" t="s">
        <v>777</v>
      </c>
      <c r="B730" s="155" t="s">
        <v>154</v>
      </c>
      <c r="C730" s="154">
        <v>648</v>
      </c>
      <c r="D730" s="156" t="str">
        <f t="shared" si="269"/>
        <v>Kumite</v>
      </c>
      <c r="E730" s="156" t="str">
        <f t="shared" si="270"/>
        <v>Kumite, -, 0-35 kg, Gyerek 2. (11-12</v>
      </c>
      <c r="F730" s="156" t="s">
        <v>517</v>
      </c>
      <c r="G730" s="157" t="str">
        <f t="shared" si="271"/>
        <v>11</v>
      </c>
      <c r="H730" s="156" t="str">
        <f t="shared" si="272"/>
        <v>16 fős egyenes kiesés</v>
      </c>
      <c r="I730" s="157" t="str">
        <f>"5"</f>
        <v>5</v>
      </c>
      <c r="J730" s="156" t="str">
        <f>"Rudi Noémi"</f>
        <v>Rudi Noémi</v>
      </c>
      <c r="K730" s="156" t="str">
        <f>"Rakurai"</f>
        <v>Rakurai</v>
      </c>
      <c r="L730" s="156" t="str">
        <f t="shared" si="261"/>
        <v>HUN</v>
      </c>
      <c r="M730" s="163">
        <v>3</v>
      </c>
      <c r="O730" s="154" t="s">
        <v>410</v>
      </c>
      <c r="P730" s="159">
        <v>46103</v>
      </c>
      <c r="Q730" s="154" t="str">
        <f t="shared" si="262"/>
        <v>Rudi Noémi - Rakurai</v>
      </c>
      <c r="R730" s="154" t="s">
        <v>636</v>
      </c>
      <c r="S730" s="154" t="str">
        <f t="shared" si="263"/>
        <v>Rakurai</v>
      </c>
      <c r="T730" s="154" t="s">
        <v>645</v>
      </c>
      <c r="U730" s="154" t="s">
        <v>796</v>
      </c>
      <c r="V730" s="154"/>
    </row>
    <row r="731" spans="1:22" s="158" customFormat="1" x14ac:dyDescent="0.3">
      <c r="A731" s="154" t="s">
        <v>777</v>
      </c>
      <c r="B731" s="155" t="s">
        <v>154</v>
      </c>
      <c r="C731" s="154">
        <v>649</v>
      </c>
      <c r="D731" s="156" t="str">
        <f t="shared" si="269"/>
        <v>Kumite</v>
      </c>
      <c r="E731" s="156" t="str">
        <f t="shared" si="270"/>
        <v>Kumite, -, 0-35 kg, Gyerek 2. (11-12</v>
      </c>
      <c r="F731" s="156" t="s">
        <v>517</v>
      </c>
      <c r="G731" s="157" t="str">
        <f t="shared" si="271"/>
        <v>11</v>
      </c>
      <c r="H731" s="156" t="str">
        <f t="shared" si="272"/>
        <v>16 fős egyenes kiesés</v>
      </c>
      <c r="I731" s="157" t="str">
        <f>"6"</f>
        <v>6</v>
      </c>
      <c r="J731" s="156" t="str">
        <f>"Ungai Eszter"</f>
        <v>Ungai Eszter</v>
      </c>
      <c r="K731" s="156" t="str">
        <f>"Hajdúszoboszló"</f>
        <v>Hajdúszoboszló</v>
      </c>
      <c r="L731" s="156" t="str">
        <f t="shared" si="261"/>
        <v>HUN</v>
      </c>
      <c r="M731" s="163">
        <v>0</v>
      </c>
      <c r="N731" s="158" t="s">
        <v>704</v>
      </c>
      <c r="O731" s="154" t="s">
        <v>410</v>
      </c>
      <c r="P731" s="159">
        <v>46103</v>
      </c>
      <c r="Q731" s="154" t="str">
        <f t="shared" si="262"/>
        <v>Ungai Eszter - Hajdúszoboszló</v>
      </c>
      <c r="R731" s="154" t="s">
        <v>636</v>
      </c>
      <c r="S731" s="154" t="str">
        <f t="shared" si="263"/>
        <v>Hajdúszoboszló</v>
      </c>
      <c r="T731" s="154" t="s">
        <v>645</v>
      </c>
      <c r="U731" s="154" t="s">
        <v>796</v>
      </c>
      <c r="V731" s="154"/>
    </row>
    <row r="732" spans="1:22" s="158" customFormat="1" x14ac:dyDescent="0.3">
      <c r="A732" s="154" t="s">
        <v>777</v>
      </c>
      <c r="B732" s="155" t="s">
        <v>154</v>
      </c>
      <c r="C732" s="154">
        <v>650</v>
      </c>
      <c r="D732" s="156" t="str">
        <f t="shared" si="269"/>
        <v>Kumite</v>
      </c>
      <c r="E732" s="156" t="str">
        <f t="shared" si="270"/>
        <v>Kumite, -, 0-35 kg, Gyerek 2. (11-12</v>
      </c>
      <c r="F732" s="156" t="s">
        <v>517</v>
      </c>
      <c r="G732" s="157" t="str">
        <f t="shared" si="271"/>
        <v>11</v>
      </c>
      <c r="H732" s="156" t="str">
        <f t="shared" si="272"/>
        <v>16 fős egyenes kiesés</v>
      </c>
      <c r="I732" s="157" t="str">
        <f>"7-8"</f>
        <v>7-8</v>
      </c>
      <c r="J732" s="156" t="str">
        <f>"Kigó Boróka"</f>
        <v>Kigó Boróka</v>
      </c>
      <c r="K732" s="156" t="str">
        <f>"Victory"</f>
        <v>Victory</v>
      </c>
      <c r="L732" s="156" t="str">
        <f t="shared" si="261"/>
        <v>HUN</v>
      </c>
      <c r="M732" s="163">
        <v>0</v>
      </c>
      <c r="N732" s="158" t="s">
        <v>704</v>
      </c>
      <c r="O732" s="154" t="s">
        <v>410</v>
      </c>
      <c r="P732" s="159">
        <v>46103</v>
      </c>
      <c r="Q732" s="154" t="str">
        <f t="shared" si="262"/>
        <v>Kigó Boróka - Victory</v>
      </c>
      <c r="R732" s="154" t="s">
        <v>636</v>
      </c>
      <c r="S732" s="154" t="str">
        <f t="shared" si="263"/>
        <v>Victory</v>
      </c>
      <c r="T732" s="154" t="s">
        <v>645</v>
      </c>
      <c r="U732" s="154" t="s">
        <v>796</v>
      </c>
      <c r="V732" s="154"/>
    </row>
    <row r="733" spans="1:22" s="158" customFormat="1" x14ac:dyDescent="0.3">
      <c r="A733" s="154" t="s">
        <v>777</v>
      </c>
      <c r="B733" s="155" t="s">
        <v>154</v>
      </c>
      <c r="C733" s="154">
        <v>651</v>
      </c>
      <c r="D733" s="156" t="str">
        <f t="shared" si="269"/>
        <v>Kumite</v>
      </c>
      <c r="E733" s="156" t="str">
        <f t="shared" si="270"/>
        <v>Kumite, -, 0-35 kg, Gyerek 2. (11-12</v>
      </c>
      <c r="F733" s="156" t="s">
        <v>517</v>
      </c>
      <c r="G733" s="157" t="str">
        <f t="shared" si="271"/>
        <v>11</v>
      </c>
      <c r="H733" s="156" t="str">
        <f t="shared" si="272"/>
        <v>16 fős egyenes kiesés</v>
      </c>
      <c r="I733" s="157" t="str">
        <f>"7-8"</f>
        <v>7-8</v>
      </c>
      <c r="J733" s="156" t="str">
        <f>"Pődör Panka"</f>
        <v>Pődör Panka</v>
      </c>
      <c r="K733" s="156" t="str">
        <f>"Griff SE"</f>
        <v>Griff SE</v>
      </c>
      <c r="L733" s="156" t="str">
        <f t="shared" si="261"/>
        <v>HUN</v>
      </c>
      <c r="M733" s="163">
        <v>0</v>
      </c>
      <c r="N733" s="158" t="s">
        <v>704</v>
      </c>
      <c r="O733" s="154" t="s">
        <v>410</v>
      </c>
      <c r="P733" s="159">
        <v>46103</v>
      </c>
      <c r="Q733" s="154" t="str">
        <f t="shared" si="262"/>
        <v>Pődör Panka - Griff SE</v>
      </c>
      <c r="R733" s="154" t="s">
        <v>636</v>
      </c>
      <c r="S733" s="154" t="str">
        <f t="shared" si="263"/>
        <v>Griff SE</v>
      </c>
      <c r="T733" s="154" t="s">
        <v>645</v>
      </c>
      <c r="U733" s="154" t="s">
        <v>796</v>
      </c>
      <c r="V733" s="154"/>
    </row>
    <row r="734" spans="1:22" s="158" customFormat="1" x14ac:dyDescent="0.3">
      <c r="A734" s="154" t="s">
        <v>777</v>
      </c>
      <c r="B734" s="155" t="s">
        <v>154</v>
      </c>
      <c r="C734" s="154">
        <v>652</v>
      </c>
      <c r="D734" s="156" t="str">
        <f t="shared" si="269"/>
        <v>Kumite</v>
      </c>
      <c r="E734" s="156" t="str">
        <f t="shared" si="270"/>
        <v>Kumite, -, 0-35 kg, Gyerek 2. (11-12</v>
      </c>
      <c r="F734" s="156" t="s">
        <v>517</v>
      </c>
      <c r="G734" s="157" t="str">
        <f t="shared" si="271"/>
        <v>11</v>
      </c>
      <c r="H734" s="156" t="str">
        <f t="shared" si="272"/>
        <v>16 fős egyenes kiesés</v>
      </c>
      <c r="I734" s="157" t="str">
        <f>"11-16"</f>
        <v>11-16</v>
      </c>
      <c r="J734" s="156" t="str">
        <f>"Varga Zoé"</f>
        <v>Varga Zoé</v>
      </c>
      <c r="K734" s="156" t="str">
        <f>"Kemecse SE"</f>
        <v>Kemecse SE</v>
      </c>
      <c r="L734" s="156" t="str">
        <f t="shared" si="261"/>
        <v>HUN</v>
      </c>
      <c r="M734" s="163">
        <v>0</v>
      </c>
      <c r="O734" s="154" t="s">
        <v>410</v>
      </c>
      <c r="P734" s="159">
        <v>46103</v>
      </c>
      <c r="Q734" s="154" t="str">
        <f t="shared" si="262"/>
        <v>Varga Zoé - Kemecse SE</v>
      </c>
      <c r="R734" s="154" t="s">
        <v>636</v>
      </c>
      <c r="S734" s="154" t="str">
        <f t="shared" si="263"/>
        <v>Kemecse SE</v>
      </c>
      <c r="T734" s="154" t="s">
        <v>645</v>
      </c>
      <c r="U734" s="154" t="s">
        <v>796</v>
      </c>
      <c r="V734" s="154"/>
    </row>
    <row r="735" spans="1:22" s="158" customFormat="1" x14ac:dyDescent="0.3">
      <c r="A735" s="154" t="s">
        <v>777</v>
      </c>
      <c r="B735" s="155" t="s">
        <v>154</v>
      </c>
      <c r="C735" s="154">
        <v>653</v>
      </c>
      <c r="D735" s="156" t="str">
        <f t="shared" si="269"/>
        <v>Kumite</v>
      </c>
      <c r="E735" s="156" t="str">
        <f t="shared" si="270"/>
        <v>Kumite, -, 0-35 kg, Gyerek 2. (11-12</v>
      </c>
      <c r="F735" s="156" t="s">
        <v>517</v>
      </c>
      <c r="G735" s="157" t="str">
        <f t="shared" si="271"/>
        <v>11</v>
      </c>
      <c r="H735" s="156" t="str">
        <f t="shared" si="272"/>
        <v>16 fős egyenes kiesés</v>
      </c>
      <c r="I735" s="157" t="str">
        <f>"11-16"</f>
        <v>11-16</v>
      </c>
      <c r="J735" s="156" t="str">
        <f>"Huszár Hanna"</f>
        <v>Huszár Hanna</v>
      </c>
      <c r="K735" s="156" t="str">
        <f>"Kemecse SE"</f>
        <v>Kemecse SE</v>
      </c>
      <c r="L735" s="156" t="str">
        <f t="shared" si="261"/>
        <v>HUN</v>
      </c>
      <c r="M735" s="163">
        <v>0</v>
      </c>
      <c r="O735" s="154" t="s">
        <v>410</v>
      </c>
      <c r="P735" s="159">
        <v>46103</v>
      </c>
      <c r="Q735" s="154" t="str">
        <f t="shared" si="262"/>
        <v>Huszár Hanna - Kemecse SE</v>
      </c>
      <c r="R735" s="154" t="s">
        <v>636</v>
      </c>
      <c r="S735" s="154" t="str">
        <f t="shared" si="263"/>
        <v>Kemecse SE</v>
      </c>
      <c r="T735" s="154" t="s">
        <v>645</v>
      </c>
      <c r="U735" s="154" t="s">
        <v>796</v>
      </c>
      <c r="V735" s="154"/>
    </row>
    <row r="736" spans="1:22" s="158" customFormat="1" x14ac:dyDescent="0.3">
      <c r="A736" s="154" t="s">
        <v>777</v>
      </c>
      <c r="B736" s="155" t="s">
        <v>154</v>
      </c>
      <c r="C736" s="154">
        <v>654</v>
      </c>
      <c r="D736" s="156" t="str">
        <f t="shared" si="269"/>
        <v>Kumite</v>
      </c>
      <c r="E736" s="156" t="str">
        <f t="shared" si="270"/>
        <v>Kumite, -, 0-35 kg, Gyerek 2. (11-12</v>
      </c>
      <c r="F736" s="156" t="s">
        <v>517</v>
      </c>
      <c r="G736" s="157" t="str">
        <f t="shared" si="271"/>
        <v>11</v>
      </c>
      <c r="H736" s="156" t="str">
        <f t="shared" si="272"/>
        <v>16 fős egyenes kiesés</v>
      </c>
      <c r="I736" s="157" t="str">
        <f>"11-16"</f>
        <v>11-16</v>
      </c>
      <c r="J736" s="156" t="str">
        <f>"Szőllősi Hanna"</f>
        <v>Szőllősi Hanna</v>
      </c>
      <c r="K736" s="156" t="str">
        <f>"Kemecse SE"</f>
        <v>Kemecse SE</v>
      </c>
      <c r="L736" s="156" t="str">
        <f t="shared" si="261"/>
        <v>HUN</v>
      </c>
      <c r="M736" s="163">
        <v>0</v>
      </c>
      <c r="O736" s="154" t="s">
        <v>410</v>
      </c>
      <c r="P736" s="159">
        <v>46103</v>
      </c>
      <c r="Q736" s="154" t="str">
        <f t="shared" si="262"/>
        <v>Szőllősi Hanna - Kemecse SE</v>
      </c>
      <c r="R736" s="154" t="s">
        <v>636</v>
      </c>
      <c r="S736" s="154" t="str">
        <f t="shared" si="263"/>
        <v>Kemecse SE</v>
      </c>
      <c r="T736" s="154" t="s">
        <v>645</v>
      </c>
      <c r="U736" s="154" t="s">
        <v>796</v>
      </c>
      <c r="V736" s="154"/>
    </row>
    <row r="737" spans="1:22" s="158" customFormat="1" x14ac:dyDescent="0.3">
      <c r="A737" s="154" t="s">
        <v>777</v>
      </c>
      <c r="B737" s="155" t="s">
        <v>154</v>
      </c>
      <c r="C737" s="154">
        <v>655</v>
      </c>
      <c r="D737" s="156" t="str">
        <f t="shared" si="269"/>
        <v>Kumite</v>
      </c>
      <c r="E737" s="156" t="str">
        <f>"Kumite, -, 35-40 kg, Gyerek 2. (11-12"</f>
        <v>Kumite, -, 35-40 kg, Gyerek 2. (11-12</v>
      </c>
      <c r="F737" s="156" t="s">
        <v>523</v>
      </c>
      <c r="G737" s="157" t="str">
        <f>"3"</f>
        <v>3</v>
      </c>
      <c r="H737" s="156" t="str">
        <f>"3 fős körmérkőzés"</f>
        <v>3 fős körmérkőzés</v>
      </c>
      <c r="I737" s="157" t="str">
        <f>"1"</f>
        <v>1</v>
      </c>
      <c r="J737" s="156" t="str">
        <f>"Fagbola Esther"</f>
        <v>Fagbola Esther</v>
      </c>
      <c r="K737" s="156" t="str">
        <f>"Victory"</f>
        <v>Victory</v>
      </c>
      <c r="L737" s="156" t="str">
        <f t="shared" si="261"/>
        <v>HUN</v>
      </c>
      <c r="M737" s="163">
        <v>0</v>
      </c>
      <c r="O737" s="154" t="s">
        <v>410</v>
      </c>
      <c r="P737" s="159">
        <v>46103</v>
      </c>
      <c r="Q737" s="154" t="str">
        <f t="shared" si="262"/>
        <v>Fagbola Esther - Victory</v>
      </c>
      <c r="R737" s="154" t="s">
        <v>636</v>
      </c>
      <c r="S737" s="154" t="str">
        <f t="shared" si="263"/>
        <v>Victory</v>
      </c>
      <c r="T737" s="154" t="s">
        <v>645</v>
      </c>
      <c r="U737" s="154" t="s">
        <v>796</v>
      </c>
      <c r="V737" s="154"/>
    </row>
    <row r="738" spans="1:22" s="158" customFormat="1" x14ac:dyDescent="0.3">
      <c r="A738" s="154" t="s">
        <v>777</v>
      </c>
      <c r="B738" s="155" t="s">
        <v>154</v>
      </c>
      <c r="C738" s="154">
        <v>656</v>
      </c>
      <c r="D738" s="156" t="str">
        <f t="shared" si="269"/>
        <v>Kumite</v>
      </c>
      <c r="E738" s="156" t="str">
        <f>"Kumite, -, 35-40 kg, Gyerek 2. (11-12"</f>
        <v>Kumite, -, 35-40 kg, Gyerek 2. (11-12</v>
      </c>
      <c r="F738" s="156" t="s">
        <v>523</v>
      </c>
      <c r="G738" s="157" t="str">
        <f>"3"</f>
        <v>3</v>
      </c>
      <c r="H738" s="156" t="str">
        <f>"3 fős körmérkőzés"</f>
        <v>3 fős körmérkőzés</v>
      </c>
      <c r="I738" s="157" t="str">
        <f>"2"</f>
        <v>2</v>
      </c>
      <c r="J738" s="156" t="str">
        <f>"Téglási Kamilla"</f>
        <v>Téglási Kamilla</v>
      </c>
      <c r="K738" s="156" t="str">
        <f>"Kisvárda KKDOSC"</f>
        <v>Kisvárda KKDOSC</v>
      </c>
      <c r="L738" s="156" t="str">
        <f t="shared" si="261"/>
        <v>HUN</v>
      </c>
      <c r="M738" s="163">
        <v>0</v>
      </c>
      <c r="O738" s="154" t="s">
        <v>410</v>
      </c>
      <c r="P738" s="159">
        <v>46103</v>
      </c>
      <c r="Q738" s="154" t="str">
        <f t="shared" si="262"/>
        <v>Téglási Kamilla - Kisvárda KKDOSC</v>
      </c>
      <c r="R738" s="154" t="s">
        <v>636</v>
      </c>
      <c r="S738" s="154" t="str">
        <f t="shared" si="263"/>
        <v>Kisvárda KKDOSC</v>
      </c>
      <c r="T738" s="154" t="s">
        <v>645</v>
      </c>
      <c r="U738" s="154" t="s">
        <v>796</v>
      </c>
      <c r="V738" s="154"/>
    </row>
    <row r="739" spans="1:22" s="158" customFormat="1" x14ac:dyDescent="0.3">
      <c r="A739" s="154" t="s">
        <v>777</v>
      </c>
      <c r="B739" s="155" t="s">
        <v>154</v>
      </c>
      <c r="C739" s="154">
        <v>657</v>
      </c>
      <c r="D739" s="156" t="str">
        <f t="shared" si="269"/>
        <v>Kumite</v>
      </c>
      <c r="E739" s="156" t="str">
        <f>"Kumite, -, 35-40 kg, Gyerek 2. (11-12"</f>
        <v>Kumite, -, 35-40 kg, Gyerek 2. (11-12</v>
      </c>
      <c r="F739" s="156" t="s">
        <v>523</v>
      </c>
      <c r="G739" s="157" t="str">
        <f>"3"</f>
        <v>3</v>
      </c>
      <c r="H739" s="156" t="str">
        <f>"3 fős körmérkőzés"</f>
        <v>3 fős körmérkőzés</v>
      </c>
      <c r="I739" s="157" t="str">
        <f>"3"</f>
        <v>3</v>
      </c>
      <c r="J739" s="156" t="str">
        <f>"Spanjevic Frida"</f>
        <v>Spanjevic Frida</v>
      </c>
      <c r="K739" s="156" t="str">
        <f>"BHMSE"</f>
        <v>BHMSE</v>
      </c>
      <c r="L739" s="156" t="str">
        <f t="shared" si="261"/>
        <v>HUN</v>
      </c>
      <c r="M739" s="163">
        <v>0</v>
      </c>
      <c r="O739" s="154" t="s">
        <v>410</v>
      </c>
      <c r="P739" s="159">
        <v>46103</v>
      </c>
      <c r="Q739" s="154" t="str">
        <f t="shared" si="262"/>
        <v>Spanjevic Frida - BHMSE</v>
      </c>
      <c r="R739" s="154" t="s">
        <v>636</v>
      </c>
      <c r="S739" s="154" t="str">
        <f t="shared" si="263"/>
        <v>BHMSE</v>
      </c>
      <c r="T739" s="154" t="s">
        <v>645</v>
      </c>
      <c r="U739" s="154" t="s">
        <v>796</v>
      </c>
      <c r="V739" s="154"/>
    </row>
    <row r="740" spans="1:22" s="158" customFormat="1" x14ac:dyDescent="0.3">
      <c r="A740" s="154" t="s">
        <v>777</v>
      </c>
      <c r="B740" s="155" t="s">
        <v>154</v>
      </c>
      <c r="C740" s="154">
        <v>658</v>
      </c>
      <c r="D740" s="156" t="str">
        <f t="shared" si="269"/>
        <v>Kumite</v>
      </c>
      <c r="E740" s="156" t="str">
        <f t="shared" ref="E740:E750" si="273">"Kumite, -, 45-200 kg, Gyerek 2. (11-12"</f>
        <v>Kumite, -, 45-200 kg, Gyerek 2. (11-12</v>
      </c>
      <c r="F740" s="156" t="s">
        <v>528</v>
      </c>
      <c r="G740" s="157" t="str">
        <f t="shared" ref="G740:G750" si="274">"11"</f>
        <v>11</v>
      </c>
      <c r="H740" s="156" t="str">
        <f t="shared" ref="H740:H750" si="275">"16 fős egyenes kiesés"</f>
        <v>16 fős egyenes kiesés</v>
      </c>
      <c r="I740" s="157" t="str">
        <f>"1"</f>
        <v>1</v>
      </c>
      <c r="J740" s="156" t="str">
        <f>"Marjai Boglárka"</f>
        <v>Marjai Boglárka</v>
      </c>
      <c r="K740" s="156" t="str">
        <f>"Kelemen-Team"</f>
        <v>Kelemen-Team</v>
      </c>
      <c r="L740" s="156" t="str">
        <f t="shared" si="261"/>
        <v>HUN</v>
      </c>
      <c r="M740" s="163">
        <v>10</v>
      </c>
      <c r="O740" s="154" t="s">
        <v>410</v>
      </c>
      <c r="P740" s="159">
        <v>46103</v>
      </c>
      <c r="Q740" s="154" t="str">
        <f t="shared" si="262"/>
        <v>Marjai Boglárka - Kelemen-Team</v>
      </c>
      <c r="R740" s="154" t="s">
        <v>636</v>
      </c>
      <c r="S740" s="154" t="str">
        <f t="shared" si="263"/>
        <v>Kelemen-Team</v>
      </c>
      <c r="T740" s="154" t="s">
        <v>645</v>
      </c>
      <c r="U740" s="154" t="s">
        <v>796</v>
      </c>
      <c r="V740" s="154"/>
    </row>
    <row r="741" spans="1:22" s="158" customFormat="1" x14ac:dyDescent="0.3">
      <c r="A741" s="154" t="s">
        <v>777</v>
      </c>
      <c r="B741" s="155" t="s">
        <v>154</v>
      </c>
      <c r="C741" s="154">
        <v>659</v>
      </c>
      <c r="D741" s="156" t="str">
        <f t="shared" si="269"/>
        <v>Kumite</v>
      </c>
      <c r="E741" s="156" t="str">
        <f t="shared" si="273"/>
        <v>Kumite, -, 45-200 kg, Gyerek 2. (11-12</v>
      </c>
      <c r="F741" s="156" t="s">
        <v>528</v>
      </c>
      <c r="G741" s="157" t="str">
        <f t="shared" si="274"/>
        <v>11</v>
      </c>
      <c r="H741" s="156" t="str">
        <f t="shared" si="275"/>
        <v>16 fős egyenes kiesés</v>
      </c>
      <c r="I741" s="157" t="str">
        <f>"2"</f>
        <v>2</v>
      </c>
      <c r="J741" s="156" t="str">
        <f>"Czekmeiszter Maja Lili"</f>
        <v>Czekmeiszter Maja Lili</v>
      </c>
      <c r="K741" s="156" t="str">
        <f>"Bátor KSE"</f>
        <v>Bátor KSE</v>
      </c>
      <c r="L741" s="156" t="str">
        <f t="shared" si="261"/>
        <v>HUN</v>
      </c>
      <c r="M741" s="163">
        <v>8</v>
      </c>
      <c r="O741" s="154" t="s">
        <v>410</v>
      </c>
      <c r="P741" s="159">
        <v>46103</v>
      </c>
      <c r="Q741" s="154" t="str">
        <f t="shared" si="262"/>
        <v>Czekmeiszter Maja Lili - Bátor KSE</v>
      </c>
      <c r="R741" s="154" t="s">
        <v>636</v>
      </c>
      <c r="S741" s="154" t="str">
        <f t="shared" si="263"/>
        <v>Bátor KSE</v>
      </c>
      <c r="T741" s="154" t="s">
        <v>645</v>
      </c>
      <c r="U741" s="154" t="s">
        <v>796</v>
      </c>
      <c r="V741" s="154"/>
    </row>
    <row r="742" spans="1:22" s="158" customFormat="1" x14ac:dyDescent="0.3">
      <c r="A742" s="154" t="s">
        <v>777</v>
      </c>
      <c r="B742" s="155" t="s">
        <v>154</v>
      </c>
      <c r="C742" s="154">
        <v>660</v>
      </c>
      <c r="D742" s="156" t="str">
        <f t="shared" si="269"/>
        <v>Kumite</v>
      </c>
      <c r="E742" s="156" t="str">
        <f t="shared" si="273"/>
        <v>Kumite, -, 45-200 kg, Gyerek 2. (11-12</v>
      </c>
      <c r="F742" s="156" t="s">
        <v>528</v>
      </c>
      <c r="G742" s="157" t="str">
        <f t="shared" si="274"/>
        <v>11</v>
      </c>
      <c r="H742" s="156" t="str">
        <f t="shared" si="275"/>
        <v>16 fős egyenes kiesés</v>
      </c>
      <c r="I742" s="157" t="str">
        <f>"3"</f>
        <v>3</v>
      </c>
      <c r="J742" s="156" t="str">
        <f>"Kocsis Angéla"</f>
        <v>Kocsis Angéla</v>
      </c>
      <c r="K742" s="156" t="str">
        <f>"Genbu dojo"</f>
        <v>Genbu dojo</v>
      </c>
      <c r="L742" s="156" t="str">
        <f t="shared" si="261"/>
        <v>HUN</v>
      </c>
      <c r="M742" s="163">
        <v>6</v>
      </c>
      <c r="O742" s="154" t="s">
        <v>410</v>
      </c>
      <c r="P742" s="159">
        <v>46103</v>
      </c>
      <c r="Q742" s="154" t="str">
        <f t="shared" si="262"/>
        <v>Kocsis Angéla - Genbu dojo</v>
      </c>
      <c r="R742" s="154" t="s">
        <v>637</v>
      </c>
      <c r="S742" s="154" t="str">
        <f t="shared" si="263"/>
        <v>Genbu dojo</v>
      </c>
      <c r="T742" s="154" t="s">
        <v>645</v>
      </c>
      <c r="U742" s="154" t="s">
        <v>796</v>
      </c>
      <c r="V742" s="154"/>
    </row>
    <row r="743" spans="1:22" s="158" customFormat="1" x14ac:dyDescent="0.3">
      <c r="A743" s="154" t="s">
        <v>777</v>
      </c>
      <c r="B743" s="155" t="s">
        <v>154</v>
      </c>
      <c r="C743" s="154">
        <v>661</v>
      </c>
      <c r="D743" s="156" t="str">
        <f t="shared" si="269"/>
        <v>Kumite</v>
      </c>
      <c r="E743" s="156" t="str">
        <f t="shared" si="273"/>
        <v>Kumite, -, 45-200 kg, Gyerek 2. (11-12</v>
      </c>
      <c r="F743" s="156" t="s">
        <v>528</v>
      </c>
      <c r="G743" s="157" t="str">
        <f t="shared" si="274"/>
        <v>11</v>
      </c>
      <c r="H743" s="156" t="str">
        <f t="shared" si="275"/>
        <v>16 fős egyenes kiesés</v>
      </c>
      <c r="I743" s="157" t="str">
        <f>"3"</f>
        <v>3</v>
      </c>
      <c r="J743" s="156" t="str">
        <f>"Janás Mia"</f>
        <v>Janás Mia</v>
      </c>
      <c r="K743" s="156" t="str">
        <f>"Főnix Dojo"</f>
        <v>Főnix Dojo</v>
      </c>
      <c r="L743" s="156" t="str">
        <f t="shared" si="261"/>
        <v>HUN</v>
      </c>
      <c r="M743" s="163">
        <v>6</v>
      </c>
      <c r="O743" s="154" t="s">
        <v>410</v>
      </c>
      <c r="P743" s="159">
        <v>46103</v>
      </c>
      <c r="Q743" s="154" t="str">
        <f t="shared" si="262"/>
        <v>Janás Mia - Főnix Dojo</v>
      </c>
      <c r="R743" s="154" t="s">
        <v>636</v>
      </c>
      <c r="S743" s="154" t="str">
        <f t="shared" si="263"/>
        <v>Főnix Dojo</v>
      </c>
      <c r="T743" s="154" t="s">
        <v>645</v>
      </c>
      <c r="U743" s="154" t="s">
        <v>796</v>
      </c>
      <c r="V743" s="154"/>
    </row>
    <row r="744" spans="1:22" s="158" customFormat="1" x14ac:dyDescent="0.3">
      <c r="A744" s="154" t="s">
        <v>777</v>
      </c>
      <c r="B744" s="155" t="s">
        <v>154</v>
      </c>
      <c r="C744" s="154">
        <v>662</v>
      </c>
      <c r="D744" s="156" t="str">
        <f t="shared" si="269"/>
        <v>Kumite</v>
      </c>
      <c r="E744" s="156" t="str">
        <f t="shared" si="273"/>
        <v>Kumite, -, 45-200 kg, Gyerek 2. (11-12</v>
      </c>
      <c r="F744" s="156" t="s">
        <v>528</v>
      </c>
      <c r="G744" s="157" t="str">
        <f t="shared" si="274"/>
        <v>11</v>
      </c>
      <c r="H744" s="156" t="str">
        <f t="shared" si="275"/>
        <v>16 fős egyenes kiesés</v>
      </c>
      <c r="I744" s="157" t="str">
        <f>"5"</f>
        <v>5</v>
      </c>
      <c r="J744" s="156" t="str">
        <f>"Barta-Gaál Adóra"</f>
        <v>Barta-Gaál Adóra</v>
      </c>
      <c r="K744" s="156" t="str">
        <f>"BHMSE"</f>
        <v>BHMSE</v>
      </c>
      <c r="L744" s="156" t="str">
        <f t="shared" si="261"/>
        <v>HUN</v>
      </c>
      <c r="M744" s="163">
        <v>0</v>
      </c>
      <c r="N744" s="158" t="s">
        <v>704</v>
      </c>
      <c r="O744" s="154" t="s">
        <v>410</v>
      </c>
      <c r="P744" s="159">
        <v>46103</v>
      </c>
      <c r="Q744" s="154" t="str">
        <f t="shared" si="262"/>
        <v>Barta-Gaál Adóra - BHMSE</v>
      </c>
      <c r="R744" s="154" t="s">
        <v>636</v>
      </c>
      <c r="S744" s="154" t="str">
        <f t="shared" si="263"/>
        <v>BHMSE</v>
      </c>
      <c r="T744" s="154" t="s">
        <v>645</v>
      </c>
      <c r="U744" s="154" t="s">
        <v>796</v>
      </c>
      <c r="V744" s="154"/>
    </row>
    <row r="745" spans="1:22" s="158" customFormat="1" x14ac:dyDescent="0.3">
      <c r="A745" s="154" t="s">
        <v>777</v>
      </c>
      <c r="B745" s="155" t="s">
        <v>154</v>
      </c>
      <c r="C745" s="154">
        <v>663</v>
      </c>
      <c r="D745" s="156" t="str">
        <f t="shared" si="269"/>
        <v>Kumite</v>
      </c>
      <c r="E745" s="156" t="str">
        <f t="shared" si="273"/>
        <v>Kumite, -, 45-200 kg, Gyerek 2. (11-12</v>
      </c>
      <c r="F745" s="156" t="s">
        <v>528</v>
      </c>
      <c r="G745" s="157" t="str">
        <f t="shared" si="274"/>
        <v>11</v>
      </c>
      <c r="H745" s="156" t="str">
        <f t="shared" si="275"/>
        <v>16 fős egyenes kiesés</v>
      </c>
      <c r="I745" s="157" t="str">
        <f>"6"</f>
        <v>6</v>
      </c>
      <c r="J745" s="156" t="str">
        <f>"Kocsis Nóra"</f>
        <v>Kocsis Nóra</v>
      </c>
      <c r="K745" s="156" t="str">
        <f>"Genbu dojo"</f>
        <v>Genbu dojo</v>
      </c>
      <c r="L745" s="156" t="str">
        <f t="shared" si="261"/>
        <v>HUN</v>
      </c>
      <c r="M745" s="163">
        <v>0</v>
      </c>
      <c r="N745" s="158" t="s">
        <v>704</v>
      </c>
      <c r="O745" s="154" t="s">
        <v>410</v>
      </c>
      <c r="P745" s="159">
        <v>46103</v>
      </c>
      <c r="Q745" s="154" t="str">
        <f t="shared" si="262"/>
        <v>Kocsis Nóra - Genbu dojo</v>
      </c>
      <c r="R745" s="154" t="s">
        <v>637</v>
      </c>
      <c r="S745" s="154" t="str">
        <f t="shared" si="263"/>
        <v>Genbu dojo</v>
      </c>
      <c r="T745" s="154" t="s">
        <v>645</v>
      </c>
      <c r="U745" s="154" t="s">
        <v>796</v>
      </c>
      <c r="V745" s="154"/>
    </row>
    <row r="746" spans="1:22" s="158" customFormat="1" x14ac:dyDescent="0.3">
      <c r="A746" s="154" t="s">
        <v>777</v>
      </c>
      <c r="B746" s="155" t="s">
        <v>154</v>
      </c>
      <c r="C746" s="154">
        <v>664</v>
      </c>
      <c r="D746" s="156" t="str">
        <f t="shared" si="269"/>
        <v>Kumite</v>
      </c>
      <c r="E746" s="156" t="str">
        <f t="shared" si="273"/>
        <v>Kumite, -, 45-200 kg, Gyerek 2. (11-12</v>
      </c>
      <c r="F746" s="156" t="s">
        <v>528</v>
      </c>
      <c r="G746" s="157" t="str">
        <f t="shared" si="274"/>
        <v>11</v>
      </c>
      <c r="H746" s="156" t="str">
        <f t="shared" si="275"/>
        <v>16 fős egyenes kiesés</v>
      </c>
      <c r="I746" s="157" t="str">
        <f>"7-8"</f>
        <v>7-8</v>
      </c>
      <c r="J746" s="156" t="str">
        <f>"Szabó Lilla"</f>
        <v>Szabó Lilla</v>
      </c>
      <c r="K746" s="156" t="str">
        <f>"ShinzóDojo"</f>
        <v>ShinzóDojo</v>
      </c>
      <c r="L746" s="156" t="str">
        <f t="shared" si="261"/>
        <v>HUN</v>
      </c>
      <c r="M746" s="163">
        <v>3</v>
      </c>
      <c r="O746" s="154" t="s">
        <v>410</v>
      </c>
      <c r="P746" s="159">
        <v>46103</v>
      </c>
      <c r="Q746" s="154" t="str">
        <f t="shared" si="262"/>
        <v>Szabó Lilla - ShinzóDojo</v>
      </c>
      <c r="R746" s="154" t="s">
        <v>636</v>
      </c>
      <c r="S746" s="154" t="str">
        <f t="shared" si="263"/>
        <v>ShinzóDojo</v>
      </c>
      <c r="T746" s="154" t="s">
        <v>645</v>
      </c>
      <c r="U746" s="154" t="s">
        <v>796</v>
      </c>
      <c r="V746" s="154"/>
    </row>
    <row r="747" spans="1:22" s="158" customFormat="1" x14ac:dyDescent="0.3">
      <c r="A747" s="154" t="s">
        <v>777</v>
      </c>
      <c r="B747" s="155" t="s">
        <v>154</v>
      </c>
      <c r="C747" s="154">
        <v>665</v>
      </c>
      <c r="D747" s="156" t="str">
        <f t="shared" si="269"/>
        <v>Kumite</v>
      </c>
      <c r="E747" s="156" t="str">
        <f t="shared" si="273"/>
        <v>Kumite, -, 45-200 kg, Gyerek 2. (11-12</v>
      </c>
      <c r="F747" s="156" t="s">
        <v>528</v>
      </c>
      <c r="G747" s="157" t="str">
        <f t="shared" si="274"/>
        <v>11</v>
      </c>
      <c r="H747" s="156" t="str">
        <f t="shared" si="275"/>
        <v>16 fős egyenes kiesés</v>
      </c>
      <c r="I747" s="157" t="str">
        <f>"7-8"</f>
        <v>7-8</v>
      </c>
      <c r="J747" s="156" t="str">
        <f>"Dászkál Dorottya"</f>
        <v>Dászkál Dorottya</v>
      </c>
      <c r="K747" s="156" t="str">
        <f>"Shogun"</f>
        <v>Shogun</v>
      </c>
      <c r="L747" s="156" t="str">
        <f t="shared" si="261"/>
        <v>HUN</v>
      </c>
      <c r="M747" s="163">
        <v>3</v>
      </c>
      <c r="O747" s="154" t="s">
        <v>410</v>
      </c>
      <c r="P747" s="159">
        <v>46103</v>
      </c>
      <c r="Q747" s="154" t="str">
        <f t="shared" si="262"/>
        <v>Dászkál Dorottya - Shogun</v>
      </c>
      <c r="R747" s="154" t="s">
        <v>636</v>
      </c>
      <c r="S747" s="154" t="str">
        <f t="shared" si="263"/>
        <v>Shogun</v>
      </c>
      <c r="T747" s="154" t="s">
        <v>645</v>
      </c>
      <c r="U747" s="154" t="s">
        <v>796</v>
      </c>
      <c r="V747" s="154"/>
    </row>
    <row r="748" spans="1:22" s="158" customFormat="1" x14ac:dyDescent="0.3">
      <c r="A748" s="154" t="s">
        <v>777</v>
      </c>
      <c r="B748" s="155" t="s">
        <v>154</v>
      </c>
      <c r="C748" s="154">
        <v>666</v>
      </c>
      <c r="D748" s="156" t="str">
        <f t="shared" si="269"/>
        <v>Kumite</v>
      </c>
      <c r="E748" s="156" t="str">
        <f t="shared" si="273"/>
        <v>Kumite, -, 45-200 kg, Gyerek 2. (11-12</v>
      </c>
      <c r="F748" s="156" t="s">
        <v>528</v>
      </c>
      <c r="G748" s="157" t="str">
        <f t="shared" si="274"/>
        <v>11</v>
      </c>
      <c r="H748" s="156" t="str">
        <f t="shared" si="275"/>
        <v>16 fős egyenes kiesés</v>
      </c>
      <c r="I748" s="157" t="str">
        <f>"10"</f>
        <v>10</v>
      </c>
      <c r="J748" s="156" t="str">
        <f>"Garamszegi Szófia"</f>
        <v>Garamszegi Szófia</v>
      </c>
      <c r="K748" s="156" t="str">
        <f>"WARRIORS TEAM"</f>
        <v>WARRIORS TEAM</v>
      </c>
      <c r="L748" s="156" t="str">
        <f t="shared" si="261"/>
        <v>HUN</v>
      </c>
      <c r="M748" s="163">
        <v>0</v>
      </c>
      <c r="O748" s="154" t="s">
        <v>410</v>
      </c>
      <c r="P748" s="159">
        <v>46103</v>
      </c>
      <c r="Q748" s="154" t="str">
        <f t="shared" si="262"/>
        <v>Garamszegi Szófia - WARRIORS TEAM</v>
      </c>
      <c r="R748" s="154" t="s">
        <v>636</v>
      </c>
      <c r="S748" s="154" t="str">
        <f t="shared" si="263"/>
        <v>WARRIORS TEAM</v>
      </c>
      <c r="T748" s="154" t="s">
        <v>645</v>
      </c>
      <c r="U748" s="154" t="s">
        <v>796</v>
      </c>
      <c r="V748" s="154"/>
    </row>
    <row r="749" spans="1:22" s="158" customFormat="1" x14ac:dyDescent="0.3">
      <c r="A749" s="154" t="s">
        <v>777</v>
      </c>
      <c r="B749" s="155" t="s">
        <v>154</v>
      </c>
      <c r="C749" s="154">
        <v>667</v>
      </c>
      <c r="D749" s="156" t="str">
        <f t="shared" si="269"/>
        <v>Kumite</v>
      </c>
      <c r="E749" s="156" t="str">
        <f t="shared" si="273"/>
        <v>Kumite, -, 45-200 kg, Gyerek 2. (11-12</v>
      </c>
      <c r="F749" s="156" t="s">
        <v>528</v>
      </c>
      <c r="G749" s="157" t="str">
        <f t="shared" si="274"/>
        <v>11</v>
      </c>
      <c r="H749" s="156" t="str">
        <f t="shared" si="275"/>
        <v>16 fős egyenes kiesés</v>
      </c>
      <c r="I749" s="157" t="str">
        <f>"11-16"</f>
        <v>11-16</v>
      </c>
      <c r="J749" s="156" t="str">
        <f>"Papp Dorottya"</f>
        <v>Papp Dorottya</v>
      </c>
      <c r="K749" s="156" t="str">
        <f>"Rokku KKSE"</f>
        <v>Rokku KKSE</v>
      </c>
      <c r="L749" s="156" t="str">
        <f t="shared" si="261"/>
        <v>HUN</v>
      </c>
      <c r="M749" s="163">
        <v>0</v>
      </c>
      <c r="O749" s="154" t="s">
        <v>410</v>
      </c>
      <c r="P749" s="159">
        <v>46103</v>
      </c>
      <c r="Q749" s="154" t="str">
        <f t="shared" si="262"/>
        <v>Papp Dorottya - Rokku KKSE</v>
      </c>
      <c r="R749" s="154" t="s">
        <v>636</v>
      </c>
      <c r="S749" s="154" t="str">
        <f t="shared" si="263"/>
        <v>Rokku KKSE</v>
      </c>
      <c r="T749" s="154" t="s">
        <v>645</v>
      </c>
      <c r="U749" s="154" t="s">
        <v>796</v>
      </c>
      <c r="V749" s="154"/>
    </row>
    <row r="750" spans="1:22" s="158" customFormat="1" x14ac:dyDescent="0.3">
      <c r="A750" s="154" t="s">
        <v>777</v>
      </c>
      <c r="B750" s="155" t="s">
        <v>154</v>
      </c>
      <c r="C750" s="154">
        <v>668</v>
      </c>
      <c r="D750" s="156" t="str">
        <f t="shared" si="269"/>
        <v>Kumite</v>
      </c>
      <c r="E750" s="156" t="str">
        <f t="shared" si="273"/>
        <v>Kumite, -, 45-200 kg, Gyerek 2. (11-12</v>
      </c>
      <c r="F750" s="156" t="s">
        <v>528</v>
      </c>
      <c r="G750" s="157" t="str">
        <f t="shared" si="274"/>
        <v>11</v>
      </c>
      <c r="H750" s="156" t="str">
        <f t="shared" si="275"/>
        <v>16 fős egyenes kiesés</v>
      </c>
      <c r="I750" s="157" t="str">
        <f>"11-16"</f>
        <v>11-16</v>
      </c>
      <c r="J750" s="156" t="str">
        <f>"Sajtos Luca"</f>
        <v>Sajtos Luca</v>
      </c>
      <c r="K750" s="156" t="str">
        <f>"Kisvárda KKDOSC"</f>
        <v>Kisvárda KKDOSC</v>
      </c>
      <c r="L750" s="156" t="str">
        <f t="shared" si="261"/>
        <v>HUN</v>
      </c>
      <c r="M750" s="163">
        <v>0</v>
      </c>
      <c r="O750" s="154" t="s">
        <v>410</v>
      </c>
      <c r="P750" s="159">
        <v>46103</v>
      </c>
      <c r="Q750" s="154" t="str">
        <f t="shared" si="262"/>
        <v>Sajtos Luca - Kisvárda KKDOSC</v>
      </c>
      <c r="R750" s="154" t="s">
        <v>636</v>
      </c>
      <c r="S750" s="154" t="str">
        <f t="shared" si="263"/>
        <v>Kisvárda KKDOSC</v>
      </c>
      <c r="T750" s="154" t="s">
        <v>645</v>
      </c>
      <c r="U750" s="154" t="s">
        <v>796</v>
      </c>
      <c r="V750" s="154"/>
    </row>
    <row r="751" spans="1:22" s="158" customFormat="1" x14ac:dyDescent="0.3">
      <c r="A751" s="154" t="s">
        <v>777</v>
      </c>
      <c r="B751" s="155" t="s">
        <v>154</v>
      </c>
      <c r="C751" s="154">
        <v>669</v>
      </c>
      <c r="D751" s="156" t="str">
        <f t="shared" si="269"/>
        <v>Kumite</v>
      </c>
      <c r="E751" s="156" t="str">
        <f t="shared" ref="E751:E756" si="276">"Kumite, -, 40-45 kg, Gyerek 2. (11-12"</f>
        <v>Kumite, -, 40-45 kg, Gyerek 2. (11-12</v>
      </c>
      <c r="F751" s="156" t="s">
        <v>523</v>
      </c>
      <c r="G751" s="157" t="str">
        <f t="shared" ref="G751:G756" si="277">"6"</f>
        <v>6</v>
      </c>
      <c r="H751" s="156" t="str">
        <f t="shared" ref="H751:H756" si="278">"6 fős vegyes"</f>
        <v>6 fős vegyes</v>
      </c>
      <c r="I751" s="157" t="str">
        <f>"1"</f>
        <v>1</v>
      </c>
      <c r="J751" s="156" t="str">
        <f>"MOLNÁR MINKA"</f>
        <v>MOLNÁR MINKA</v>
      </c>
      <c r="K751" s="156" t="str">
        <f>"Victory"</f>
        <v>Victory</v>
      </c>
      <c r="L751" s="156" t="str">
        <f t="shared" si="261"/>
        <v>HUN</v>
      </c>
      <c r="M751" s="163">
        <v>0</v>
      </c>
      <c r="O751" s="154" t="s">
        <v>410</v>
      </c>
      <c r="P751" s="159">
        <v>46103</v>
      </c>
      <c r="Q751" s="154" t="str">
        <f t="shared" si="262"/>
        <v>MOLNÁR MINKA - Victory</v>
      </c>
      <c r="R751" s="154" t="s">
        <v>636</v>
      </c>
      <c r="S751" s="154" t="str">
        <f t="shared" si="263"/>
        <v>Victory</v>
      </c>
      <c r="T751" s="154" t="s">
        <v>645</v>
      </c>
      <c r="U751" s="154" t="s">
        <v>796</v>
      </c>
      <c r="V751" s="154"/>
    </row>
    <row r="752" spans="1:22" s="158" customFormat="1" x14ac:dyDescent="0.3">
      <c r="A752" s="154" t="s">
        <v>777</v>
      </c>
      <c r="B752" s="155" t="s">
        <v>154</v>
      </c>
      <c r="C752" s="154">
        <v>670</v>
      </c>
      <c r="D752" s="156" t="str">
        <f t="shared" si="269"/>
        <v>Kumite</v>
      </c>
      <c r="E752" s="156" t="str">
        <f t="shared" si="276"/>
        <v>Kumite, -, 40-45 kg, Gyerek 2. (11-12</v>
      </c>
      <c r="F752" s="156" t="s">
        <v>523</v>
      </c>
      <c r="G752" s="157" t="str">
        <f t="shared" si="277"/>
        <v>6</v>
      </c>
      <c r="H752" s="156" t="str">
        <f t="shared" si="278"/>
        <v>6 fős vegyes</v>
      </c>
      <c r="I752" s="157" t="str">
        <f>"2"</f>
        <v>2</v>
      </c>
      <c r="J752" s="156" t="str">
        <f>"Baranya Lilla"</f>
        <v>Baranya Lilla</v>
      </c>
      <c r="K752" s="156" t="str">
        <f>"KSE Tarján"</f>
        <v>KSE Tarján</v>
      </c>
      <c r="L752" s="156" t="str">
        <f t="shared" si="261"/>
        <v>HUN</v>
      </c>
      <c r="M752" s="163">
        <v>0</v>
      </c>
      <c r="O752" s="154" t="s">
        <v>410</v>
      </c>
      <c r="P752" s="159">
        <v>46103</v>
      </c>
      <c r="Q752" s="154" t="str">
        <f t="shared" si="262"/>
        <v>Baranya Lilla - KSE Tarján</v>
      </c>
      <c r="R752" s="154" t="s">
        <v>636</v>
      </c>
      <c r="S752" s="154" t="str">
        <f t="shared" si="263"/>
        <v>KSE Tarján</v>
      </c>
      <c r="T752" s="154" t="s">
        <v>645</v>
      </c>
      <c r="U752" s="154" t="s">
        <v>796</v>
      </c>
      <c r="V752" s="154"/>
    </row>
    <row r="753" spans="1:22" s="158" customFormat="1" x14ac:dyDescent="0.3">
      <c r="A753" s="154" t="s">
        <v>777</v>
      </c>
      <c r="B753" s="155" t="s">
        <v>154</v>
      </c>
      <c r="C753" s="154">
        <v>671</v>
      </c>
      <c r="D753" s="156" t="str">
        <f t="shared" si="269"/>
        <v>Kumite</v>
      </c>
      <c r="E753" s="156" t="str">
        <f t="shared" si="276"/>
        <v>Kumite, -, 40-45 kg, Gyerek 2. (11-12</v>
      </c>
      <c r="F753" s="156" t="s">
        <v>523</v>
      </c>
      <c r="G753" s="157" t="str">
        <f t="shared" si="277"/>
        <v>6</v>
      </c>
      <c r="H753" s="156" t="str">
        <f t="shared" si="278"/>
        <v>6 fős vegyes</v>
      </c>
      <c r="I753" s="157" t="str">
        <f>"3"</f>
        <v>3</v>
      </c>
      <c r="J753" s="156" t="str">
        <f>"Vig Boglárka"</f>
        <v>Vig Boglárka</v>
      </c>
      <c r="K753" s="156" t="str">
        <f>"VTSE"</f>
        <v>VTSE</v>
      </c>
      <c r="L753" s="156" t="str">
        <f t="shared" si="261"/>
        <v>HUN</v>
      </c>
      <c r="M753" s="163">
        <v>0</v>
      </c>
      <c r="O753" s="154" t="s">
        <v>410</v>
      </c>
      <c r="P753" s="159">
        <v>46103</v>
      </c>
      <c r="Q753" s="154" t="str">
        <f t="shared" si="262"/>
        <v>Vig Boglárka - VTSE</v>
      </c>
      <c r="R753" s="154" t="s">
        <v>637</v>
      </c>
      <c r="S753" s="154" t="str">
        <f t="shared" si="263"/>
        <v>VTSE</v>
      </c>
      <c r="T753" s="154" t="s">
        <v>645</v>
      </c>
      <c r="U753" s="154" t="s">
        <v>796</v>
      </c>
      <c r="V753" s="154"/>
    </row>
    <row r="754" spans="1:22" s="158" customFormat="1" x14ac:dyDescent="0.3">
      <c r="A754" s="154" t="s">
        <v>777</v>
      </c>
      <c r="B754" s="155" t="s">
        <v>154</v>
      </c>
      <c r="C754" s="154">
        <v>672</v>
      </c>
      <c r="D754" s="156" t="str">
        <f t="shared" si="269"/>
        <v>Kumite</v>
      </c>
      <c r="E754" s="156" t="str">
        <f t="shared" si="276"/>
        <v>Kumite, -, 40-45 kg, Gyerek 2. (11-12</v>
      </c>
      <c r="F754" s="156" t="s">
        <v>523</v>
      </c>
      <c r="G754" s="157" t="str">
        <f t="shared" si="277"/>
        <v>6</v>
      </c>
      <c r="H754" s="156" t="str">
        <f t="shared" si="278"/>
        <v>6 fős vegyes</v>
      </c>
      <c r="I754" s="157" t="str">
        <f>"4"</f>
        <v>4</v>
      </c>
      <c r="J754" s="156" t="str">
        <f>"Tóth Arina Bejke"</f>
        <v>Tóth Arina Bejke</v>
      </c>
      <c r="K754" s="156" t="str">
        <f>"Nagykátai Bushido SE"</f>
        <v>Nagykátai Bushido SE</v>
      </c>
      <c r="L754" s="156" t="str">
        <f t="shared" si="261"/>
        <v>HUN</v>
      </c>
      <c r="M754" s="163">
        <v>0</v>
      </c>
      <c r="O754" s="154" t="s">
        <v>410</v>
      </c>
      <c r="P754" s="159">
        <v>46103</v>
      </c>
      <c r="Q754" s="154" t="str">
        <f t="shared" si="262"/>
        <v>Tóth Arina Bejke - Nagykátai Bushido SE</v>
      </c>
      <c r="R754" s="154" t="s">
        <v>636</v>
      </c>
      <c r="S754" s="154" t="str">
        <f t="shared" si="263"/>
        <v>Nagykátai Bushido SE</v>
      </c>
      <c r="T754" s="154" t="s">
        <v>645</v>
      </c>
      <c r="U754" s="154" t="s">
        <v>796</v>
      </c>
      <c r="V754" s="154"/>
    </row>
    <row r="755" spans="1:22" s="158" customFormat="1" x14ac:dyDescent="0.3">
      <c r="A755" s="154" t="s">
        <v>777</v>
      </c>
      <c r="B755" s="155" t="s">
        <v>154</v>
      </c>
      <c r="C755" s="154">
        <v>673</v>
      </c>
      <c r="D755" s="156" t="str">
        <f t="shared" si="269"/>
        <v>Kumite</v>
      </c>
      <c r="E755" s="156" t="str">
        <f t="shared" si="276"/>
        <v>Kumite, -, 40-45 kg, Gyerek 2. (11-12</v>
      </c>
      <c r="F755" s="156" t="s">
        <v>523</v>
      </c>
      <c r="G755" s="157" t="str">
        <f t="shared" si="277"/>
        <v>6</v>
      </c>
      <c r="H755" s="156" t="str">
        <f t="shared" si="278"/>
        <v>6 fős vegyes</v>
      </c>
      <c r="I755" s="157" t="str">
        <f>"5"</f>
        <v>5</v>
      </c>
      <c r="J755" s="156" t="str">
        <f>"Szombath Jázmin"</f>
        <v>Szombath Jázmin</v>
      </c>
      <c r="K755" s="156" t="str">
        <f>"Főnix Dojo"</f>
        <v>Főnix Dojo</v>
      </c>
      <c r="L755" s="156" t="str">
        <f t="shared" si="261"/>
        <v>HUN</v>
      </c>
      <c r="M755" s="163">
        <v>0</v>
      </c>
      <c r="O755" s="154" t="s">
        <v>410</v>
      </c>
      <c r="P755" s="159">
        <v>46103</v>
      </c>
      <c r="Q755" s="154" t="str">
        <f t="shared" si="262"/>
        <v>Szombath Jázmin - Főnix Dojo</v>
      </c>
      <c r="R755" s="154" t="s">
        <v>636</v>
      </c>
      <c r="S755" s="154" t="str">
        <f t="shared" si="263"/>
        <v>Főnix Dojo</v>
      </c>
      <c r="T755" s="154" t="s">
        <v>645</v>
      </c>
      <c r="U755" s="154" t="s">
        <v>796</v>
      </c>
      <c r="V755" s="154"/>
    </row>
    <row r="756" spans="1:22" s="158" customFormat="1" x14ac:dyDescent="0.3">
      <c r="A756" s="154" t="s">
        <v>777</v>
      </c>
      <c r="B756" s="155" t="s">
        <v>154</v>
      </c>
      <c r="C756" s="154">
        <v>674</v>
      </c>
      <c r="D756" s="156" t="str">
        <f t="shared" si="269"/>
        <v>Kumite</v>
      </c>
      <c r="E756" s="156" t="str">
        <f t="shared" si="276"/>
        <v>Kumite, -, 40-45 kg, Gyerek 2. (11-12</v>
      </c>
      <c r="F756" s="156" t="s">
        <v>523</v>
      </c>
      <c r="G756" s="157" t="str">
        <f t="shared" si="277"/>
        <v>6</v>
      </c>
      <c r="H756" s="156" t="str">
        <f t="shared" si="278"/>
        <v>6 fős vegyes</v>
      </c>
      <c r="I756" s="157" t="str">
        <f>"6"</f>
        <v>6</v>
      </c>
      <c r="J756" s="156" t="str">
        <f>"Rabi-Szita Emese"</f>
        <v>Rabi-Szita Emese</v>
      </c>
      <c r="K756" s="156" t="str">
        <f>"Meiyo dojo"</f>
        <v>Meiyo dojo</v>
      </c>
      <c r="L756" s="156" t="str">
        <f t="shared" si="261"/>
        <v>HUN</v>
      </c>
      <c r="M756" s="163">
        <v>0</v>
      </c>
      <c r="O756" s="154" t="s">
        <v>410</v>
      </c>
      <c r="P756" s="159">
        <v>46103</v>
      </c>
      <c r="Q756" s="154" t="str">
        <f t="shared" si="262"/>
        <v>Rabi-Szita Emese - Meiyo dojo</v>
      </c>
      <c r="R756" s="154" t="s">
        <v>636</v>
      </c>
      <c r="S756" s="154" t="str">
        <f t="shared" si="263"/>
        <v>Meiyo dojo</v>
      </c>
      <c r="T756" s="154" t="s">
        <v>645</v>
      </c>
      <c r="U756" s="154" t="s">
        <v>796</v>
      </c>
      <c r="V756" s="154"/>
    </row>
    <row r="757" spans="1:22" s="158" customFormat="1" x14ac:dyDescent="0.3">
      <c r="A757" s="154" t="s">
        <v>777</v>
      </c>
      <c r="B757" s="155" t="s">
        <v>154</v>
      </c>
      <c r="C757" s="154">
        <v>675</v>
      </c>
      <c r="D757" s="156" t="str">
        <f t="shared" ref="D757:D772" si="279">"Kata"</f>
        <v>Kata</v>
      </c>
      <c r="E757" s="156" t="str">
        <f t="shared" ref="E757:E772" si="280">"Kata, -, 0-100 kg, Gyerek 2. (11-12"</f>
        <v>Kata, -, 0-100 kg, Gyerek 2. (11-12</v>
      </c>
      <c r="F757" s="156" t="s">
        <v>526</v>
      </c>
      <c r="G757" s="157" t="str">
        <f t="shared" ref="G757:G772" si="281">"16"</f>
        <v>16</v>
      </c>
      <c r="H757" s="156" t="str">
        <f t="shared" ref="H757:H772" si="282">"16 fős egyenes kiesés"</f>
        <v>16 fős egyenes kiesés</v>
      </c>
      <c r="I757" s="157" t="str">
        <f>"1"</f>
        <v>1</v>
      </c>
      <c r="J757" s="156" t="str">
        <f>"MOLNÁR MINKA"</f>
        <v>MOLNÁR MINKA</v>
      </c>
      <c r="K757" s="156" t="str">
        <f>"Victory"</f>
        <v>Victory</v>
      </c>
      <c r="L757" s="156" t="str">
        <f t="shared" si="261"/>
        <v>HUN</v>
      </c>
      <c r="M757" s="163">
        <v>8</v>
      </c>
      <c r="O757" s="154" t="s">
        <v>410</v>
      </c>
      <c r="P757" s="159">
        <v>46103</v>
      </c>
      <c r="Q757" s="154" t="str">
        <f t="shared" si="262"/>
        <v>MOLNÁR MINKA - Victory</v>
      </c>
      <c r="R757" s="154" t="s">
        <v>636</v>
      </c>
      <c r="S757" s="154" t="str">
        <f t="shared" si="263"/>
        <v>Victory</v>
      </c>
      <c r="T757" s="154" t="s">
        <v>645</v>
      </c>
      <c r="U757" s="154" t="s">
        <v>796</v>
      </c>
      <c r="V757" s="154"/>
    </row>
    <row r="758" spans="1:22" s="158" customFormat="1" x14ac:dyDescent="0.3">
      <c r="A758" s="154" t="s">
        <v>777</v>
      </c>
      <c r="B758" s="155" t="s">
        <v>154</v>
      </c>
      <c r="C758" s="154">
        <v>676</v>
      </c>
      <c r="D758" s="156" t="str">
        <f t="shared" si="279"/>
        <v>Kata</v>
      </c>
      <c r="E758" s="156" t="str">
        <f t="shared" si="280"/>
        <v>Kata, -, 0-100 kg, Gyerek 2. (11-12</v>
      </c>
      <c r="F758" s="156" t="s">
        <v>526</v>
      </c>
      <c r="G758" s="157" t="str">
        <f t="shared" si="281"/>
        <v>16</v>
      </c>
      <c r="H758" s="156" t="str">
        <f t="shared" si="282"/>
        <v>16 fős egyenes kiesés</v>
      </c>
      <c r="I758" s="157" t="str">
        <f>"2"</f>
        <v>2</v>
      </c>
      <c r="J758" s="156" t="str">
        <f>"Fagbola Esther"</f>
        <v>Fagbola Esther</v>
      </c>
      <c r="K758" s="156" t="str">
        <f>"Victory"</f>
        <v>Victory</v>
      </c>
      <c r="L758" s="156" t="str">
        <f t="shared" si="261"/>
        <v>HUN</v>
      </c>
      <c r="M758" s="163">
        <v>6</v>
      </c>
      <c r="O758" s="154" t="s">
        <v>410</v>
      </c>
      <c r="P758" s="159">
        <v>46103</v>
      </c>
      <c r="Q758" s="154" t="str">
        <f t="shared" si="262"/>
        <v>Fagbola Esther - Victory</v>
      </c>
      <c r="R758" s="154" t="s">
        <v>636</v>
      </c>
      <c r="S758" s="154" t="str">
        <f t="shared" si="263"/>
        <v>Victory</v>
      </c>
      <c r="T758" s="154" t="s">
        <v>645</v>
      </c>
      <c r="U758" s="154" t="s">
        <v>796</v>
      </c>
      <c r="V758" s="154"/>
    </row>
    <row r="759" spans="1:22" s="158" customFormat="1" x14ac:dyDescent="0.3">
      <c r="A759" s="154" t="s">
        <v>777</v>
      </c>
      <c r="B759" s="155" t="s">
        <v>154</v>
      </c>
      <c r="C759" s="154">
        <v>677</v>
      </c>
      <c r="D759" s="156" t="str">
        <f t="shared" si="279"/>
        <v>Kata</v>
      </c>
      <c r="E759" s="156" t="str">
        <f t="shared" si="280"/>
        <v>Kata, -, 0-100 kg, Gyerek 2. (11-12</v>
      </c>
      <c r="F759" s="156" t="s">
        <v>526</v>
      </c>
      <c r="G759" s="157" t="str">
        <f t="shared" si="281"/>
        <v>16</v>
      </c>
      <c r="H759" s="156" t="str">
        <f t="shared" si="282"/>
        <v>16 fős egyenes kiesés</v>
      </c>
      <c r="I759" s="157" t="str">
        <f>"3"</f>
        <v>3</v>
      </c>
      <c r="J759" s="156" t="str">
        <f>"Damu Zsanett"</f>
        <v>Damu Zsanett</v>
      </c>
      <c r="K759" s="156" t="str">
        <f>"Kagami"</f>
        <v>Kagami</v>
      </c>
      <c r="L759" s="156" t="str">
        <f t="shared" si="261"/>
        <v>HUN</v>
      </c>
      <c r="M759" s="163">
        <v>4</v>
      </c>
      <c r="O759" s="154" t="s">
        <v>410</v>
      </c>
      <c r="P759" s="159">
        <v>46103</v>
      </c>
      <c r="Q759" s="154" t="str">
        <f t="shared" si="262"/>
        <v>Damu Zsanett - Kagami</v>
      </c>
      <c r="R759" s="154" t="s">
        <v>636</v>
      </c>
      <c r="S759" s="154" t="str">
        <f t="shared" si="263"/>
        <v>Kagami</v>
      </c>
      <c r="T759" s="154" t="s">
        <v>645</v>
      </c>
      <c r="U759" s="154" t="s">
        <v>796</v>
      </c>
      <c r="V759" s="154"/>
    </row>
    <row r="760" spans="1:22" s="158" customFormat="1" x14ac:dyDescent="0.3">
      <c r="A760" s="154" t="s">
        <v>777</v>
      </c>
      <c r="B760" s="155" t="s">
        <v>154</v>
      </c>
      <c r="C760" s="154">
        <v>678</v>
      </c>
      <c r="D760" s="156" t="str">
        <f t="shared" si="279"/>
        <v>Kata</v>
      </c>
      <c r="E760" s="156" t="str">
        <f t="shared" si="280"/>
        <v>Kata, -, 0-100 kg, Gyerek 2. (11-12</v>
      </c>
      <c r="F760" s="156" t="s">
        <v>526</v>
      </c>
      <c r="G760" s="157" t="str">
        <f t="shared" si="281"/>
        <v>16</v>
      </c>
      <c r="H760" s="156" t="str">
        <f t="shared" si="282"/>
        <v>16 fős egyenes kiesés</v>
      </c>
      <c r="I760" s="157" t="str">
        <f>"3"</f>
        <v>3</v>
      </c>
      <c r="J760" s="156" t="str">
        <f>"Jakubovics Nikolett"</f>
        <v>Jakubovics Nikolett</v>
      </c>
      <c r="K760" s="156" t="str">
        <f>"BHMSE"</f>
        <v>BHMSE</v>
      </c>
      <c r="L760" s="156" t="str">
        <f t="shared" si="261"/>
        <v>HUN</v>
      </c>
      <c r="M760" s="163">
        <v>4</v>
      </c>
      <c r="O760" s="154" t="s">
        <v>410</v>
      </c>
      <c r="P760" s="159">
        <v>46103</v>
      </c>
      <c r="Q760" s="154" t="str">
        <f t="shared" si="262"/>
        <v>Jakubovics Nikolett - BHMSE</v>
      </c>
      <c r="R760" s="154" t="s">
        <v>636</v>
      </c>
      <c r="S760" s="154" t="str">
        <f t="shared" si="263"/>
        <v>BHMSE</v>
      </c>
      <c r="T760" s="154" t="s">
        <v>645</v>
      </c>
      <c r="U760" s="154" t="s">
        <v>796</v>
      </c>
      <c r="V760" s="154"/>
    </row>
    <row r="761" spans="1:22" s="158" customFormat="1" x14ac:dyDescent="0.3">
      <c r="A761" s="154" t="s">
        <v>777</v>
      </c>
      <c r="B761" s="155" t="s">
        <v>154</v>
      </c>
      <c r="C761" s="154">
        <v>679</v>
      </c>
      <c r="D761" s="156" t="str">
        <f t="shared" si="279"/>
        <v>Kata</v>
      </c>
      <c r="E761" s="156" t="str">
        <f t="shared" si="280"/>
        <v>Kata, -, 0-100 kg, Gyerek 2. (11-12</v>
      </c>
      <c r="F761" s="156" t="s">
        <v>526</v>
      </c>
      <c r="G761" s="157" t="str">
        <f t="shared" si="281"/>
        <v>16</v>
      </c>
      <c r="H761" s="156" t="str">
        <f t="shared" si="282"/>
        <v>16 fős egyenes kiesés</v>
      </c>
      <c r="I761" s="157" t="str">
        <f>"5"</f>
        <v>5</v>
      </c>
      <c r="J761" s="156" t="str">
        <f>"Varga Zoé"</f>
        <v>Varga Zoé</v>
      </c>
      <c r="K761" s="156" t="str">
        <f>"Kemecse SE"</f>
        <v>Kemecse SE</v>
      </c>
      <c r="L761" s="156" t="str">
        <f t="shared" si="261"/>
        <v>HUN</v>
      </c>
      <c r="M761" s="163">
        <v>2</v>
      </c>
      <c r="O761" s="154" t="s">
        <v>410</v>
      </c>
      <c r="P761" s="159">
        <v>46103</v>
      </c>
      <c r="Q761" s="154" t="str">
        <f t="shared" si="262"/>
        <v>Varga Zoé - Kemecse SE</v>
      </c>
      <c r="R761" s="154" t="s">
        <v>636</v>
      </c>
      <c r="S761" s="154" t="str">
        <f t="shared" si="263"/>
        <v>Kemecse SE</v>
      </c>
      <c r="T761" s="154" t="s">
        <v>645</v>
      </c>
      <c r="U761" s="154" t="s">
        <v>796</v>
      </c>
      <c r="V761" s="154"/>
    </row>
    <row r="762" spans="1:22" s="158" customFormat="1" x14ac:dyDescent="0.3">
      <c r="A762" s="154" t="s">
        <v>777</v>
      </c>
      <c r="B762" s="155" t="s">
        <v>154</v>
      </c>
      <c r="C762" s="154">
        <v>680</v>
      </c>
      <c r="D762" s="156" t="str">
        <f t="shared" si="279"/>
        <v>Kata</v>
      </c>
      <c r="E762" s="156" t="str">
        <f t="shared" si="280"/>
        <v>Kata, -, 0-100 kg, Gyerek 2. (11-12</v>
      </c>
      <c r="F762" s="156" t="s">
        <v>526</v>
      </c>
      <c r="G762" s="157" t="str">
        <f t="shared" si="281"/>
        <v>16</v>
      </c>
      <c r="H762" s="156" t="str">
        <f t="shared" si="282"/>
        <v>16 fős egyenes kiesés</v>
      </c>
      <c r="I762" s="157" t="str">
        <f>"6"</f>
        <v>6</v>
      </c>
      <c r="J762" s="156" t="str">
        <f>"Domján-Herbat Réka"</f>
        <v>Domján-Herbat Réka</v>
      </c>
      <c r="K762" s="156" t="str">
        <f>"BHMSE"</f>
        <v>BHMSE</v>
      </c>
      <c r="L762" s="156" t="str">
        <f t="shared" si="261"/>
        <v>HUN</v>
      </c>
      <c r="M762" s="163">
        <v>2</v>
      </c>
      <c r="O762" s="154" t="s">
        <v>410</v>
      </c>
      <c r="P762" s="159">
        <v>46103</v>
      </c>
      <c r="Q762" s="154" t="str">
        <f t="shared" si="262"/>
        <v>Domján-Herbat Réka - BHMSE</v>
      </c>
      <c r="R762" s="154" t="s">
        <v>636</v>
      </c>
      <c r="S762" s="154" t="str">
        <f t="shared" si="263"/>
        <v>BHMSE</v>
      </c>
      <c r="T762" s="154" t="s">
        <v>645</v>
      </c>
      <c r="U762" s="154" t="s">
        <v>796</v>
      </c>
      <c r="V762" s="154"/>
    </row>
    <row r="763" spans="1:22" s="158" customFormat="1" x14ac:dyDescent="0.3">
      <c r="A763" s="154" t="s">
        <v>777</v>
      </c>
      <c r="B763" s="155" t="s">
        <v>154</v>
      </c>
      <c r="C763" s="154">
        <v>681</v>
      </c>
      <c r="D763" s="156" t="str">
        <f t="shared" si="279"/>
        <v>Kata</v>
      </c>
      <c r="E763" s="156" t="str">
        <f t="shared" si="280"/>
        <v>Kata, -, 0-100 kg, Gyerek 2. (11-12</v>
      </c>
      <c r="F763" s="156" t="s">
        <v>526</v>
      </c>
      <c r="G763" s="157" t="str">
        <f t="shared" si="281"/>
        <v>16</v>
      </c>
      <c r="H763" s="156" t="str">
        <f t="shared" si="282"/>
        <v>16 fős egyenes kiesés</v>
      </c>
      <c r="I763" s="157" t="str">
        <f>"7-8"</f>
        <v>7-8</v>
      </c>
      <c r="J763" s="156" t="str">
        <f>"Cserép Nóra"</f>
        <v>Cserép Nóra</v>
      </c>
      <c r="K763" s="156" t="str">
        <f>"Kelemen-Team"</f>
        <v>Kelemen-Team</v>
      </c>
      <c r="L763" s="156" t="str">
        <f t="shared" si="261"/>
        <v>HUN</v>
      </c>
      <c r="M763" s="163">
        <v>2</v>
      </c>
      <c r="O763" s="154" t="s">
        <v>410</v>
      </c>
      <c r="P763" s="159">
        <v>46103</v>
      </c>
      <c r="Q763" s="154" t="str">
        <f t="shared" si="262"/>
        <v>Cserép Nóra - Kelemen-Team</v>
      </c>
      <c r="R763" s="154" t="s">
        <v>636</v>
      </c>
      <c r="S763" s="154" t="str">
        <f t="shared" si="263"/>
        <v>Kelemen-Team</v>
      </c>
      <c r="T763" s="154" t="s">
        <v>645</v>
      </c>
      <c r="U763" s="154" t="s">
        <v>796</v>
      </c>
      <c r="V763" s="154"/>
    </row>
    <row r="764" spans="1:22" s="158" customFormat="1" x14ac:dyDescent="0.3">
      <c r="A764" s="154" t="s">
        <v>777</v>
      </c>
      <c r="B764" s="155" t="s">
        <v>154</v>
      </c>
      <c r="C764" s="154">
        <v>682</v>
      </c>
      <c r="D764" s="156" t="str">
        <f t="shared" si="279"/>
        <v>Kata</v>
      </c>
      <c r="E764" s="156" t="str">
        <f t="shared" si="280"/>
        <v>Kata, -, 0-100 kg, Gyerek 2. (11-12</v>
      </c>
      <c r="F764" s="156" t="s">
        <v>526</v>
      </c>
      <c r="G764" s="157" t="str">
        <f t="shared" si="281"/>
        <v>16</v>
      </c>
      <c r="H764" s="156" t="str">
        <f t="shared" si="282"/>
        <v>16 fős egyenes kiesés</v>
      </c>
      <c r="I764" s="157" t="str">
        <f>"7-8"</f>
        <v>7-8</v>
      </c>
      <c r="J764" s="156" t="str">
        <f>"Rabi-Szita Emese"</f>
        <v>Rabi-Szita Emese</v>
      </c>
      <c r="K764" s="156" t="str">
        <f>"Meiyo dojo"</f>
        <v>Meiyo dojo</v>
      </c>
      <c r="L764" s="156" t="str">
        <f t="shared" si="261"/>
        <v>HUN</v>
      </c>
      <c r="M764" s="163">
        <v>2</v>
      </c>
      <c r="O764" s="154" t="s">
        <v>410</v>
      </c>
      <c r="P764" s="159">
        <v>46103</v>
      </c>
      <c r="Q764" s="154" t="str">
        <f t="shared" si="262"/>
        <v>Rabi-Szita Emese - Meiyo dojo</v>
      </c>
      <c r="R764" s="154" t="s">
        <v>636</v>
      </c>
      <c r="S764" s="154" t="str">
        <f t="shared" si="263"/>
        <v>Meiyo dojo</v>
      </c>
      <c r="T764" s="154" t="s">
        <v>645</v>
      </c>
      <c r="U764" s="154" t="s">
        <v>796</v>
      </c>
      <c r="V764" s="154"/>
    </row>
    <row r="765" spans="1:22" s="158" customFormat="1" x14ac:dyDescent="0.3">
      <c r="A765" s="154" t="s">
        <v>777</v>
      </c>
      <c r="B765" s="155" t="s">
        <v>154</v>
      </c>
      <c r="C765" s="154">
        <v>683</v>
      </c>
      <c r="D765" s="156" t="str">
        <f t="shared" si="279"/>
        <v>Kata</v>
      </c>
      <c r="E765" s="156" t="str">
        <f t="shared" si="280"/>
        <v>Kata, -, 0-100 kg, Gyerek 2. (11-12</v>
      </c>
      <c r="F765" s="156" t="s">
        <v>526</v>
      </c>
      <c r="G765" s="157" t="str">
        <f t="shared" si="281"/>
        <v>16</v>
      </c>
      <c r="H765" s="156" t="str">
        <f t="shared" si="282"/>
        <v>16 fős egyenes kiesés</v>
      </c>
      <c r="I765" s="157" t="str">
        <f>"9"</f>
        <v>9</v>
      </c>
      <c r="J765" s="156" t="str">
        <f>"Téglási Kamilla"</f>
        <v>Téglási Kamilla</v>
      </c>
      <c r="K765" s="156" t="str">
        <f>"Kisvárda KKDOSC"</f>
        <v>Kisvárda KKDOSC</v>
      </c>
      <c r="L765" s="156" t="str">
        <f t="shared" si="261"/>
        <v>HUN</v>
      </c>
      <c r="M765" s="163">
        <v>0</v>
      </c>
      <c r="O765" s="154" t="s">
        <v>410</v>
      </c>
      <c r="P765" s="159">
        <v>46103</v>
      </c>
      <c r="Q765" s="154" t="str">
        <f t="shared" si="262"/>
        <v>Téglási Kamilla - Kisvárda KKDOSC</v>
      </c>
      <c r="R765" s="154" t="s">
        <v>636</v>
      </c>
      <c r="S765" s="154" t="str">
        <f t="shared" si="263"/>
        <v>Kisvárda KKDOSC</v>
      </c>
      <c r="T765" s="154" t="s">
        <v>645</v>
      </c>
      <c r="U765" s="154" t="s">
        <v>796</v>
      </c>
      <c r="V765" s="154"/>
    </row>
    <row r="766" spans="1:22" s="158" customFormat="1" x14ac:dyDescent="0.3">
      <c r="A766" s="154" t="s">
        <v>777</v>
      </c>
      <c r="B766" s="155" t="s">
        <v>154</v>
      </c>
      <c r="C766" s="154">
        <v>684</v>
      </c>
      <c r="D766" s="156" t="str">
        <f t="shared" si="279"/>
        <v>Kata</v>
      </c>
      <c r="E766" s="156" t="str">
        <f t="shared" si="280"/>
        <v>Kata, -, 0-100 kg, Gyerek 2. (11-12</v>
      </c>
      <c r="F766" s="156" t="s">
        <v>526</v>
      </c>
      <c r="G766" s="157" t="str">
        <f t="shared" si="281"/>
        <v>16</v>
      </c>
      <c r="H766" s="156" t="str">
        <f t="shared" si="282"/>
        <v>16 fős egyenes kiesés</v>
      </c>
      <c r="I766" s="157" t="str">
        <f>"10"</f>
        <v>10</v>
      </c>
      <c r="J766" s="156" t="str">
        <f>"Huszár Hanna"</f>
        <v>Huszár Hanna</v>
      </c>
      <c r="K766" s="156" t="str">
        <f>"Kemecse SE"</f>
        <v>Kemecse SE</v>
      </c>
      <c r="L766" s="156" t="str">
        <f t="shared" si="261"/>
        <v>HUN</v>
      </c>
      <c r="M766" s="163">
        <v>0</v>
      </c>
      <c r="O766" s="154" t="s">
        <v>410</v>
      </c>
      <c r="P766" s="159">
        <v>46103</v>
      </c>
      <c r="Q766" s="154" t="str">
        <f t="shared" si="262"/>
        <v>Huszár Hanna - Kemecse SE</v>
      </c>
      <c r="R766" s="154" t="s">
        <v>636</v>
      </c>
      <c r="S766" s="154" t="str">
        <f t="shared" si="263"/>
        <v>Kemecse SE</v>
      </c>
      <c r="T766" s="154" t="s">
        <v>645</v>
      </c>
      <c r="U766" s="154" t="s">
        <v>796</v>
      </c>
      <c r="V766" s="154"/>
    </row>
    <row r="767" spans="1:22" s="158" customFormat="1" x14ac:dyDescent="0.3">
      <c r="A767" s="154" t="s">
        <v>777</v>
      </c>
      <c r="B767" s="155" t="s">
        <v>154</v>
      </c>
      <c r="C767" s="154">
        <v>685</v>
      </c>
      <c r="D767" s="156" t="str">
        <f t="shared" si="279"/>
        <v>Kata</v>
      </c>
      <c r="E767" s="156" t="str">
        <f t="shared" si="280"/>
        <v>Kata, -, 0-100 kg, Gyerek 2. (11-12</v>
      </c>
      <c r="F767" s="156" t="s">
        <v>526</v>
      </c>
      <c r="G767" s="157" t="str">
        <f t="shared" si="281"/>
        <v>16</v>
      </c>
      <c r="H767" s="156" t="str">
        <f t="shared" si="282"/>
        <v>16 fős egyenes kiesés</v>
      </c>
      <c r="I767" s="157" t="str">
        <f t="shared" ref="I767:I772" si="283">"11-16"</f>
        <v>11-16</v>
      </c>
      <c r="J767" s="156" t="str">
        <f>"Gergácz Izabella"</f>
        <v>Gergácz Izabella</v>
      </c>
      <c r="K767" s="156" t="str">
        <f>"Beledi KÉSZ SE"</f>
        <v>Beledi KÉSZ SE</v>
      </c>
      <c r="L767" s="156" t="str">
        <f t="shared" si="261"/>
        <v>HUN</v>
      </c>
      <c r="M767" s="163">
        <v>0</v>
      </c>
      <c r="O767" s="154" t="s">
        <v>410</v>
      </c>
      <c r="P767" s="159">
        <v>46103</v>
      </c>
      <c r="Q767" s="154" t="str">
        <f t="shared" si="262"/>
        <v>Gergácz Izabella - Beledi KÉSZ SE</v>
      </c>
      <c r="R767" s="154" t="s">
        <v>637</v>
      </c>
      <c r="S767" s="154" t="str">
        <f t="shared" si="263"/>
        <v>Beledi KÉSZ SE</v>
      </c>
      <c r="T767" s="154" t="s">
        <v>645</v>
      </c>
      <c r="U767" s="154" t="s">
        <v>796</v>
      </c>
      <c r="V767" s="154"/>
    </row>
    <row r="768" spans="1:22" s="158" customFormat="1" x14ac:dyDescent="0.3">
      <c r="A768" s="154" t="s">
        <v>777</v>
      </c>
      <c r="B768" s="155" t="s">
        <v>154</v>
      </c>
      <c r="C768" s="154">
        <v>686</v>
      </c>
      <c r="D768" s="156" t="str">
        <f t="shared" si="279"/>
        <v>Kata</v>
      </c>
      <c r="E768" s="156" t="str">
        <f t="shared" si="280"/>
        <v>Kata, -, 0-100 kg, Gyerek 2. (11-12</v>
      </c>
      <c r="F768" s="156" t="s">
        <v>526</v>
      </c>
      <c r="G768" s="157" t="str">
        <f t="shared" si="281"/>
        <v>16</v>
      </c>
      <c r="H768" s="156" t="str">
        <f t="shared" si="282"/>
        <v>16 fős egyenes kiesés</v>
      </c>
      <c r="I768" s="157" t="str">
        <f t="shared" si="283"/>
        <v>11-16</v>
      </c>
      <c r="J768" s="156" t="str">
        <f>"Fürjesi Eszter"</f>
        <v>Fürjesi Eszter</v>
      </c>
      <c r="K768" s="156" t="str">
        <f>"Shogun"</f>
        <v>Shogun</v>
      </c>
      <c r="L768" s="156" t="str">
        <f t="shared" si="261"/>
        <v>HUN</v>
      </c>
      <c r="M768" s="163">
        <v>0</v>
      </c>
      <c r="O768" s="154" t="s">
        <v>410</v>
      </c>
      <c r="P768" s="159">
        <v>46103</v>
      </c>
      <c r="Q768" s="154" t="str">
        <f t="shared" si="262"/>
        <v>Fürjesi Eszter - Shogun</v>
      </c>
      <c r="R768" s="154" t="s">
        <v>636</v>
      </c>
      <c r="S768" s="154" t="str">
        <f t="shared" si="263"/>
        <v>Shogun</v>
      </c>
      <c r="T768" s="154" t="s">
        <v>645</v>
      </c>
      <c r="U768" s="154" t="s">
        <v>796</v>
      </c>
      <c r="V768" s="154"/>
    </row>
    <row r="769" spans="1:22" s="158" customFormat="1" x14ac:dyDescent="0.3">
      <c r="A769" s="154" t="s">
        <v>777</v>
      </c>
      <c r="B769" s="155" t="s">
        <v>154</v>
      </c>
      <c r="C769" s="154">
        <v>687</v>
      </c>
      <c r="D769" s="156" t="str">
        <f t="shared" si="279"/>
        <v>Kata</v>
      </c>
      <c r="E769" s="156" t="str">
        <f t="shared" si="280"/>
        <v>Kata, -, 0-100 kg, Gyerek 2. (11-12</v>
      </c>
      <c r="F769" s="156" t="s">
        <v>526</v>
      </c>
      <c r="G769" s="157" t="str">
        <f t="shared" si="281"/>
        <v>16</v>
      </c>
      <c r="H769" s="156" t="str">
        <f t="shared" si="282"/>
        <v>16 fős egyenes kiesés</v>
      </c>
      <c r="I769" s="157" t="str">
        <f t="shared" si="283"/>
        <v>11-16</v>
      </c>
      <c r="J769" s="156" t="str">
        <f>"Rudi Noémi"</f>
        <v>Rudi Noémi</v>
      </c>
      <c r="K769" s="156" t="str">
        <f>"Rakurai"</f>
        <v>Rakurai</v>
      </c>
      <c r="L769" s="156" t="str">
        <f t="shared" si="261"/>
        <v>HUN</v>
      </c>
      <c r="M769" s="163">
        <v>0</v>
      </c>
      <c r="O769" s="154" t="s">
        <v>410</v>
      </c>
      <c r="P769" s="159">
        <v>46103</v>
      </c>
      <c r="Q769" s="154" t="str">
        <f t="shared" si="262"/>
        <v>Rudi Noémi - Rakurai</v>
      </c>
      <c r="R769" s="154" t="s">
        <v>636</v>
      </c>
      <c r="S769" s="154" t="str">
        <f t="shared" si="263"/>
        <v>Rakurai</v>
      </c>
      <c r="T769" s="154" t="s">
        <v>645</v>
      </c>
      <c r="U769" s="154" t="s">
        <v>796</v>
      </c>
      <c r="V769" s="154"/>
    </row>
    <row r="770" spans="1:22" s="158" customFormat="1" x14ac:dyDescent="0.3">
      <c r="A770" s="154" t="s">
        <v>777</v>
      </c>
      <c r="B770" s="155" t="s">
        <v>154</v>
      </c>
      <c r="C770" s="154">
        <v>688</v>
      </c>
      <c r="D770" s="156" t="str">
        <f t="shared" si="279"/>
        <v>Kata</v>
      </c>
      <c r="E770" s="156" t="str">
        <f t="shared" si="280"/>
        <v>Kata, -, 0-100 kg, Gyerek 2. (11-12</v>
      </c>
      <c r="F770" s="156" t="s">
        <v>526</v>
      </c>
      <c r="G770" s="157" t="str">
        <f t="shared" si="281"/>
        <v>16</v>
      </c>
      <c r="H770" s="156" t="str">
        <f t="shared" si="282"/>
        <v>16 fős egyenes kiesés</v>
      </c>
      <c r="I770" s="157" t="str">
        <f t="shared" si="283"/>
        <v>11-16</v>
      </c>
      <c r="J770" s="156" t="str">
        <f>"Spanjevic Frida"</f>
        <v>Spanjevic Frida</v>
      </c>
      <c r="K770" s="156" t="str">
        <f>"BHMSE"</f>
        <v>BHMSE</v>
      </c>
      <c r="L770" s="156" t="str">
        <f t="shared" si="261"/>
        <v>HUN</v>
      </c>
      <c r="M770" s="163">
        <v>0</v>
      </c>
      <c r="O770" s="154" t="s">
        <v>410</v>
      </c>
      <c r="P770" s="159">
        <v>46103</v>
      </c>
      <c r="Q770" s="154" t="str">
        <f t="shared" si="262"/>
        <v>Spanjevic Frida - BHMSE</v>
      </c>
      <c r="R770" s="154" t="s">
        <v>636</v>
      </c>
      <c r="S770" s="154" t="str">
        <f t="shared" si="263"/>
        <v>BHMSE</v>
      </c>
      <c r="T770" s="154" t="s">
        <v>645</v>
      </c>
      <c r="U770" s="154" t="s">
        <v>796</v>
      </c>
      <c r="V770" s="154"/>
    </row>
    <row r="771" spans="1:22" s="158" customFormat="1" x14ac:dyDescent="0.3">
      <c r="A771" s="154" t="s">
        <v>777</v>
      </c>
      <c r="B771" s="155" t="s">
        <v>154</v>
      </c>
      <c r="C771" s="154">
        <v>689</v>
      </c>
      <c r="D771" s="156" t="str">
        <f t="shared" si="279"/>
        <v>Kata</v>
      </c>
      <c r="E771" s="156" t="str">
        <f t="shared" si="280"/>
        <v>Kata, -, 0-100 kg, Gyerek 2. (11-12</v>
      </c>
      <c r="F771" s="156" t="s">
        <v>526</v>
      </c>
      <c r="G771" s="157" t="str">
        <f t="shared" si="281"/>
        <v>16</v>
      </c>
      <c r="H771" s="156" t="str">
        <f t="shared" si="282"/>
        <v>16 fős egyenes kiesés</v>
      </c>
      <c r="I771" s="157" t="str">
        <f t="shared" si="283"/>
        <v>11-16</v>
      </c>
      <c r="J771" s="156" t="str">
        <f>"Kis Emma"</f>
        <v>Kis Emma</v>
      </c>
      <c r="K771" s="156" t="str">
        <f>"Shogun"</f>
        <v>Shogun</v>
      </c>
      <c r="L771" s="156" t="str">
        <f t="shared" si="261"/>
        <v>HUN</v>
      </c>
      <c r="M771" s="163">
        <v>0</v>
      </c>
      <c r="O771" s="154" t="s">
        <v>410</v>
      </c>
      <c r="P771" s="159">
        <v>46103</v>
      </c>
      <c r="Q771" s="154" t="str">
        <f t="shared" si="262"/>
        <v>Kis Emma - Shogun</v>
      </c>
      <c r="R771" s="154" t="s">
        <v>636</v>
      </c>
      <c r="S771" s="154" t="str">
        <f t="shared" si="263"/>
        <v>Shogun</v>
      </c>
      <c r="T771" s="154" t="s">
        <v>645</v>
      </c>
      <c r="U771" s="154" t="s">
        <v>796</v>
      </c>
      <c r="V771" s="154"/>
    </row>
    <row r="772" spans="1:22" s="158" customFormat="1" x14ac:dyDescent="0.3">
      <c r="A772" s="154" t="s">
        <v>777</v>
      </c>
      <c r="B772" s="155" t="s">
        <v>154</v>
      </c>
      <c r="C772" s="154">
        <v>690</v>
      </c>
      <c r="D772" s="156" t="str">
        <f t="shared" si="279"/>
        <v>Kata</v>
      </c>
      <c r="E772" s="156" t="str">
        <f t="shared" si="280"/>
        <v>Kata, -, 0-100 kg, Gyerek 2. (11-12</v>
      </c>
      <c r="F772" s="156" t="s">
        <v>526</v>
      </c>
      <c r="G772" s="157" t="str">
        <f t="shared" si="281"/>
        <v>16</v>
      </c>
      <c r="H772" s="156" t="str">
        <f t="shared" si="282"/>
        <v>16 fős egyenes kiesés</v>
      </c>
      <c r="I772" s="157" t="str">
        <f t="shared" si="283"/>
        <v>11-16</v>
      </c>
      <c r="J772" s="156" t="str">
        <f>"Barta-Gaál Adóra"</f>
        <v>Barta-Gaál Adóra</v>
      </c>
      <c r="K772" s="156" t="str">
        <f>"BHMSE"</f>
        <v>BHMSE</v>
      </c>
      <c r="L772" s="156" t="str">
        <f t="shared" ref="L772:L835" si="284">"HUN"</f>
        <v>HUN</v>
      </c>
      <c r="M772" s="163">
        <v>0</v>
      </c>
      <c r="O772" s="154" t="s">
        <v>410</v>
      </c>
      <c r="P772" s="159">
        <v>46103</v>
      </c>
      <c r="Q772" s="154" t="str">
        <f t="shared" ref="Q772:Q835" si="285">J772&amp;" - "&amp;K772</f>
        <v>Barta-Gaál Adóra - BHMSE</v>
      </c>
      <c r="R772" s="154" t="s">
        <v>636</v>
      </c>
      <c r="S772" s="154" t="str">
        <f t="shared" ref="S772:S835" si="286">K772</f>
        <v>BHMSE</v>
      </c>
      <c r="T772" s="154" t="s">
        <v>645</v>
      </c>
      <c r="U772" s="154" t="s">
        <v>796</v>
      </c>
      <c r="V772" s="154"/>
    </row>
    <row r="773" spans="1:22" s="158" customFormat="1" x14ac:dyDescent="0.3">
      <c r="A773" s="154" t="s">
        <v>777</v>
      </c>
      <c r="B773" s="155" t="s">
        <v>154</v>
      </c>
      <c r="C773" s="154">
        <v>691</v>
      </c>
      <c r="D773" s="156" t="str">
        <f t="shared" ref="D773:D826" si="287">"Kumite"</f>
        <v>Kumite</v>
      </c>
      <c r="E773" s="156" t="str">
        <f t="shared" ref="E773:E779" si="288">"Kumite, -, 0-40 kg, Serdülő (13-14"</f>
        <v>Kumite, -, 0-40 kg, Serdülő (13-14</v>
      </c>
      <c r="F773" s="156" t="s">
        <v>529</v>
      </c>
      <c r="G773" s="157" t="str">
        <f t="shared" ref="G773:G779" si="289">"7"</f>
        <v>7</v>
      </c>
      <c r="H773" s="156" t="str">
        <f t="shared" ref="H773:H779" si="290">"8 fős egyenes kiesés"</f>
        <v>8 fős egyenes kiesés</v>
      </c>
      <c r="I773" s="157" t="str">
        <f>"1"</f>
        <v>1</v>
      </c>
      <c r="J773" s="156" t="str">
        <f>"Veress Dávid"</f>
        <v>Veress Dávid</v>
      </c>
      <c r="K773" s="156" t="str">
        <f>"KHSE"</f>
        <v>KHSE</v>
      </c>
      <c r="L773" s="156" t="str">
        <f t="shared" si="284"/>
        <v>HUN</v>
      </c>
      <c r="M773" s="163">
        <v>8</v>
      </c>
      <c r="O773" s="154" t="s">
        <v>410</v>
      </c>
      <c r="P773" s="159">
        <v>46103</v>
      </c>
      <c r="Q773" s="154" t="str">
        <f t="shared" si="285"/>
        <v>Veress Dávid - KHSE</v>
      </c>
      <c r="R773" s="154" t="s">
        <v>636</v>
      </c>
      <c r="S773" s="154" t="str">
        <f t="shared" si="286"/>
        <v>KHSE</v>
      </c>
      <c r="T773" s="154" t="s">
        <v>645</v>
      </c>
      <c r="U773" s="154" t="s">
        <v>797</v>
      </c>
      <c r="V773" s="154"/>
    </row>
    <row r="774" spans="1:22" s="158" customFormat="1" x14ac:dyDescent="0.3">
      <c r="A774" s="154" t="s">
        <v>777</v>
      </c>
      <c r="B774" s="155" t="s">
        <v>154</v>
      </c>
      <c r="C774" s="154">
        <v>692</v>
      </c>
      <c r="D774" s="156" t="str">
        <f t="shared" si="287"/>
        <v>Kumite</v>
      </c>
      <c r="E774" s="156" t="str">
        <f t="shared" si="288"/>
        <v>Kumite, -, 0-40 kg, Serdülő (13-14</v>
      </c>
      <c r="F774" s="156" t="s">
        <v>529</v>
      </c>
      <c r="G774" s="157" t="str">
        <f t="shared" si="289"/>
        <v>7</v>
      </c>
      <c r="H774" s="156" t="str">
        <f t="shared" si="290"/>
        <v>8 fős egyenes kiesés</v>
      </c>
      <c r="I774" s="157" t="str">
        <f>"2"</f>
        <v>2</v>
      </c>
      <c r="J774" s="156" t="str">
        <f>"Melczner Márk"</f>
        <v>Melczner Márk</v>
      </c>
      <c r="K774" s="156" t="str">
        <f>"Victory"</f>
        <v>Victory</v>
      </c>
      <c r="L774" s="156" t="str">
        <f t="shared" si="284"/>
        <v>HUN</v>
      </c>
      <c r="M774" s="163">
        <v>6</v>
      </c>
      <c r="O774" s="154" t="s">
        <v>410</v>
      </c>
      <c r="P774" s="159">
        <v>46103</v>
      </c>
      <c r="Q774" s="154" t="str">
        <f t="shared" si="285"/>
        <v>Melczner Márk - Victory</v>
      </c>
      <c r="R774" s="154" t="s">
        <v>636</v>
      </c>
      <c r="S774" s="154" t="str">
        <f t="shared" si="286"/>
        <v>Victory</v>
      </c>
      <c r="T774" s="154" t="s">
        <v>645</v>
      </c>
      <c r="U774" s="154" t="s">
        <v>797</v>
      </c>
      <c r="V774" s="154"/>
    </row>
    <row r="775" spans="1:22" s="158" customFormat="1" x14ac:dyDescent="0.3">
      <c r="A775" s="154" t="s">
        <v>777</v>
      </c>
      <c r="B775" s="155" t="s">
        <v>154</v>
      </c>
      <c r="C775" s="154">
        <v>693</v>
      </c>
      <c r="D775" s="156" t="str">
        <f t="shared" si="287"/>
        <v>Kumite</v>
      </c>
      <c r="E775" s="156" t="str">
        <f t="shared" si="288"/>
        <v>Kumite, -, 0-40 kg, Serdülő (13-14</v>
      </c>
      <c r="F775" s="156" t="s">
        <v>529</v>
      </c>
      <c r="G775" s="157" t="str">
        <f t="shared" si="289"/>
        <v>7</v>
      </c>
      <c r="H775" s="156" t="str">
        <f t="shared" si="290"/>
        <v>8 fős egyenes kiesés</v>
      </c>
      <c r="I775" s="157" t="str">
        <f>"3"</f>
        <v>3</v>
      </c>
      <c r="J775" s="156" t="str">
        <f>"Kis Ádám Zsolt"</f>
        <v>Kis Ádám Zsolt</v>
      </c>
      <c r="K775" s="156" t="str">
        <f>"KYO Fighter SE"</f>
        <v>KYO Fighter SE</v>
      </c>
      <c r="L775" s="156" t="str">
        <f t="shared" si="284"/>
        <v>HUN</v>
      </c>
      <c r="M775" s="163">
        <v>4</v>
      </c>
      <c r="O775" s="154" t="s">
        <v>410</v>
      </c>
      <c r="P775" s="159">
        <v>46103</v>
      </c>
      <c r="Q775" s="154" t="str">
        <f t="shared" si="285"/>
        <v>Kis Ádám Zsolt - KYO Fighter SE</v>
      </c>
      <c r="R775" s="154" t="s">
        <v>636</v>
      </c>
      <c r="S775" s="154" t="str">
        <f t="shared" si="286"/>
        <v>KYO Fighter SE</v>
      </c>
      <c r="T775" s="154" t="s">
        <v>645</v>
      </c>
      <c r="U775" s="154" t="s">
        <v>797</v>
      </c>
      <c r="V775" s="154"/>
    </row>
    <row r="776" spans="1:22" s="158" customFormat="1" x14ac:dyDescent="0.3">
      <c r="A776" s="154" t="s">
        <v>777</v>
      </c>
      <c r="B776" s="155" t="s">
        <v>154</v>
      </c>
      <c r="C776" s="154">
        <v>694</v>
      </c>
      <c r="D776" s="156" t="str">
        <f t="shared" si="287"/>
        <v>Kumite</v>
      </c>
      <c r="E776" s="156" t="str">
        <f t="shared" si="288"/>
        <v>Kumite, -, 0-40 kg, Serdülő (13-14</v>
      </c>
      <c r="F776" s="156" t="s">
        <v>529</v>
      </c>
      <c r="G776" s="157" t="str">
        <f t="shared" si="289"/>
        <v>7</v>
      </c>
      <c r="H776" s="156" t="str">
        <f t="shared" si="290"/>
        <v>8 fős egyenes kiesés</v>
      </c>
      <c r="I776" s="157" t="str">
        <f>"3"</f>
        <v>3</v>
      </c>
      <c r="J776" s="156" t="str">
        <f>"Sövér Levente"</f>
        <v>Sövér Levente</v>
      </c>
      <c r="K776" s="156" t="str">
        <f>"BHMSE"</f>
        <v>BHMSE</v>
      </c>
      <c r="L776" s="156" t="str">
        <f t="shared" si="284"/>
        <v>HUN</v>
      </c>
      <c r="M776" s="163">
        <v>0</v>
      </c>
      <c r="N776" s="158" t="s">
        <v>704</v>
      </c>
      <c r="O776" s="154" t="s">
        <v>410</v>
      </c>
      <c r="P776" s="159">
        <v>46103</v>
      </c>
      <c r="Q776" s="154" t="str">
        <f t="shared" si="285"/>
        <v>Sövér Levente - BHMSE</v>
      </c>
      <c r="R776" s="154" t="s">
        <v>636</v>
      </c>
      <c r="S776" s="154" t="str">
        <f t="shared" si="286"/>
        <v>BHMSE</v>
      </c>
      <c r="T776" s="154" t="s">
        <v>645</v>
      </c>
      <c r="U776" s="154" t="s">
        <v>797</v>
      </c>
      <c r="V776" s="154"/>
    </row>
    <row r="777" spans="1:22" s="158" customFormat="1" x14ac:dyDescent="0.3">
      <c r="A777" s="154" t="s">
        <v>777</v>
      </c>
      <c r="B777" s="155" t="s">
        <v>154</v>
      </c>
      <c r="C777" s="154">
        <v>695</v>
      </c>
      <c r="D777" s="156" t="str">
        <f t="shared" si="287"/>
        <v>Kumite</v>
      </c>
      <c r="E777" s="156" t="str">
        <f t="shared" si="288"/>
        <v>Kumite, -, 0-40 kg, Serdülő (13-14</v>
      </c>
      <c r="F777" s="156" t="s">
        <v>529</v>
      </c>
      <c r="G777" s="157" t="str">
        <f t="shared" si="289"/>
        <v>7</v>
      </c>
      <c r="H777" s="156" t="str">
        <f t="shared" si="290"/>
        <v>8 fős egyenes kiesés</v>
      </c>
      <c r="I777" s="157" t="str">
        <f>"5"</f>
        <v>5</v>
      </c>
      <c r="J777" s="156" t="str">
        <f>"Ungai Ferenc"</f>
        <v>Ungai Ferenc</v>
      </c>
      <c r="K777" s="156" t="str">
        <f>"Hajdúszoboszló"</f>
        <v>Hajdúszoboszló</v>
      </c>
      <c r="L777" s="156" t="str">
        <f t="shared" si="284"/>
        <v>HUN</v>
      </c>
      <c r="M777" s="163">
        <v>0</v>
      </c>
      <c r="O777" s="154" t="s">
        <v>410</v>
      </c>
      <c r="P777" s="159">
        <v>46103</v>
      </c>
      <c r="Q777" s="154" t="str">
        <f t="shared" si="285"/>
        <v>Ungai Ferenc - Hajdúszoboszló</v>
      </c>
      <c r="R777" s="154" t="s">
        <v>636</v>
      </c>
      <c r="S777" s="154" t="str">
        <f t="shared" si="286"/>
        <v>Hajdúszoboszló</v>
      </c>
      <c r="T777" s="154" t="s">
        <v>645</v>
      </c>
      <c r="U777" s="154" t="s">
        <v>797</v>
      </c>
      <c r="V777" s="154"/>
    </row>
    <row r="778" spans="1:22" s="158" customFormat="1" x14ac:dyDescent="0.3">
      <c r="A778" s="154" t="s">
        <v>777</v>
      </c>
      <c r="B778" s="155" t="s">
        <v>154</v>
      </c>
      <c r="C778" s="154">
        <v>696</v>
      </c>
      <c r="D778" s="156" t="str">
        <f t="shared" si="287"/>
        <v>Kumite</v>
      </c>
      <c r="E778" s="156" t="str">
        <f t="shared" si="288"/>
        <v>Kumite, -, 0-40 kg, Serdülő (13-14</v>
      </c>
      <c r="F778" s="156" t="s">
        <v>529</v>
      </c>
      <c r="G778" s="157" t="str">
        <f t="shared" si="289"/>
        <v>7</v>
      </c>
      <c r="H778" s="156" t="str">
        <f t="shared" si="290"/>
        <v>8 fős egyenes kiesés</v>
      </c>
      <c r="I778" s="157" t="str">
        <f>"6"</f>
        <v>6</v>
      </c>
      <c r="J778" s="156" t="str">
        <f>"Andrési Balázs"</f>
        <v>Andrési Balázs</v>
      </c>
      <c r="K778" s="156" t="str">
        <f>"KHSE"</f>
        <v>KHSE</v>
      </c>
      <c r="L778" s="156" t="str">
        <f t="shared" si="284"/>
        <v>HUN</v>
      </c>
      <c r="M778" s="163">
        <v>0</v>
      </c>
      <c r="O778" s="154" t="s">
        <v>410</v>
      </c>
      <c r="P778" s="159">
        <v>46103</v>
      </c>
      <c r="Q778" s="154" t="str">
        <f t="shared" si="285"/>
        <v>Andrési Balázs - KHSE</v>
      </c>
      <c r="R778" s="154" t="s">
        <v>636</v>
      </c>
      <c r="S778" s="154" t="str">
        <f t="shared" si="286"/>
        <v>KHSE</v>
      </c>
      <c r="T778" s="154" t="s">
        <v>645</v>
      </c>
      <c r="U778" s="154" t="s">
        <v>797</v>
      </c>
      <c r="V778" s="154"/>
    </row>
    <row r="779" spans="1:22" s="158" customFormat="1" x14ac:dyDescent="0.3">
      <c r="A779" s="154" t="s">
        <v>777</v>
      </c>
      <c r="B779" s="155" t="s">
        <v>154</v>
      </c>
      <c r="C779" s="154">
        <v>697</v>
      </c>
      <c r="D779" s="156" t="str">
        <f t="shared" si="287"/>
        <v>Kumite</v>
      </c>
      <c r="E779" s="156" t="str">
        <f t="shared" si="288"/>
        <v>Kumite, -, 0-40 kg, Serdülő (13-14</v>
      </c>
      <c r="F779" s="156" t="s">
        <v>529</v>
      </c>
      <c r="G779" s="157" t="str">
        <f t="shared" si="289"/>
        <v>7</v>
      </c>
      <c r="H779" s="156" t="str">
        <f t="shared" si="290"/>
        <v>8 fős egyenes kiesés</v>
      </c>
      <c r="I779" s="157" t="str">
        <f>"7-8"</f>
        <v>7-8</v>
      </c>
      <c r="J779" s="156" t="str">
        <f>"Kleé Krisztián"</f>
        <v>Kleé Krisztián</v>
      </c>
      <c r="K779" s="156" t="str">
        <f>"Rakurai"</f>
        <v>Rakurai</v>
      </c>
      <c r="L779" s="156" t="str">
        <f t="shared" si="284"/>
        <v>HUN</v>
      </c>
      <c r="M779" s="163">
        <v>0</v>
      </c>
      <c r="O779" s="154" t="s">
        <v>410</v>
      </c>
      <c r="P779" s="159">
        <v>46103</v>
      </c>
      <c r="Q779" s="154" t="str">
        <f t="shared" si="285"/>
        <v>Kleé Krisztián - Rakurai</v>
      </c>
      <c r="R779" s="154" t="s">
        <v>636</v>
      </c>
      <c r="S779" s="154" t="str">
        <f t="shared" si="286"/>
        <v>Rakurai</v>
      </c>
      <c r="T779" s="154" t="s">
        <v>645</v>
      </c>
      <c r="U779" s="154" t="s">
        <v>797</v>
      </c>
      <c r="V779" s="154"/>
    </row>
    <row r="780" spans="1:22" s="158" customFormat="1" x14ac:dyDescent="0.3">
      <c r="A780" s="154" t="s">
        <v>777</v>
      </c>
      <c r="B780" s="155" t="s">
        <v>154</v>
      </c>
      <c r="C780" s="154">
        <v>698</v>
      </c>
      <c r="D780" s="156" t="str">
        <f t="shared" si="287"/>
        <v>Kumite</v>
      </c>
      <c r="E780" s="156" t="str">
        <f t="shared" ref="E780:E787" si="291">"Kumite, -, 40-45 kg, Serdülő (13-14"</f>
        <v>Kumite, -, 40-45 kg, Serdülő (13-14</v>
      </c>
      <c r="F780" s="156" t="s">
        <v>530</v>
      </c>
      <c r="G780" s="157" t="str">
        <f t="shared" ref="G780:G797" si="292">"10"</f>
        <v>10</v>
      </c>
      <c r="H780" s="156" t="str">
        <f t="shared" ref="H780:H808" si="293">"16 fős egyenes kiesés"</f>
        <v>16 fős egyenes kiesés</v>
      </c>
      <c r="I780" s="157" t="str">
        <f>"1"</f>
        <v>1</v>
      </c>
      <c r="J780" s="156" t="str">
        <f>"Bárkovics Áron"</f>
        <v>Bárkovics Áron</v>
      </c>
      <c r="K780" s="156" t="str">
        <f>"KKE - Spartacus"</f>
        <v>KKE - Spartacus</v>
      </c>
      <c r="L780" s="156" t="str">
        <f t="shared" si="284"/>
        <v>HUN</v>
      </c>
      <c r="M780" s="163">
        <v>10</v>
      </c>
      <c r="O780" s="154" t="s">
        <v>410</v>
      </c>
      <c r="P780" s="159">
        <v>46103</v>
      </c>
      <c r="Q780" s="154" t="str">
        <f t="shared" si="285"/>
        <v>Bárkovics Áron - KKE - Spartacus</v>
      </c>
      <c r="R780" s="154" t="s">
        <v>636</v>
      </c>
      <c r="S780" s="154" t="str">
        <f t="shared" si="286"/>
        <v>KKE - Spartacus</v>
      </c>
      <c r="T780" s="154" t="s">
        <v>645</v>
      </c>
      <c r="U780" s="154" t="s">
        <v>797</v>
      </c>
      <c r="V780" s="154"/>
    </row>
    <row r="781" spans="1:22" s="158" customFormat="1" x14ac:dyDescent="0.3">
      <c r="A781" s="154" t="s">
        <v>777</v>
      </c>
      <c r="B781" s="155" t="s">
        <v>154</v>
      </c>
      <c r="C781" s="154">
        <v>699</v>
      </c>
      <c r="D781" s="156" t="str">
        <f t="shared" si="287"/>
        <v>Kumite</v>
      </c>
      <c r="E781" s="156" t="str">
        <f t="shared" si="291"/>
        <v>Kumite, -, 40-45 kg, Serdülő (13-14</v>
      </c>
      <c r="F781" s="156" t="s">
        <v>530</v>
      </c>
      <c r="G781" s="157" t="str">
        <f t="shared" si="292"/>
        <v>10</v>
      </c>
      <c r="H781" s="156" t="str">
        <f t="shared" si="293"/>
        <v>16 fős egyenes kiesés</v>
      </c>
      <c r="I781" s="157" t="str">
        <f>"2"</f>
        <v>2</v>
      </c>
      <c r="J781" s="156" t="str">
        <f>"Békési Nándor István"</f>
        <v>Békési Nándor István</v>
      </c>
      <c r="K781" s="156" t="str">
        <f>"Shogun"</f>
        <v>Shogun</v>
      </c>
      <c r="L781" s="156" t="str">
        <f t="shared" si="284"/>
        <v>HUN</v>
      </c>
      <c r="M781" s="163">
        <v>8</v>
      </c>
      <c r="O781" s="154" t="s">
        <v>410</v>
      </c>
      <c r="P781" s="159">
        <v>46103</v>
      </c>
      <c r="Q781" s="154" t="str">
        <f t="shared" si="285"/>
        <v>Békési Nándor István - Shogun</v>
      </c>
      <c r="R781" s="154" t="s">
        <v>636</v>
      </c>
      <c r="S781" s="154" t="str">
        <f t="shared" si="286"/>
        <v>Shogun</v>
      </c>
      <c r="T781" s="154" t="s">
        <v>645</v>
      </c>
      <c r="U781" s="154" t="s">
        <v>797</v>
      </c>
      <c r="V781" s="154"/>
    </row>
    <row r="782" spans="1:22" s="158" customFormat="1" x14ac:dyDescent="0.3">
      <c r="A782" s="154" t="s">
        <v>777</v>
      </c>
      <c r="B782" s="155" t="s">
        <v>154</v>
      </c>
      <c r="C782" s="154">
        <v>700</v>
      </c>
      <c r="D782" s="156" t="str">
        <f t="shared" si="287"/>
        <v>Kumite</v>
      </c>
      <c r="E782" s="156" t="str">
        <f t="shared" si="291"/>
        <v>Kumite, -, 40-45 kg, Serdülő (13-14</v>
      </c>
      <c r="F782" s="156" t="s">
        <v>530</v>
      </c>
      <c r="G782" s="157" t="str">
        <f t="shared" si="292"/>
        <v>10</v>
      </c>
      <c r="H782" s="156" t="str">
        <f t="shared" si="293"/>
        <v>16 fős egyenes kiesés</v>
      </c>
      <c r="I782" s="157" t="str">
        <f>"3"</f>
        <v>3</v>
      </c>
      <c r="J782" s="156" t="str">
        <f>"Takács Sárkány Balázs"</f>
        <v>Takács Sárkány Balázs</v>
      </c>
      <c r="K782" s="156" t="str">
        <f>"KHSE"</f>
        <v>KHSE</v>
      </c>
      <c r="L782" s="156" t="str">
        <f t="shared" si="284"/>
        <v>HUN</v>
      </c>
      <c r="M782" s="163">
        <v>6</v>
      </c>
      <c r="O782" s="154" t="s">
        <v>410</v>
      </c>
      <c r="P782" s="159">
        <v>46103</v>
      </c>
      <c r="Q782" s="154" t="str">
        <f t="shared" si="285"/>
        <v>Takács Sárkány Balázs - KHSE</v>
      </c>
      <c r="R782" s="154" t="s">
        <v>636</v>
      </c>
      <c r="S782" s="154" t="str">
        <f t="shared" si="286"/>
        <v>KHSE</v>
      </c>
      <c r="T782" s="154" t="s">
        <v>645</v>
      </c>
      <c r="U782" s="154" t="s">
        <v>797</v>
      </c>
      <c r="V782" s="154"/>
    </row>
    <row r="783" spans="1:22" s="158" customFormat="1" x14ac:dyDescent="0.3">
      <c r="A783" s="154" t="s">
        <v>777</v>
      </c>
      <c r="B783" s="155" t="s">
        <v>154</v>
      </c>
      <c r="C783" s="154">
        <v>701</v>
      </c>
      <c r="D783" s="156" t="str">
        <f t="shared" si="287"/>
        <v>Kumite</v>
      </c>
      <c r="E783" s="156" t="str">
        <f t="shared" si="291"/>
        <v>Kumite, -, 40-45 kg, Serdülő (13-14</v>
      </c>
      <c r="F783" s="156" t="s">
        <v>530</v>
      </c>
      <c r="G783" s="157" t="str">
        <f t="shared" si="292"/>
        <v>10</v>
      </c>
      <c r="H783" s="156" t="str">
        <f t="shared" si="293"/>
        <v>16 fős egyenes kiesés</v>
      </c>
      <c r="I783" s="157" t="str">
        <f>"3"</f>
        <v>3</v>
      </c>
      <c r="J783" s="156" t="str">
        <f>"Hidegh Flórián"</f>
        <v>Hidegh Flórián</v>
      </c>
      <c r="K783" s="156" t="str">
        <f>"Rakurai"</f>
        <v>Rakurai</v>
      </c>
      <c r="L783" s="156" t="str">
        <f t="shared" si="284"/>
        <v>HUN</v>
      </c>
      <c r="M783" s="163">
        <v>6</v>
      </c>
      <c r="O783" s="154" t="s">
        <v>410</v>
      </c>
      <c r="P783" s="159">
        <v>46103</v>
      </c>
      <c r="Q783" s="154" t="str">
        <f t="shared" si="285"/>
        <v>Hidegh Flórián - Rakurai</v>
      </c>
      <c r="R783" s="154" t="s">
        <v>636</v>
      </c>
      <c r="S783" s="154" t="str">
        <f t="shared" si="286"/>
        <v>Rakurai</v>
      </c>
      <c r="T783" s="154" t="s">
        <v>645</v>
      </c>
      <c r="U783" s="154" t="s">
        <v>797</v>
      </c>
      <c r="V783" s="154"/>
    </row>
    <row r="784" spans="1:22" s="158" customFormat="1" x14ac:dyDescent="0.3">
      <c r="A784" s="154" t="s">
        <v>777</v>
      </c>
      <c r="B784" s="155" t="s">
        <v>154</v>
      </c>
      <c r="C784" s="154">
        <v>702</v>
      </c>
      <c r="D784" s="156" t="str">
        <f t="shared" si="287"/>
        <v>Kumite</v>
      </c>
      <c r="E784" s="156" t="str">
        <f t="shared" si="291"/>
        <v>Kumite, -, 40-45 kg, Serdülő (13-14</v>
      </c>
      <c r="F784" s="156" t="s">
        <v>530</v>
      </c>
      <c r="G784" s="157" t="str">
        <f t="shared" si="292"/>
        <v>10</v>
      </c>
      <c r="H784" s="156" t="str">
        <f t="shared" si="293"/>
        <v>16 fős egyenes kiesés</v>
      </c>
      <c r="I784" s="157" t="str">
        <f>"5"</f>
        <v>5</v>
      </c>
      <c r="J784" s="156" t="str">
        <f>"Jankovics Marcell"</f>
        <v>Jankovics Marcell</v>
      </c>
      <c r="K784" s="156" t="str">
        <f>"Siófok KSE"</f>
        <v>Siófok KSE</v>
      </c>
      <c r="L784" s="156" t="str">
        <f t="shared" si="284"/>
        <v>HUN</v>
      </c>
      <c r="M784" s="163">
        <v>0</v>
      </c>
      <c r="N784" s="158" t="s">
        <v>704</v>
      </c>
      <c r="O784" s="154" t="s">
        <v>410</v>
      </c>
      <c r="P784" s="159">
        <v>46103</v>
      </c>
      <c r="Q784" s="154" t="str">
        <f t="shared" si="285"/>
        <v>Jankovics Marcell - Siófok KSE</v>
      </c>
      <c r="R784" s="154" t="s">
        <v>636</v>
      </c>
      <c r="S784" s="154" t="str">
        <f t="shared" si="286"/>
        <v>Siófok KSE</v>
      </c>
      <c r="T784" s="154" t="s">
        <v>645</v>
      </c>
      <c r="U784" s="154" t="s">
        <v>797</v>
      </c>
      <c r="V784" s="154"/>
    </row>
    <row r="785" spans="1:22" s="158" customFormat="1" x14ac:dyDescent="0.3">
      <c r="A785" s="154" t="s">
        <v>777</v>
      </c>
      <c r="B785" s="155" t="s">
        <v>154</v>
      </c>
      <c r="C785" s="154">
        <v>703</v>
      </c>
      <c r="D785" s="156" t="str">
        <f t="shared" si="287"/>
        <v>Kumite</v>
      </c>
      <c r="E785" s="156" t="str">
        <f t="shared" si="291"/>
        <v>Kumite, -, 40-45 kg, Serdülő (13-14</v>
      </c>
      <c r="F785" s="156" t="s">
        <v>530</v>
      </c>
      <c r="G785" s="157" t="str">
        <f t="shared" si="292"/>
        <v>10</v>
      </c>
      <c r="H785" s="156" t="str">
        <f t="shared" si="293"/>
        <v>16 fős egyenes kiesés</v>
      </c>
      <c r="I785" s="157" t="str">
        <f>"6"</f>
        <v>6</v>
      </c>
      <c r="J785" s="156" t="str">
        <f>"Rudi Gergő"</f>
        <v>Rudi Gergő</v>
      </c>
      <c r="K785" s="156" t="str">
        <f>"Rakurai"</f>
        <v>Rakurai</v>
      </c>
      <c r="L785" s="156" t="str">
        <f t="shared" si="284"/>
        <v>HUN</v>
      </c>
      <c r="M785" s="163">
        <v>0</v>
      </c>
      <c r="N785" s="158" t="s">
        <v>704</v>
      </c>
      <c r="O785" s="154" t="s">
        <v>410</v>
      </c>
      <c r="P785" s="159">
        <v>46103</v>
      </c>
      <c r="Q785" s="154" t="str">
        <f t="shared" si="285"/>
        <v>Rudi Gergő - Rakurai</v>
      </c>
      <c r="R785" s="154" t="s">
        <v>636</v>
      </c>
      <c r="S785" s="154" t="str">
        <f t="shared" si="286"/>
        <v>Rakurai</v>
      </c>
      <c r="T785" s="154" t="s">
        <v>645</v>
      </c>
      <c r="U785" s="154" t="s">
        <v>797</v>
      </c>
      <c r="V785" s="154"/>
    </row>
    <row r="786" spans="1:22" s="158" customFormat="1" x14ac:dyDescent="0.3">
      <c r="A786" s="154" t="s">
        <v>777</v>
      </c>
      <c r="B786" s="155" t="s">
        <v>154</v>
      </c>
      <c r="C786" s="154">
        <v>704</v>
      </c>
      <c r="D786" s="156" t="str">
        <f t="shared" si="287"/>
        <v>Kumite</v>
      </c>
      <c r="E786" s="156" t="str">
        <f t="shared" si="291"/>
        <v>Kumite, -, 40-45 kg, Serdülő (13-14</v>
      </c>
      <c r="F786" s="156" t="s">
        <v>530</v>
      </c>
      <c r="G786" s="157" t="str">
        <f t="shared" si="292"/>
        <v>10</v>
      </c>
      <c r="H786" s="156" t="str">
        <f t="shared" si="293"/>
        <v>16 fős egyenes kiesés</v>
      </c>
      <c r="I786" s="157" t="str">
        <f>"7-8"</f>
        <v>7-8</v>
      </c>
      <c r="J786" s="156" t="str">
        <f>"Kovács Marcell András"</f>
        <v>Kovács Marcell András</v>
      </c>
      <c r="K786" s="156" t="str">
        <f>"Victory"</f>
        <v>Victory</v>
      </c>
      <c r="L786" s="156" t="str">
        <f t="shared" si="284"/>
        <v>HUN</v>
      </c>
      <c r="M786" s="163">
        <v>0</v>
      </c>
      <c r="N786" s="158" t="s">
        <v>704</v>
      </c>
      <c r="O786" s="154" t="s">
        <v>410</v>
      </c>
      <c r="P786" s="159">
        <v>46103</v>
      </c>
      <c r="Q786" s="154" t="str">
        <f t="shared" si="285"/>
        <v>Kovács Marcell András - Victory</v>
      </c>
      <c r="R786" s="154" t="s">
        <v>636</v>
      </c>
      <c r="S786" s="154" t="str">
        <f t="shared" si="286"/>
        <v>Victory</v>
      </c>
      <c r="T786" s="154" t="s">
        <v>645</v>
      </c>
      <c r="U786" s="154" t="s">
        <v>797</v>
      </c>
      <c r="V786" s="154"/>
    </row>
    <row r="787" spans="1:22" s="158" customFormat="1" x14ac:dyDescent="0.3">
      <c r="A787" s="154" t="s">
        <v>777</v>
      </c>
      <c r="B787" s="155" t="s">
        <v>154</v>
      </c>
      <c r="C787" s="154">
        <v>705</v>
      </c>
      <c r="D787" s="156" t="str">
        <f t="shared" si="287"/>
        <v>Kumite</v>
      </c>
      <c r="E787" s="156" t="str">
        <f t="shared" si="291"/>
        <v>Kumite, -, 40-45 kg, Serdülő (13-14</v>
      </c>
      <c r="F787" s="156" t="s">
        <v>530</v>
      </c>
      <c r="G787" s="157" t="str">
        <f t="shared" si="292"/>
        <v>10</v>
      </c>
      <c r="H787" s="156" t="str">
        <f t="shared" si="293"/>
        <v>16 fős egyenes kiesés</v>
      </c>
      <c r="I787" s="157" t="str">
        <f>"7-8"</f>
        <v>7-8</v>
      </c>
      <c r="J787" s="156" t="str">
        <f>"Béres Bence"</f>
        <v>Béres Bence</v>
      </c>
      <c r="K787" s="156" t="str">
        <f>"VTSE"</f>
        <v>VTSE</v>
      </c>
      <c r="L787" s="156" t="str">
        <f t="shared" si="284"/>
        <v>HUN</v>
      </c>
      <c r="M787" s="163">
        <v>0</v>
      </c>
      <c r="N787" s="158" t="s">
        <v>704</v>
      </c>
      <c r="O787" s="154" t="s">
        <v>410</v>
      </c>
      <c r="P787" s="159">
        <v>46103</v>
      </c>
      <c r="Q787" s="154" t="str">
        <f t="shared" si="285"/>
        <v>Béres Bence - VTSE</v>
      </c>
      <c r="R787" s="154" t="s">
        <v>637</v>
      </c>
      <c r="S787" s="154" t="str">
        <f t="shared" si="286"/>
        <v>VTSE</v>
      </c>
      <c r="T787" s="154" t="s">
        <v>645</v>
      </c>
      <c r="U787" s="154" t="s">
        <v>797</v>
      </c>
      <c r="V787" s="154"/>
    </row>
    <row r="788" spans="1:22" s="158" customFormat="1" x14ac:dyDescent="0.3">
      <c r="A788" s="154" t="s">
        <v>777</v>
      </c>
      <c r="B788" s="155" t="s">
        <v>154</v>
      </c>
      <c r="C788" s="154">
        <v>706</v>
      </c>
      <c r="D788" s="156" t="str">
        <f t="shared" si="287"/>
        <v>Kumite</v>
      </c>
      <c r="E788" s="156" t="str">
        <f t="shared" ref="E788:E797" si="294">"Kumite, -, 45-50 kg, Serdülő (13-14"</f>
        <v>Kumite, -, 45-50 kg, Serdülő (13-14</v>
      </c>
      <c r="F788" s="156" t="s">
        <v>531</v>
      </c>
      <c r="G788" s="157" t="str">
        <f t="shared" si="292"/>
        <v>10</v>
      </c>
      <c r="H788" s="156" t="str">
        <f t="shared" si="293"/>
        <v>16 fős egyenes kiesés</v>
      </c>
      <c r="I788" s="157" t="str">
        <f>"1"</f>
        <v>1</v>
      </c>
      <c r="J788" s="156" t="str">
        <f>"Remenyik Dániel"</f>
        <v>Remenyik Dániel</v>
      </c>
      <c r="K788" s="156" t="str">
        <f>"Shogun"</f>
        <v>Shogun</v>
      </c>
      <c r="L788" s="156" t="str">
        <f t="shared" si="284"/>
        <v>HUN</v>
      </c>
      <c r="M788" s="163">
        <v>10</v>
      </c>
      <c r="O788" s="154" t="s">
        <v>410</v>
      </c>
      <c r="P788" s="159">
        <v>46103</v>
      </c>
      <c r="Q788" s="154" t="str">
        <f t="shared" si="285"/>
        <v>Remenyik Dániel - Shogun</v>
      </c>
      <c r="R788" s="154" t="s">
        <v>636</v>
      </c>
      <c r="S788" s="154" t="str">
        <f t="shared" si="286"/>
        <v>Shogun</v>
      </c>
      <c r="T788" s="154" t="s">
        <v>645</v>
      </c>
      <c r="U788" s="154" t="s">
        <v>797</v>
      </c>
      <c r="V788" s="154"/>
    </row>
    <row r="789" spans="1:22" s="158" customFormat="1" x14ac:dyDescent="0.3">
      <c r="A789" s="154" t="s">
        <v>777</v>
      </c>
      <c r="B789" s="155" t="s">
        <v>154</v>
      </c>
      <c r="C789" s="154">
        <v>707</v>
      </c>
      <c r="D789" s="156" t="str">
        <f t="shared" si="287"/>
        <v>Kumite</v>
      </c>
      <c r="E789" s="156" t="str">
        <f t="shared" si="294"/>
        <v>Kumite, -, 45-50 kg, Serdülő (13-14</v>
      </c>
      <c r="F789" s="156" t="s">
        <v>531</v>
      </c>
      <c r="G789" s="157" t="str">
        <f t="shared" si="292"/>
        <v>10</v>
      </c>
      <c r="H789" s="156" t="str">
        <f t="shared" si="293"/>
        <v>16 fős egyenes kiesés</v>
      </c>
      <c r="I789" s="157" t="str">
        <f>"2"</f>
        <v>2</v>
      </c>
      <c r="J789" s="156" t="str">
        <f>"Tóth Kornél"</f>
        <v>Tóth Kornél</v>
      </c>
      <c r="K789" s="156" t="str">
        <f>"KKE - Spartacus"</f>
        <v>KKE - Spartacus</v>
      </c>
      <c r="L789" s="156" t="str">
        <f t="shared" si="284"/>
        <v>HUN</v>
      </c>
      <c r="M789" s="163">
        <v>8</v>
      </c>
      <c r="O789" s="154" t="s">
        <v>410</v>
      </c>
      <c r="P789" s="159">
        <v>46103</v>
      </c>
      <c r="Q789" s="154" t="str">
        <f t="shared" si="285"/>
        <v>Tóth Kornél - KKE - Spartacus</v>
      </c>
      <c r="R789" s="154" t="s">
        <v>636</v>
      </c>
      <c r="S789" s="154" t="str">
        <f t="shared" si="286"/>
        <v>KKE - Spartacus</v>
      </c>
      <c r="T789" s="154" t="s">
        <v>645</v>
      </c>
      <c r="U789" s="154" t="s">
        <v>797</v>
      </c>
      <c r="V789" s="154"/>
    </row>
    <row r="790" spans="1:22" s="158" customFormat="1" x14ac:dyDescent="0.3">
      <c r="A790" s="154" t="s">
        <v>777</v>
      </c>
      <c r="B790" s="155" t="s">
        <v>154</v>
      </c>
      <c r="C790" s="154">
        <v>708</v>
      </c>
      <c r="D790" s="156" t="str">
        <f t="shared" si="287"/>
        <v>Kumite</v>
      </c>
      <c r="E790" s="156" t="str">
        <f t="shared" si="294"/>
        <v>Kumite, -, 45-50 kg, Serdülő (13-14</v>
      </c>
      <c r="F790" s="156" t="s">
        <v>531</v>
      </c>
      <c r="G790" s="157" t="str">
        <f t="shared" si="292"/>
        <v>10</v>
      </c>
      <c r="H790" s="156" t="str">
        <f t="shared" si="293"/>
        <v>16 fős egyenes kiesés</v>
      </c>
      <c r="I790" s="157" t="str">
        <f>"3"</f>
        <v>3</v>
      </c>
      <c r="J790" s="156" t="str">
        <f>"Antal Dániel Kristóf"</f>
        <v>Antal Dániel Kristóf</v>
      </c>
      <c r="K790" s="156" t="str">
        <f>"KSE Tarján"</f>
        <v>KSE Tarján</v>
      </c>
      <c r="L790" s="156" t="str">
        <f t="shared" si="284"/>
        <v>HUN</v>
      </c>
      <c r="M790" s="163">
        <v>6</v>
      </c>
      <c r="O790" s="154" t="s">
        <v>410</v>
      </c>
      <c r="P790" s="159">
        <v>46103</v>
      </c>
      <c r="Q790" s="154" t="str">
        <f t="shared" si="285"/>
        <v>Antal Dániel Kristóf - KSE Tarján</v>
      </c>
      <c r="R790" s="154" t="s">
        <v>636</v>
      </c>
      <c r="S790" s="154" t="str">
        <f t="shared" si="286"/>
        <v>KSE Tarján</v>
      </c>
      <c r="T790" s="154" t="s">
        <v>645</v>
      </c>
      <c r="U790" s="154" t="s">
        <v>797</v>
      </c>
      <c r="V790" s="154"/>
    </row>
    <row r="791" spans="1:22" s="158" customFormat="1" x14ac:dyDescent="0.3">
      <c r="A791" s="154" t="s">
        <v>777</v>
      </c>
      <c r="B791" s="155" t="s">
        <v>154</v>
      </c>
      <c r="C791" s="154">
        <v>709</v>
      </c>
      <c r="D791" s="156" t="str">
        <f t="shared" si="287"/>
        <v>Kumite</v>
      </c>
      <c r="E791" s="156" t="str">
        <f t="shared" si="294"/>
        <v>Kumite, -, 45-50 kg, Serdülő (13-14</v>
      </c>
      <c r="F791" s="156" t="s">
        <v>531</v>
      </c>
      <c r="G791" s="157" t="str">
        <f t="shared" si="292"/>
        <v>10</v>
      </c>
      <c r="H791" s="156" t="str">
        <f t="shared" si="293"/>
        <v>16 fős egyenes kiesés</v>
      </c>
      <c r="I791" s="157" t="str">
        <f>"3"</f>
        <v>3</v>
      </c>
      <c r="J791" s="156" t="str">
        <f>"Pista Áron"</f>
        <v>Pista Áron</v>
      </c>
      <c r="K791" s="156" t="str">
        <f>"Bendiák Dojo"</f>
        <v>Bendiák Dojo</v>
      </c>
      <c r="L791" s="156" t="str">
        <f t="shared" si="284"/>
        <v>HUN</v>
      </c>
      <c r="M791" s="163">
        <v>6</v>
      </c>
      <c r="O791" s="154" t="s">
        <v>410</v>
      </c>
      <c r="P791" s="159">
        <v>46103</v>
      </c>
      <c r="Q791" s="154" t="str">
        <f t="shared" si="285"/>
        <v>Pista Áron - Bendiák Dojo</v>
      </c>
      <c r="R791" s="154" t="s">
        <v>636</v>
      </c>
      <c r="S791" s="154" t="str">
        <f t="shared" si="286"/>
        <v>Bendiák Dojo</v>
      </c>
      <c r="T791" s="154" t="s">
        <v>645</v>
      </c>
      <c r="U791" s="154" t="s">
        <v>797</v>
      </c>
      <c r="V791" s="154"/>
    </row>
    <row r="792" spans="1:22" s="158" customFormat="1" x14ac:dyDescent="0.3">
      <c r="A792" s="154" t="s">
        <v>777</v>
      </c>
      <c r="B792" s="155" t="s">
        <v>154</v>
      </c>
      <c r="C792" s="154">
        <v>710</v>
      </c>
      <c r="D792" s="156" t="str">
        <f t="shared" si="287"/>
        <v>Kumite</v>
      </c>
      <c r="E792" s="156" t="str">
        <f t="shared" si="294"/>
        <v>Kumite, -, 45-50 kg, Serdülő (13-14</v>
      </c>
      <c r="F792" s="156" t="s">
        <v>531</v>
      </c>
      <c r="G792" s="157" t="str">
        <f t="shared" si="292"/>
        <v>10</v>
      </c>
      <c r="H792" s="156" t="str">
        <f t="shared" si="293"/>
        <v>16 fős egyenes kiesés</v>
      </c>
      <c r="I792" s="157" t="str">
        <f>"5"</f>
        <v>5</v>
      </c>
      <c r="J792" s="156" t="str">
        <f>"Szymon Fraczek"</f>
        <v>Szymon Fraczek</v>
      </c>
      <c r="K792" s="156" t="str">
        <f>"Bátor KSE"</f>
        <v>Bátor KSE</v>
      </c>
      <c r="L792" s="156" t="str">
        <f t="shared" si="284"/>
        <v>HUN</v>
      </c>
      <c r="M792" s="163">
        <v>3</v>
      </c>
      <c r="O792" s="154" t="s">
        <v>410</v>
      </c>
      <c r="P792" s="159">
        <v>46103</v>
      </c>
      <c r="Q792" s="154" t="str">
        <f t="shared" si="285"/>
        <v>Szymon Fraczek - Bátor KSE</v>
      </c>
      <c r="R792" s="154" t="s">
        <v>636</v>
      </c>
      <c r="S792" s="154" t="str">
        <f t="shared" si="286"/>
        <v>Bátor KSE</v>
      </c>
      <c r="T792" s="154" t="s">
        <v>645</v>
      </c>
      <c r="U792" s="154" t="s">
        <v>797</v>
      </c>
      <c r="V792" s="154"/>
    </row>
    <row r="793" spans="1:22" s="158" customFormat="1" x14ac:dyDescent="0.3">
      <c r="A793" s="154" t="s">
        <v>777</v>
      </c>
      <c r="B793" s="155" t="s">
        <v>154</v>
      </c>
      <c r="C793" s="154">
        <v>711</v>
      </c>
      <c r="D793" s="156" t="str">
        <f t="shared" si="287"/>
        <v>Kumite</v>
      </c>
      <c r="E793" s="156" t="str">
        <f t="shared" si="294"/>
        <v>Kumite, -, 45-50 kg, Serdülő (13-14</v>
      </c>
      <c r="F793" s="156" t="s">
        <v>531</v>
      </c>
      <c r="G793" s="157" t="str">
        <f t="shared" si="292"/>
        <v>10</v>
      </c>
      <c r="H793" s="156" t="str">
        <f t="shared" si="293"/>
        <v>16 fős egyenes kiesés</v>
      </c>
      <c r="I793" s="157" t="str">
        <f>"6"</f>
        <v>6</v>
      </c>
      <c r="J793" s="156" t="str">
        <f>"Turcsán Barnabás"</f>
        <v>Turcsán Barnabás</v>
      </c>
      <c r="K793" s="156" t="str">
        <f>"Borza Dojo"</f>
        <v>Borza Dojo</v>
      </c>
      <c r="L793" s="156" t="str">
        <f t="shared" si="284"/>
        <v>HUN</v>
      </c>
      <c r="M793" s="163">
        <v>3</v>
      </c>
      <c r="O793" s="154" t="s">
        <v>410</v>
      </c>
      <c r="P793" s="159">
        <v>46103</v>
      </c>
      <c r="Q793" s="154" t="str">
        <f t="shared" si="285"/>
        <v>Turcsán Barnabás - Borza Dojo</v>
      </c>
      <c r="R793" s="154" t="s">
        <v>637</v>
      </c>
      <c r="S793" s="154" t="str">
        <f t="shared" si="286"/>
        <v>Borza Dojo</v>
      </c>
      <c r="T793" s="154" t="s">
        <v>645</v>
      </c>
      <c r="U793" s="154" t="s">
        <v>797</v>
      </c>
      <c r="V793" s="154"/>
    </row>
    <row r="794" spans="1:22" s="158" customFormat="1" x14ac:dyDescent="0.3">
      <c r="A794" s="154" t="s">
        <v>777</v>
      </c>
      <c r="B794" s="155" t="s">
        <v>154</v>
      </c>
      <c r="C794" s="154">
        <v>712</v>
      </c>
      <c r="D794" s="156" t="str">
        <f t="shared" si="287"/>
        <v>Kumite</v>
      </c>
      <c r="E794" s="156" t="str">
        <f t="shared" si="294"/>
        <v>Kumite, -, 45-50 kg, Serdülő (13-14</v>
      </c>
      <c r="F794" s="156" t="s">
        <v>531</v>
      </c>
      <c r="G794" s="157" t="str">
        <f t="shared" si="292"/>
        <v>10</v>
      </c>
      <c r="H794" s="156" t="str">
        <f t="shared" si="293"/>
        <v>16 fős egyenes kiesés</v>
      </c>
      <c r="I794" s="157" t="str">
        <f>"7-8"</f>
        <v>7-8</v>
      </c>
      <c r="J794" s="156" t="str">
        <f>"Tóth Benedek"</f>
        <v>Tóth Benedek</v>
      </c>
      <c r="K794" s="156" t="str">
        <f>"Ichiro Dojo"</f>
        <v>Ichiro Dojo</v>
      </c>
      <c r="L794" s="156" t="str">
        <f t="shared" si="284"/>
        <v>HUN</v>
      </c>
      <c r="M794" s="163">
        <v>0</v>
      </c>
      <c r="N794" s="158" t="s">
        <v>704</v>
      </c>
      <c r="O794" s="154" t="s">
        <v>410</v>
      </c>
      <c r="P794" s="159">
        <v>46103</v>
      </c>
      <c r="Q794" s="154" t="str">
        <f t="shared" si="285"/>
        <v>Tóth Benedek - Ichiro Dojo</v>
      </c>
      <c r="R794" s="154" t="s">
        <v>637</v>
      </c>
      <c r="S794" s="154" t="str">
        <f t="shared" si="286"/>
        <v>Ichiro Dojo</v>
      </c>
      <c r="T794" s="154" t="s">
        <v>645</v>
      </c>
      <c r="U794" s="154" t="s">
        <v>797</v>
      </c>
      <c r="V794" s="154"/>
    </row>
    <row r="795" spans="1:22" s="158" customFormat="1" x14ac:dyDescent="0.3">
      <c r="A795" s="154" t="s">
        <v>777</v>
      </c>
      <c r="B795" s="155" t="s">
        <v>154</v>
      </c>
      <c r="C795" s="154">
        <v>713</v>
      </c>
      <c r="D795" s="156" t="str">
        <f t="shared" si="287"/>
        <v>Kumite</v>
      </c>
      <c r="E795" s="156" t="str">
        <f t="shared" si="294"/>
        <v>Kumite, -, 45-50 kg, Serdülő (13-14</v>
      </c>
      <c r="F795" s="156" t="s">
        <v>531</v>
      </c>
      <c r="G795" s="157" t="str">
        <f t="shared" si="292"/>
        <v>10</v>
      </c>
      <c r="H795" s="156" t="str">
        <f t="shared" si="293"/>
        <v>16 fős egyenes kiesés</v>
      </c>
      <c r="I795" s="157" t="str">
        <f>"7-8"</f>
        <v>7-8</v>
      </c>
      <c r="J795" s="156" t="str">
        <f>"Kámán Márton"</f>
        <v>Kámán Márton</v>
      </c>
      <c r="K795" s="156" t="str">
        <f>"Rakurai"</f>
        <v>Rakurai</v>
      </c>
      <c r="L795" s="156" t="str">
        <f t="shared" si="284"/>
        <v>HUN</v>
      </c>
      <c r="M795" s="163">
        <v>0</v>
      </c>
      <c r="N795" s="158" t="s">
        <v>704</v>
      </c>
      <c r="O795" s="154" t="s">
        <v>410</v>
      </c>
      <c r="P795" s="159">
        <v>46103</v>
      </c>
      <c r="Q795" s="154" t="str">
        <f t="shared" si="285"/>
        <v>Kámán Márton - Rakurai</v>
      </c>
      <c r="R795" s="154" t="s">
        <v>636</v>
      </c>
      <c r="S795" s="154" t="str">
        <f t="shared" si="286"/>
        <v>Rakurai</v>
      </c>
      <c r="T795" s="154" t="s">
        <v>645</v>
      </c>
      <c r="U795" s="154" t="s">
        <v>797</v>
      </c>
      <c r="V795" s="154"/>
    </row>
    <row r="796" spans="1:22" s="158" customFormat="1" x14ac:dyDescent="0.3">
      <c r="A796" s="154" t="s">
        <v>777</v>
      </c>
      <c r="B796" s="155" t="s">
        <v>154</v>
      </c>
      <c r="C796" s="154">
        <v>714</v>
      </c>
      <c r="D796" s="156" t="str">
        <f t="shared" si="287"/>
        <v>Kumite</v>
      </c>
      <c r="E796" s="156" t="str">
        <f t="shared" si="294"/>
        <v>Kumite, -, 45-50 kg, Serdülő (13-14</v>
      </c>
      <c r="F796" s="156" t="s">
        <v>531</v>
      </c>
      <c r="G796" s="157" t="str">
        <f t="shared" si="292"/>
        <v>10</v>
      </c>
      <c r="H796" s="156" t="str">
        <f t="shared" si="293"/>
        <v>16 fős egyenes kiesés</v>
      </c>
      <c r="I796" s="157" t="str">
        <f>"11-16"</f>
        <v>11-16</v>
      </c>
      <c r="J796" s="156" t="str">
        <f>"Tarjányi Zétény Ferenc"</f>
        <v>Tarjányi Zétény Ferenc</v>
      </c>
      <c r="K796" s="156" t="str">
        <f>"ARSC"</f>
        <v>ARSC</v>
      </c>
      <c r="L796" s="156" t="str">
        <f t="shared" si="284"/>
        <v>HUN</v>
      </c>
      <c r="M796" s="163">
        <v>0</v>
      </c>
      <c r="O796" s="154" t="s">
        <v>410</v>
      </c>
      <c r="P796" s="159">
        <v>46103</v>
      </c>
      <c r="Q796" s="154" t="str">
        <f t="shared" si="285"/>
        <v>Tarjányi Zétény Ferenc - ARSC</v>
      </c>
      <c r="R796" s="154" t="s">
        <v>636</v>
      </c>
      <c r="S796" s="154" t="str">
        <f t="shared" si="286"/>
        <v>ARSC</v>
      </c>
      <c r="T796" s="154" t="s">
        <v>645</v>
      </c>
      <c r="U796" s="154" t="s">
        <v>797</v>
      </c>
      <c r="V796" s="154"/>
    </row>
    <row r="797" spans="1:22" s="158" customFormat="1" x14ac:dyDescent="0.3">
      <c r="A797" s="154" t="s">
        <v>777</v>
      </c>
      <c r="B797" s="155" t="s">
        <v>154</v>
      </c>
      <c r="C797" s="154">
        <v>715</v>
      </c>
      <c r="D797" s="156" t="str">
        <f t="shared" si="287"/>
        <v>Kumite</v>
      </c>
      <c r="E797" s="156" t="str">
        <f t="shared" si="294"/>
        <v>Kumite, -, 45-50 kg, Serdülő (13-14</v>
      </c>
      <c r="F797" s="156" t="s">
        <v>531</v>
      </c>
      <c r="G797" s="157" t="str">
        <f t="shared" si="292"/>
        <v>10</v>
      </c>
      <c r="H797" s="156" t="str">
        <f t="shared" si="293"/>
        <v>16 fős egyenes kiesés</v>
      </c>
      <c r="I797" s="157" t="str">
        <f>"11-16"</f>
        <v>11-16</v>
      </c>
      <c r="J797" s="156" t="str">
        <f>"Halász Zente"</f>
        <v>Halász Zente</v>
      </c>
      <c r="K797" s="156" t="str">
        <f>"Griff SE"</f>
        <v>Griff SE</v>
      </c>
      <c r="L797" s="156" t="str">
        <f t="shared" si="284"/>
        <v>HUN</v>
      </c>
      <c r="M797" s="163">
        <v>0</v>
      </c>
      <c r="O797" s="154" t="s">
        <v>410</v>
      </c>
      <c r="P797" s="159">
        <v>46103</v>
      </c>
      <c r="Q797" s="154" t="str">
        <f t="shared" si="285"/>
        <v>Halász Zente - Griff SE</v>
      </c>
      <c r="R797" s="154" t="s">
        <v>636</v>
      </c>
      <c r="S797" s="154" t="str">
        <f t="shared" si="286"/>
        <v>Griff SE</v>
      </c>
      <c r="T797" s="154" t="s">
        <v>645</v>
      </c>
      <c r="U797" s="154" t="s">
        <v>797</v>
      </c>
      <c r="V797" s="154"/>
    </row>
    <row r="798" spans="1:22" s="158" customFormat="1" x14ac:dyDescent="0.3">
      <c r="A798" s="154" t="s">
        <v>777</v>
      </c>
      <c r="B798" s="155" t="s">
        <v>154</v>
      </c>
      <c r="C798" s="154">
        <v>716</v>
      </c>
      <c r="D798" s="156" t="str">
        <f t="shared" si="287"/>
        <v>Kumite</v>
      </c>
      <c r="E798" s="156" t="str">
        <f t="shared" ref="E798:E808" si="295">"Kumite, -, 50-60 kg, Serdülő (13-14"</f>
        <v>Kumite, -, 50-60 kg, Serdülő (13-14</v>
      </c>
      <c r="F798" s="156" t="s">
        <v>532</v>
      </c>
      <c r="G798" s="157" t="str">
        <f t="shared" ref="G798:G808" si="296">"11"</f>
        <v>11</v>
      </c>
      <c r="H798" s="156" t="str">
        <f t="shared" si="293"/>
        <v>16 fős egyenes kiesés</v>
      </c>
      <c r="I798" s="157" t="str">
        <f>"1"</f>
        <v>1</v>
      </c>
      <c r="J798" s="156" t="str">
        <f>"Vig Bendegúz"</f>
        <v>Vig Bendegúz</v>
      </c>
      <c r="K798" s="156" t="str">
        <f>"VTSE"</f>
        <v>VTSE</v>
      </c>
      <c r="L798" s="156" t="str">
        <f t="shared" si="284"/>
        <v>HUN</v>
      </c>
      <c r="M798" s="163">
        <v>10</v>
      </c>
      <c r="O798" s="154" t="s">
        <v>410</v>
      </c>
      <c r="P798" s="159">
        <v>46103</v>
      </c>
      <c r="Q798" s="154" t="str">
        <f t="shared" si="285"/>
        <v>Vig Bendegúz - VTSE</v>
      </c>
      <c r="R798" s="154" t="s">
        <v>637</v>
      </c>
      <c r="S798" s="154" t="str">
        <f t="shared" si="286"/>
        <v>VTSE</v>
      </c>
      <c r="T798" s="154" t="s">
        <v>645</v>
      </c>
      <c r="U798" s="154" t="s">
        <v>797</v>
      </c>
      <c r="V798" s="154"/>
    </row>
    <row r="799" spans="1:22" s="158" customFormat="1" x14ac:dyDescent="0.3">
      <c r="A799" s="154" t="s">
        <v>777</v>
      </c>
      <c r="B799" s="155" t="s">
        <v>154</v>
      </c>
      <c r="C799" s="154">
        <v>717</v>
      </c>
      <c r="D799" s="156" t="str">
        <f t="shared" si="287"/>
        <v>Kumite</v>
      </c>
      <c r="E799" s="156" t="str">
        <f t="shared" si="295"/>
        <v>Kumite, -, 50-60 kg, Serdülő (13-14</v>
      </c>
      <c r="F799" s="156" t="s">
        <v>532</v>
      </c>
      <c r="G799" s="157" t="str">
        <f t="shared" si="296"/>
        <v>11</v>
      </c>
      <c r="H799" s="156" t="str">
        <f t="shared" si="293"/>
        <v>16 fős egyenes kiesés</v>
      </c>
      <c r="I799" s="157" t="str">
        <f>"2"</f>
        <v>2</v>
      </c>
      <c r="J799" s="156" t="str">
        <f>"Viszugyel Bálint"</f>
        <v>Viszugyel Bálint</v>
      </c>
      <c r="K799" s="156" t="str">
        <f>"VTSE"</f>
        <v>VTSE</v>
      </c>
      <c r="L799" s="156" t="str">
        <f t="shared" si="284"/>
        <v>HUN</v>
      </c>
      <c r="M799" s="163">
        <v>8</v>
      </c>
      <c r="O799" s="154" t="s">
        <v>410</v>
      </c>
      <c r="P799" s="159">
        <v>46103</v>
      </c>
      <c r="Q799" s="154" t="str">
        <f t="shared" si="285"/>
        <v>Viszugyel Bálint - VTSE</v>
      </c>
      <c r="R799" s="154" t="s">
        <v>637</v>
      </c>
      <c r="S799" s="154" t="str">
        <f t="shared" si="286"/>
        <v>VTSE</v>
      </c>
      <c r="T799" s="154" t="s">
        <v>645</v>
      </c>
      <c r="U799" s="154" t="s">
        <v>797</v>
      </c>
      <c r="V799" s="154"/>
    </row>
    <row r="800" spans="1:22" s="158" customFormat="1" x14ac:dyDescent="0.3">
      <c r="A800" s="154" t="s">
        <v>777</v>
      </c>
      <c r="B800" s="155" t="s">
        <v>154</v>
      </c>
      <c r="C800" s="154">
        <v>718</v>
      </c>
      <c r="D800" s="156" t="str">
        <f t="shared" si="287"/>
        <v>Kumite</v>
      </c>
      <c r="E800" s="156" t="str">
        <f t="shared" si="295"/>
        <v>Kumite, -, 50-60 kg, Serdülő (13-14</v>
      </c>
      <c r="F800" s="156" t="s">
        <v>532</v>
      </c>
      <c r="G800" s="157" t="str">
        <f t="shared" si="296"/>
        <v>11</v>
      </c>
      <c r="H800" s="156" t="str">
        <f t="shared" si="293"/>
        <v>16 fős egyenes kiesés</v>
      </c>
      <c r="I800" s="157" t="str">
        <f>"3"</f>
        <v>3</v>
      </c>
      <c r="J800" s="156" t="str">
        <f>"Tángyes Ricardo"</f>
        <v>Tángyes Ricardo</v>
      </c>
      <c r="K800" s="156" t="str">
        <f>"Kisvárda KKDOSC"</f>
        <v>Kisvárda KKDOSC</v>
      </c>
      <c r="L800" s="156" t="str">
        <f t="shared" si="284"/>
        <v>HUN</v>
      </c>
      <c r="M800" s="163">
        <v>6</v>
      </c>
      <c r="O800" s="154" t="s">
        <v>410</v>
      </c>
      <c r="P800" s="159">
        <v>46103</v>
      </c>
      <c r="Q800" s="154" t="str">
        <f t="shared" si="285"/>
        <v>Tángyes Ricardo - Kisvárda KKDOSC</v>
      </c>
      <c r="R800" s="154" t="s">
        <v>636</v>
      </c>
      <c r="S800" s="154" t="str">
        <f t="shared" si="286"/>
        <v>Kisvárda KKDOSC</v>
      </c>
      <c r="T800" s="154" t="s">
        <v>645</v>
      </c>
      <c r="U800" s="154" t="s">
        <v>797</v>
      </c>
      <c r="V800" s="154"/>
    </row>
    <row r="801" spans="1:22" s="158" customFormat="1" x14ac:dyDescent="0.3">
      <c r="A801" s="154" t="s">
        <v>777</v>
      </c>
      <c r="B801" s="155" t="s">
        <v>154</v>
      </c>
      <c r="C801" s="154">
        <v>719</v>
      </c>
      <c r="D801" s="156" t="str">
        <f t="shared" si="287"/>
        <v>Kumite</v>
      </c>
      <c r="E801" s="156" t="str">
        <f t="shared" si="295"/>
        <v>Kumite, -, 50-60 kg, Serdülő (13-14</v>
      </c>
      <c r="F801" s="156" t="s">
        <v>532</v>
      </c>
      <c r="G801" s="157" t="str">
        <f t="shared" si="296"/>
        <v>11</v>
      </c>
      <c r="H801" s="156" t="str">
        <f t="shared" si="293"/>
        <v>16 fős egyenes kiesés</v>
      </c>
      <c r="I801" s="157" t="str">
        <f>"3"</f>
        <v>3</v>
      </c>
      <c r="J801" s="156" t="str">
        <f>"Szabó Levente Botond"</f>
        <v>Szabó Levente Botond</v>
      </c>
      <c r="K801" s="156" t="str">
        <f>"KSE Tarján"</f>
        <v>KSE Tarján</v>
      </c>
      <c r="L801" s="156" t="str">
        <f t="shared" si="284"/>
        <v>HUN</v>
      </c>
      <c r="M801" s="163">
        <v>6</v>
      </c>
      <c r="O801" s="154" t="s">
        <v>410</v>
      </c>
      <c r="P801" s="159">
        <v>46103</v>
      </c>
      <c r="Q801" s="154" t="str">
        <f t="shared" si="285"/>
        <v>Szabó Levente Botond - KSE Tarján</v>
      </c>
      <c r="R801" s="154" t="s">
        <v>636</v>
      </c>
      <c r="S801" s="154" t="str">
        <f t="shared" si="286"/>
        <v>KSE Tarján</v>
      </c>
      <c r="T801" s="154" t="s">
        <v>645</v>
      </c>
      <c r="U801" s="154" t="s">
        <v>797</v>
      </c>
      <c r="V801" s="154"/>
    </row>
    <row r="802" spans="1:22" s="158" customFormat="1" x14ac:dyDescent="0.3">
      <c r="A802" s="154" t="s">
        <v>777</v>
      </c>
      <c r="B802" s="155" t="s">
        <v>154</v>
      </c>
      <c r="C802" s="154">
        <v>720</v>
      </c>
      <c r="D802" s="156" t="str">
        <f t="shared" si="287"/>
        <v>Kumite</v>
      </c>
      <c r="E802" s="156" t="str">
        <f t="shared" si="295"/>
        <v>Kumite, -, 50-60 kg, Serdülő (13-14</v>
      </c>
      <c r="F802" s="156" t="s">
        <v>532</v>
      </c>
      <c r="G802" s="157" t="str">
        <f t="shared" si="296"/>
        <v>11</v>
      </c>
      <c r="H802" s="156" t="str">
        <f t="shared" si="293"/>
        <v>16 fős egyenes kiesés</v>
      </c>
      <c r="I802" s="157" t="str">
        <f>"5"</f>
        <v>5</v>
      </c>
      <c r="J802" s="156" t="str">
        <f>"Ferenczhalmy Félix"</f>
        <v>Ferenczhalmy Félix</v>
      </c>
      <c r="K802" s="156" t="str">
        <f>"BHMSE"</f>
        <v>BHMSE</v>
      </c>
      <c r="L802" s="156" t="str">
        <f t="shared" si="284"/>
        <v>HUN</v>
      </c>
      <c r="M802" s="163">
        <v>0</v>
      </c>
      <c r="N802" s="158" t="s">
        <v>704</v>
      </c>
      <c r="O802" s="154" t="s">
        <v>410</v>
      </c>
      <c r="P802" s="159">
        <v>46103</v>
      </c>
      <c r="Q802" s="154" t="str">
        <f t="shared" si="285"/>
        <v>Ferenczhalmy Félix - BHMSE</v>
      </c>
      <c r="R802" s="154" t="s">
        <v>636</v>
      </c>
      <c r="S802" s="154" t="str">
        <f t="shared" si="286"/>
        <v>BHMSE</v>
      </c>
      <c r="T802" s="154" t="s">
        <v>645</v>
      </c>
      <c r="U802" s="154" t="s">
        <v>797</v>
      </c>
      <c r="V802" s="154"/>
    </row>
    <row r="803" spans="1:22" s="158" customFormat="1" x14ac:dyDescent="0.3">
      <c r="A803" s="154" t="s">
        <v>777</v>
      </c>
      <c r="B803" s="155" t="s">
        <v>154</v>
      </c>
      <c r="C803" s="154">
        <v>721</v>
      </c>
      <c r="D803" s="156" t="str">
        <f t="shared" si="287"/>
        <v>Kumite</v>
      </c>
      <c r="E803" s="156" t="str">
        <f t="shared" si="295"/>
        <v>Kumite, -, 50-60 kg, Serdülő (13-14</v>
      </c>
      <c r="F803" s="156" t="s">
        <v>532</v>
      </c>
      <c r="G803" s="157" t="str">
        <f t="shared" si="296"/>
        <v>11</v>
      </c>
      <c r="H803" s="156" t="str">
        <f t="shared" si="293"/>
        <v>16 fős egyenes kiesés</v>
      </c>
      <c r="I803" s="157" t="str">
        <f>"6"</f>
        <v>6</v>
      </c>
      <c r="J803" s="156" t="str">
        <f>"Szabó Dominik"</f>
        <v>Szabó Dominik</v>
      </c>
      <c r="K803" s="156" t="str">
        <f>"Buke Reikon HRSE"</f>
        <v>Buke Reikon HRSE</v>
      </c>
      <c r="L803" s="156" t="str">
        <f t="shared" si="284"/>
        <v>HUN</v>
      </c>
      <c r="M803" s="163">
        <v>3</v>
      </c>
      <c r="O803" s="154" t="s">
        <v>410</v>
      </c>
      <c r="P803" s="159">
        <v>46103</v>
      </c>
      <c r="Q803" s="154" t="str">
        <f t="shared" si="285"/>
        <v>Szabó Dominik - Buke Reikon HRSE</v>
      </c>
      <c r="R803" s="154" t="s">
        <v>636</v>
      </c>
      <c r="S803" s="154" t="str">
        <f t="shared" si="286"/>
        <v>Buke Reikon HRSE</v>
      </c>
      <c r="T803" s="154" t="s">
        <v>645</v>
      </c>
      <c r="U803" s="154" t="s">
        <v>797</v>
      </c>
      <c r="V803" s="154"/>
    </row>
    <row r="804" spans="1:22" s="158" customFormat="1" x14ac:dyDescent="0.3">
      <c r="A804" s="154" t="s">
        <v>777</v>
      </c>
      <c r="B804" s="155" t="s">
        <v>154</v>
      </c>
      <c r="C804" s="154">
        <v>722</v>
      </c>
      <c r="D804" s="156" t="str">
        <f t="shared" si="287"/>
        <v>Kumite</v>
      </c>
      <c r="E804" s="156" t="str">
        <f t="shared" si="295"/>
        <v>Kumite, -, 50-60 kg, Serdülő (13-14</v>
      </c>
      <c r="F804" s="156" t="s">
        <v>532</v>
      </c>
      <c r="G804" s="157" t="str">
        <f t="shared" si="296"/>
        <v>11</v>
      </c>
      <c r="H804" s="156" t="str">
        <f t="shared" si="293"/>
        <v>16 fős egyenes kiesés</v>
      </c>
      <c r="I804" s="157" t="str">
        <f>"7-8"</f>
        <v>7-8</v>
      </c>
      <c r="J804" s="156" t="str">
        <f>"Bánfi Botond"</f>
        <v>Bánfi Botond</v>
      </c>
      <c r="K804" s="156" t="str">
        <f>"Rokku KKSE"</f>
        <v>Rokku KKSE</v>
      </c>
      <c r="L804" s="156" t="str">
        <f t="shared" si="284"/>
        <v>HUN</v>
      </c>
      <c r="M804" s="163">
        <v>3</v>
      </c>
      <c r="O804" s="154" t="s">
        <v>410</v>
      </c>
      <c r="P804" s="159">
        <v>46103</v>
      </c>
      <c r="Q804" s="154" t="str">
        <f t="shared" si="285"/>
        <v>Bánfi Botond - Rokku KKSE</v>
      </c>
      <c r="R804" s="154" t="s">
        <v>636</v>
      </c>
      <c r="S804" s="154" t="str">
        <f t="shared" si="286"/>
        <v>Rokku KKSE</v>
      </c>
      <c r="T804" s="154" t="s">
        <v>645</v>
      </c>
      <c r="U804" s="154" t="s">
        <v>797</v>
      </c>
      <c r="V804" s="154"/>
    </row>
    <row r="805" spans="1:22" s="158" customFormat="1" x14ac:dyDescent="0.3">
      <c r="A805" s="154" t="s">
        <v>777</v>
      </c>
      <c r="B805" s="155" t="s">
        <v>154</v>
      </c>
      <c r="C805" s="154">
        <v>723</v>
      </c>
      <c r="D805" s="156" t="str">
        <f t="shared" si="287"/>
        <v>Kumite</v>
      </c>
      <c r="E805" s="156" t="str">
        <f t="shared" si="295"/>
        <v>Kumite, -, 50-60 kg, Serdülő (13-14</v>
      </c>
      <c r="F805" s="156" t="s">
        <v>532</v>
      </c>
      <c r="G805" s="157" t="str">
        <f t="shared" si="296"/>
        <v>11</v>
      </c>
      <c r="H805" s="156" t="str">
        <f t="shared" si="293"/>
        <v>16 fős egyenes kiesés</v>
      </c>
      <c r="I805" s="157" t="str">
        <f>"7-8"</f>
        <v>7-8</v>
      </c>
      <c r="J805" s="156" t="str">
        <f>"Sádt Zétény"</f>
        <v>Sádt Zétény</v>
      </c>
      <c r="K805" s="156" t="str">
        <f>"Buke Reikon HRSE"</f>
        <v>Buke Reikon HRSE</v>
      </c>
      <c r="L805" s="156" t="str">
        <f t="shared" si="284"/>
        <v>HUN</v>
      </c>
      <c r="M805" s="163">
        <v>0</v>
      </c>
      <c r="N805" s="158" t="s">
        <v>704</v>
      </c>
      <c r="O805" s="154" t="s">
        <v>410</v>
      </c>
      <c r="P805" s="159">
        <v>46103</v>
      </c>
      <c r="Q805" s="154" t="str">
        <f t="shared" si="285"/>
        <v>Sádt Zétény - Buke Reikon HRSE</v>
      </c>
      <c r="R805" s="154" t="s">
        <v>636</v>
      </c>
      <c r="S805" s="154" t="str">
        <f t="shared" si="286"/>
        <v>Buke Reikon HRSE</v>
      </c>
      <c r="T805" s="154" t="s">
        <v>645</v>
      </c>
      <c r="U805" s="154" t="s">
        <v>797</v>
      </c>
      <c r="V805" s="154"/>
    </row>
    <row r="806" spans="1:22" s="158" customFormat="1" x14ac:dyDescent="0.3">
      <c r="A806" s="154" t="s">
        <v>777</v>
      </c>
      <c r="B806" s="155" t="s">
        <v>154</v>
      </c>
      <c r="C806" s="154">
        <v>724</v>
      </c>
      <c r="D806" s="156" t="str">
        <f t="shared" si="287"/>
        <v>Kumite</v>
      </c>
      <c r="E806" s="156" t="str">
        <f t="shared" si="295"/>
        <v>Kumite, -, 50-60 kg, Serdülő (13-14</v>
      </c>
      <c r="F806" s="156" t="s">
        <v>532</v>
      </c>
      <c r="G806" s="157" t="str">
        <f t="shared" si="296"/>
        <v>11</v>
      </c>
      <c r="H806" s="156" t="str">
        <f t="shared" si="293"/>
        <v>16 fős egyenes kiesés</v>
      </c>
      <c r="I806" s="157" t="str">
        <f>"9"</f>
        <v>9</v>
      </c>
      <c r="J806" s="156" t="str">
        <f>"Munkácsi Ádám"</f>
        <v>Munkácsi Ádám</v>
      </c>
      <c r="K806" s="156" t="str">
        <f>"Főnix Dojo"</f>
        <v>Főnix Dojo</v>
      </c>
      <c r="L806" s="156" t="str">
        <f t="shared" si="284"/>
        <v>HUN</v>
      </c>
      <c r="M806" s="163">
        <v>0</v>
      </c>
      <c r="O806" s="154" t="s">
        <v>410</v>
      </c>
      <c r="P806" s="159">
        <v>46103</v>
      </c>
      <c r="Q806" s="154" t="str">
        <f t="shared" si="285"/>
        <v>Munkácsi Ádám - Főnix Dojo</v>
      </c>
      <c r="R806" s="154" t="s">
        <v>636</v>
      </c>
      <c r="S806" s="154" t="str">
        <f t="shared" si="286"/>
        <v>Főnix Dojo</v>
      </c>
      <c r="T806" s="154" t="s">
        <v>645</v>
      </c>
      <c r="U806" s="154" t="s">
        <v>797</v>
      </c>
      <c r="V806" s="154"/>
    </row>
    <row r="807" spans="1:22" s="158" customFormat="1" x14ac:dyDescent="0.3">
      <c r="A807" s="154" t="s">
        <v>777</v>
      </c>
      <c r="B807" s="155" t="s">
        <v>154</v>
      </c>
      <c r="C807" s="154">
        <v>725</v>
      </c>
      <c r="D807" s="156" t="str">
        <f t="shared" si="287"/>
        <v>Kumite</v>
      </c>
      <c r="E807" s="156" t="str">
        <f t="shared" si="295"/>
        <v>Kumite, -, 50-60 kg, Serdülő (13-14</v>
      </c>
      <c r="F807" s="156" t="s">
        <v>532</v>
      </c>
      <c r="G807" s="157" t="str">
        <f t="shared" si="296"/>
        <v>11</v>
      </c>
      <c r="H807" s="156" t="str">
        <f t="shared" si="293"/>
        <v>16 fős egyenes kiesés</v>
      </c>
      <c r="I807" s="157" t="str">
        <f>"11-16"</f>
        <v>11-16</v>
      </c>
      <c r="J807" s="156" t="str">
        <f>"Hadnagy Barnabás"</f>
        <v>Hadnagy Barnabás</v>
      </c>
      <c r="K807" s="156" t="str">
        <f>"Rokku KKSE"</f>
        <v>Rokku KKSE</v>
      </c>
      <c r="L807" s="156" t="str">
        <f t="shared" si="284"/>
        <v>HUN</v>
      </c>
      <c r="M807" s="163">
        <v>0</v>
      </c>
      <c r="O807" s="154" t="s">
        <v>410</v>
      </c>
      <c r="P807" s="159">
        <v>46103</v>
      </c>
      <c r="Q807" s="154" t="str">
        <f t="shared" si="285"/>
        <v>Hadnagy Barnabás - Rokku KKSE</v>
      </c>
      <c r="R807" s="154" t="s">
        <v>636</v>
      </c>
      <c r="S807" s="154" t="str">
        <f t="shared" si="286"/>
        <v>Rokku KKSE</v>
      </c>
      <c r="T807" s="154" t="s">
        <v>645</v>
      </c>
      <c r="U807" s="154" t="s">
        <v>797</v>
      </c>
      <c r="V807" s="154"/>
    </row>
    <row r="808" spans="1:22" s="158" customFormat="1" x14ac:dyDescent="0.3">
      <c r="A808" s="154" t="s">
        <v>777</v>
      </c>
      <c r="B808" s="155" t="s">
        <v>154</v>
      </c>
      <c r="C808" s="154">
        <v>726</v>
      </c>
      <c r="D808" s="156" t="str">
        <f t="shared" si="287"/>
        <v>Kumite</v>
      </c>
      <c r="E808" s="156" t="str">
        <f t="shared" si="295"/>
        <v>Kumite, -, 50-60 kg, Serdülő (13-14</v>
      </c>
      <c r="F808" s="156" t="s">
        <v>532</v>
      </c>
      <c r="G808" s="157" t="str">
        <f t="shared" si="296"/>
        <v>11</v>
      </c>
      <c r="H808" s="156" t="str">
        <f t="shared" si="293"/>
        <v>16 fős egyenes kiesés</v>
      </c>
      <c r="I808" s="157" t="str">
        <f>"11-16"</f>
        <v>11-16</v>
      </c>
      <c r="J808" s="156" t="str">
        <f>"Szutor Levente"</f>
        <v>Szutor Levente</v>
      </c>
      <c r="K808" s="156" t="str">
        <f>"Shogun"</f>
        <v>Shogun</v>
      </c>
      <c r="L808" s="156" t="str">
        <f t="shared" si="284"/>
        <v>HUN</v>
      </c>
      <c r="M808" s="163">
        <v>0</v>
      </c>
      <c r="O808" s="154" t="s">
        <v>410</v>
      </c>
      <c r="P808" s="159">
        <v>46103</v>
      </c>
      <c r="Q808" s="154" t="str">
        <f t="shared" si="285"/>
        <v>Szutor Levente - Shogun</v>
      </c>
      <c r="R808" s="154" t="s">
        <v>636</v>
      </c>
      <c r="S808" s="154" t="str">
        <f t="shared" si="286"/>
        <v>Shogun</v>
      </c>
      <c r="T808" s="154" t="s">
        <v>645</v>
      </c>
      <c r="U808" s="154" t="s">
        <v>797</v>
      </c>
      <c r="V808" s="154"/>
    </row>
    <row r="809" spans="1:22" s="158" customFormat="1" x14ac:dyDescent="0.3">
      <c r="A809" s="154" t="s">
        <v>777</v>
      </c>
      <c r="B809" s="155" t="s">
        <v>154</v>
      </c>
      <c r="C809" s="154">
        <v>727</v>
      </c>
      <c r="D809" s="156" t="str">
        <f t="shared" si="287"/>
        <v>Kumite</v>
      </c>
      <c r="E809" s="156" t="str">
        <f t="shared" ref="E809:E816" si="297">"Kumite, -, 70-999 kg, Serdülő (13-14"</f>
        <v>Kumite, -, 70-999 kg, Serdülő (13-14</v>
      </c>
      <c r="F809" s="156" t="s">
        <v>535</v>
      </c>
      <c r="G809" s="157" t="str">
        <f t="shared" ref="G809:G816" si="298">"8"</f>
        <v>8</v>
      </c>
      <c r="H809" s="156" t="str">
        <f t="shared" ref="H809:H816" si="299">"8 fős egyenes kiesés"</f>
        <v>8 fős egyenes kiesés</v>
      </c>
      <c r="I809" s="157" t="str">
        <f>"1"</f>
        <v>1</v>
      </c>
      <c r="J809" s="156" t="str">
        <f>"Villasenor Babos Viktor Éliás"</f>
        <v>Villasenor Babos Viktor Éliás</v>
      </c>
      <c r="K809" s="156" t="str">
        <f>"Rakurai"</f>
        <v>Rakurai</v>
      </c>
      <c r="L809" s="156" t="str">
        <f t="shared" si="284"/>
        <v>HUN</v>
      </c>
      <c r="M809" s="163">
        <v>0</v>
      </c>
      <c r="O809" s="154" t="s">
        <v>410</v>
      </c>
      <c r="P809" s="159">
        <v>46103</v>
      </c>
      <c r="Q809" s="154" t="str">
        <f t="shared" si="285"/>
        <v>Villasenor Babos Viktor Éliás - Rakurai</v>
      </c>
      <c r="R809" s="154" t="s">
        <v>636</v>
      </c>
      <c r="S809" s="154" t="str">
        <f t="shared" si="286"/>
        <v>Rakurai</v>
      </c>
      <c r="T809" s="154" t="s">
        <v>645</v>
      </c>
      <c r="U809" s="154" t="s">
        <v>797</v>
      </c>
      <c r="V809" s="154"/>
    </row>
    <row r="810" spans="1:22" s="158" customFormat="1" x14ac:dyDescent="0.3">
      <c r="A810" s="154" t="s">
        <v>777</v>
      </c>
      <c r="B810" s="155" t="s">
        <v>154</v>
      </c>
      <c r="C810" s="154">
        <v>728</v>
      </c>
      <c r="D810" s="156" t="str">
        <f t="shared" si="287"/>
        <v>Kumite</v>
      </c>
      <c r="E810" s="156" t="str">
        <f t="shared" si="297"/>
        <v>Kumite, -, 70-999 kg, Serdülő (13-14</v>
      </c>
      <c r="F810" s="156" t="s">
        <v>535</v>
      </c>
      <c r="G810" s="157" t="str">
        <f t="shared" si="298"/>
        <v>8</v>
      </c>
      <c r="H810" s="156" t="str">
        <f t="shared" si="299"/>
        <v>8 fős egyenes kiesés</v>
      </c>
      <c r="I810" s="157" t="str">
        <f>"2"</f>
        <v>2</v>
      </c>
      <c r="J810" s="156" t="str">
        <f>"Riczu Bendegúz"</f>
        <v>Riczu Bendegúz</v>
      </c>
      <c r="K810" s="156" t="str">
        <f>"Nozomu Dojo"</f>
        <v>Nozomu Dojo</v>
      </c>
      <c r="L810" s="156" t="str">
        <f t="shared" si="284"/>
        <v>HUN</v>
      </c>
      <c r="M810" s="163">
        <v>0</v>
      </c>
      <c r="O810" s="154" t="s">
        <v>410</v>
      </c>
      <c r="P810" s="159">
        <v>46103</v>
      </c>
      <c r="Q810" s="154" t="str">
        <f t="shared" si="285"/>
        <v>Riczu Bendegúz - Nozomu Dojo</v>
      </c>
      <c r="R810" s="154" t="s">
        <v>636</v>
      </c>
      <c r="S810" s="154" t="str">
        <f t="shared" si="286"/>
        <v>Nozomu Dojo</v>
      </c>
      <c r="T810" s="154" t="s">
        <v>645</v>
      </c>
      <c r="U810" s="154" t="s">
        <v>797</v>
      </c>
      <c r="V810" s="154"/>
    </row>
    <row r="811" spans="1:22" s="158" customFormat="1" x14ac:dyDescent="0.3">
      <c r="A811" s="154" t="s">
        <v>777</v>
      </c>
      <c r="B811" s="155" t="s">
        <v>154</v>
      </c>
      <c r="C811" s="154">
        <v>729</v>
      </c>
      <c r="D811" s="156" t="str">
        <f t="shared" si="287"/>
        <v>Kumite</v>
      </c>
      <c r="E811" s="156" t="str">
        <f t="shared" si="297"/>
        <v>Kumite, -, 70-999 kg, Serdülő (13-14</v>
      </c>
      <c r="F811" s="156" t="s">
        <v>535</v>
      </c>
      <c r="G811" s="157" t="str">
        <f t="shared" si="298"/>
        <v>8</v>
      </c>
      <c r="H811" s="156" t="str">
        <f t="shared" si="299"/>
        <v>8 fős egyenes kiesés</v>
      </c>
      <c r="I811" s="157" t="str">
        <f>"3"</f>
        <v>3</v>
      </c>
      <c r="J811" s="156" t="str">
        <f>"Salga Márton"</f>
        <v>Salga Márton</v>
      </c>
      <c r="K811" s="156" t="str">
        <f>"Rokku KKSE"</f>
        <v>Rokku KKSE</v>
      </c>
      <c r="L811" s="156" t="str">
        <f t="shared" si="284"/>
        <v>HUN</v>
      </c>
      <c r="M811" s="163">
        <v>0</v>
      </c>
      <c r="O811" s="154" t="s">
        <v>410</v>
      </c>
      <c r="P811" s="159">
        <v>46103</v>
      </c>
      <c r="Q811" s="154" t="str">
        <f t="shared" si="285"/>
        <v>Salga Márton - Rokku KKSE</v>
      </c>
      <c r="R811" s="154" t="s">
        <v>636</v>
      </c>
      <c r="S811" s="154" t="str">
        <f t="shared" si="286"/>
        <v>Rokku KKSE</v>
      </c>
      <c r="T811" s="154" t="s">
        <v>645</v>
      </c>
      <c r="U811" s="154" t="s">
        <v>797</v>
      </c>
      <c r="V811" s="154"/>
    </row>
    <row r="812" spans="1:22" s="158" customFormat="1" x14ac:dyDescent="0.3">
      <c r="A812" s="154" t="s">
        <v>777</v>
      </c>
      <c r="B812" s="155" t="s">
        <v>154</v>
      </c>
      <c r="C812" s="154">
        <v>730</v>
      </c>
      <c r="D812" s="156" t="str">
        <f t="shared" si="287"/>
        <v>Kumite</v>
      </c>
      <c r="E812" s="156" t="str">
        <f t="shared" si="297"/>
        <v>Kumite, -, 70-999 kg, Serdülő (13-14</v>
      </c>
      <c r="F812" s="156" t="s">
        <v>535</v>
      </c>
      <c r="G812" s="157" t="str">
        <f t="shared" si="298"/>
        <v>8</v>
      </c>
      <c r="H812" s="156" t="str">
        <f t="shared" si="299"/>
        <v>8 fős egyenes kiesés</v>
      </c>
      <c r="I812" s="157" t="str">
        <f>"3"</f>
        <v>3</v>
      </c>
      <c r="J812" s="156" t="str">
        <f>"Virág Marcell Máté"</f>
        <v>Virág Marcell Máté</v>
      </c>
      <c r="K812" s="156" t="str">
        <f>"KHSE"</f>
        <v>KHSE</v>
      </c>
      <c r="L812" s="156" t="str">
        <f t="shared" si="284"/>
        <v>HUN</v>
      </c>
      <c r="M812" s="163">
        <v>4</v>
      </c>
      <c r="O812" s="154" t="s">
        <v>410</v>
      </c>
      <c r="P812" s="159">
        <v>46103</v>
      </c>
      <c r="Q812" s="154" t="str">
        <f t="shared" si="285"/>
        <v>Virág Marcell Máté - KHSE</v>
      </c>
      <c r="R812" s="154" t="s">
        <v>636</v>
      </c>
      <c r="S812" s="154" t="str">
        <f t="shared" si="286"/>
        <v>KHSE</v>
      </c>
      <c r="T812" s="154" t="s">
        <v>645</v>
      </c>
      <c r="U812" s="154" t="s">
        <v>797</v>
      </c>
      <c r="V812" s="154"/>
    </row>
    <row r="813" spans="1:22" s="158" customFormat="1" x14ac:dyDescent="0.3">
      <c r="A813" s="154" t="s">
        <v>777</v>
      </c>
      <c r="B813" s="155" t="s">
        <v>154</v>
      </c>
      <c r="C813" s="154">
        <v>731</v>
      </c>
      <c r="D813" s="156" t="str">
        <f t="shared" si="287"/>
        <v>Kumite</v>
      </c>
      <c r="E813" s="156" t="str">
        <f t="shared" si="297"/>
        <v>Kumite, -, 70-999 kg, Serdülő (13-14</v>
      </c>
      <c r="F813" s="156" t="s">
        <v>535</v>
      </c>
      <c r="G813" s="157" t="str">
        <f t="shared" si="298"/>
        <v>8</v>
      </c>
      <c r="H813" s="156" t="str">
        <f t="shared" si="299"/>
        <v>8 fős egyenes kiesés</v>
      </c>
      <c r="I813" s="157" t="str">
        <f>"5"</f>
        <v>5</v>
      </c>
      <c r="J813" s="156" t="str">
        <f>"Simon Timon"</f>
        <v>Simon Timon</v>
      </c>
      <c r="K813" s="156" t="str">
        <f>"Buke Reikon HRSE"</f>
        <v>Buke Reikon HRSE</v>
      </c>
      <c r="L813" s="156" t="str">
        <f t="shared" si="284"/>
        <v>HUN</v>
      </c>
      <c r="M813" s="163">
        <v>0</v>
      </c>
      <c r="O813" s="154" t="s">
        <v>410</v>
      </c>
      <c r="P813" s="159">
        <v>46103</v>
      </c>
      <c r="Q813" s="154" t="str">
        <f t="shared" si="285"/>
        <v>Simon Timon - Buke Reikon HRSE</v>
      </c>
      <c r="R813" s="154" t="s">
        <v>636</v>
      </c>
      <c r="S813" s="154" t="str">
        <f t="shared" si="286"/>
        <v>Buke Reikon HRSE</v>
      </c>
      <c r="T813" s="154" t="s">
        <v>645</v>
      </c>
      <c r="U813" s="154" t="s">
        <v>797</v>
      </c>
      <c r="V813" s="154"/>
    </row>
    <row r="814" spans="1:22" s="158" customFormat="1" x14ac:dyDescent="0.3">
      <c r="A814" s="154" t="s">
        <v>777</v>
      </c>
      <c r="B814" s="155" t="s">
        <v>154</v>
      </c>
      <c r="C814" s="154">
        <v>732</v>
      </c>
      <c r="D814" s="156" t="str">
        <f t="shared" si="287"/>
        <v>Kumite</v>
      </c>
      <c r="E814" s="156" t="str">
        <f t="shared" si="297"/>
        <v>Kumite, -, 70-999 kg, Serdülő (13-14</v>
      </c>
      <c r="F814" s="156" t="s">
        <v>535</v>
      </c>
      <c r="G814" s="157" t="str">
        <f t="shared" si="298"/>
        <v>8</v>
      </c>
      <c r="H814" s="156" t="str">
        <f t="shared" si="299"/>
        <v>8 fős egyenes kiesés</v>
      </c>
      <c r="I814" s="157" t="str">
        <f>"6"</f>
        <v>6</v>
      </c>
      <c r="J814" s="156" t="str">
        <f>"Finta Csanád"</f>
        <v>Finta Csanád</v>
      </c>
      <c r="K814" s="156" t="str">
        <f>"Rakurai"</f>
        <v>Rakurai</v>
      </c>
      <c r="L814" s="156" t="str">
        <f t="shared" si="284"/>
        <v>HUN</v>
      </c>
      <c r="M814" s="163">
        <v>0</v>
      </c>
      <c r="O814" s="154" t="s">
        <v>410</v>
      </c>
      <c r="P814" s="159">
        <v>46103</v>
      </c>
      <c r="Q814" s="154" t="str">
        <f t="shared" si="285"/>
        <v>Finta Csanád - Rakurai</v>
      </c>
      <c r="R814" s="154" t="s">
        <v>636</v>
      </c>
      <c r="S814" s="154" t="str">
        <f t="shared" si="286"/>
        <v>Rakurai</v>
      </c>
      <c r="T814" s="154" t="s">
        <v>645</v>
      </c>
      <c r="U814" s="154" t="s">
        <v>797</v>
      </c>
      <c r="V814" s="154"/>
    </row>
    <row r="815" spans="1:22" s="158" customFormat="1" x14ac:dyDescent="0.3">
      <c r="A815" s="154" t="s">
        <v>777</v>
      </c>
      <c r="B815" s="155" t="s">
        <v>154</v>
      </c>
      <c r="C815" s="154">
        <v>733</v>
      </c>
      <c r="D815" s="156" t="str">
        <f t="shared" si="287"/>
        <v>Kumite</v>
      </c>
      <c r="E815" s="156" t="str">
        <f t="shared" si="297"/>
        <v>Kumite, -, 70-999 kg, Serdülő (13-14</v>
      </c>
      <c r="F815" s="156" t="s">
        <v>535</v>
      </c>
      <c r="G815" s="157" t="str">
        <f t="shared" si="298"/>
        <v>8</v>
      </c>
      <c r="H815" s="156" t="str">
        <f t="shared" si="299"/>
        <v>8 fős egyenes kiesés</v>
      </c>
      <c r="I815" s="157" t="str">
        <f>"7-8"</f>
        <v>7-8</v>
      </c>
      <c r="J815" s="156" t="str">
        <f>"Gaál-Vajai Tamás"</f>
        <v>Gaál-Vajai Tamás</v>
      </c>
      <c r="K815" s="156" t="str">
        <f>"Főnix Dojo"</f>
        <v>Főnix Dojo</v>
      </c>
      <c r="L815" s="156" t="str">
        <f t="shared" si="284"/>
        <v>HUN</v>
      </c>
      <c r="M815" s="163">
        <v>0</v>
      </c>
      <c r="O815" s="154" t="s">
        <v>410</v>
      </c>
      <c r="P815" s="159">
        <v>46103</v>
      </c>
      <c r="Q815" s="154" t="str">
        <f t="shared" si="285"/>
        <v>Gaál-Vajai Tamás - Főnix Dojo</v>
      </c>
      <c r="R815" s="154" t="s">
        <v>636</v>
      </c>
      <c r="S815" s="154" t="str">
        <f t="shared" si="286"/>
        <v>Főnix Dojo</v>
      </c>
      <c r="T815" s="154" t="s">
        <v>645</v>
      </c>
      <c r="U815" s="154" t="s">
        <v>797</v>
      </c>
      <c r="V815" s="154"/>
    </row>
    <row r="816" spans="1:22" s="158" customFormat="1" x14ac:dyDescent="0.3">
      <c r="A816" s="154" t="s">
        <v>777</v>
      </c>
      <c r="B816" s="155" t="s">
        <v>154</v>
      </c>
      <c r="C816" s="154">
        <v>734</v>
      </c>
      <c r="D816" s="156" t="str">
        <f t="shared" si="287"/>
        <v>Kumite</v>
      </c>
      <c r="E816" s="156" t="str">
        <f t="shared" si="297"/>
        <v>Kumite, -, 70-999 kg, Serdülő (13-14</v>
      </c>
      <c r="F816" s="156" t="s">
        <v>535</v>
      </c>
      <c r="G816" s="157" t="str">
        <f t="shared" si="298"/>
        <v>8</v>
      </c>
      <c r="H816" s="156" t="str">
        <f t="shared" si="299"/>
        <v>8 fős egyenes kiesés</v>
      </c>
      <c r="I816" s="157" t="str">
        <f>"7-8"</f>
        <v>7-8</v>
      </c>
      <c r="J816" s="156" t="str">
        <f>"Nagy Nimród"</f>
        <v>Nagy Nimród</v>
      </c>
      <c r="K816" s="156" t="str">
        <f>"Rakurai"</f>
        <v>Rakurai</v>
      </c>
      <c r="L816" s="156" t="str">
        <f t="shared" si="284"/>
        <v>HUN</v>
      </c>
      <c r="M816" s="163">
        <v>0</v>
      </c>
      <c r="O816" s="154" t="s">
        <v>410</v>
      </c>
      <c r="P816" s="159">
        <v>46103</v>
      </c>
      <c r="Q816" s="154" t="str">
        <f t="shared" si="285"/>
        <v>Nagy Nimród - Rakurai</v>
      </c>
      <c r="R816" s="154" t="s">
        <v>636</v>
      </c>
      <c r="S816" s="154" t="str">
        <f t="shared" si="286"/>
        <v>Rakurai</v>
      </c>
      <c r="T816" s="154" t="s">
        <v>645</v>
      </c>
      <c r="U816" s="154" t="s">
        <v>797</v>
      </c>
      <c r="V816" s="154"/>
    </row>
    <row r="817" spans="1:22" s="158" customFormat="1" x14ac:dyDescent="0.3">
      <c r="A817" s="154" t="s">
        <v>777</v>
      </c>
      <c r="B817" s="155" t="s">
        <v>154</v>
      </c>
      <c r="C817" s="154">
        <v>735</v>
      </c>
      <c r="D817" s="156" t="str">
        <f t="shared" si="287"/>
        <v>Kumite</v>
      </c>
      <c r="E817" s="156" t="str">
        <f t="shared" ref="E817:E826" si="300">"Kumite, -, 60-70 kg, Serdülő (13-14"</f>
        <v>Kumite, -, 60-70 kg, Serdülő (13-14</v>
      </c>
      <c r="F817" s="156" t="s">
        <v>533</v>
      </c>
      <c r="G817" s="157" t="str">
        <f t="shared" ref="G817:G826" si="301">"10"</f>
        <v>10</v>
      </c>
      <c r="H817" s="156" t="str">
        <f t="shared" ref="H817:H826" si="302">"16 fős egyenes kiesés"</f>
        <v>16 fős egyenes kiesés</v>
      </c>
      <c r="I817" s="157" t="str">
        <f>"1"</f>
        <v>1</v>
      </c>
      <c r="J817" s="156" t="str">
        <f>"Száraz Zsombor"</f>
        <v>Száraz Zsombor</v>
      </c>
      <c r="K817" s="156" t="str">
        <f>"Derecske BUDO"</f>
        <v>Derecske BUDO</v>
      </c>
      <c r="L817" s="156" t="str">
        <f t="shared" si="284"/>
        <v>HUN</v>
      </c>
      <c r="M817" s="163">
        <v>10</v>
      </c>
      <c r="O817" s="154" t="s">
        <v>410</v>
      </c>
      <c r="P817" s="159">
        <v>46103</v>
      </c>
      <c r="Q817" s="154" t="str">
        <f t="shared" si="285"/>
        <v>Száraz Zsombor - Derecske BUDO</v>
      </c>
      <c r="R817" s="154" t="s">
        <v>636</v>
      </c>
      <c r="S817" s="154" t="str">
        <f t="shared" si="286"/>
        <v>Derecske BUDO</v>
      </c>
      <c r="T817" s="154" t="s">
        <v>645</v>
      </c>
      <c r="U817" s="154" t="s">
        <v>797</v>
      </c>
      <c r="V817" s="154"/>
    </row>
    <row r="818" spans="1:22" s="158" customFormat="1" x14ac:dyDescent="0.3">
      <c r="A818" s="154" t="s">
        <v>777</v>
      </c>
      <c r="B818" s="155" t="s">
        <v>154</v>
      </c>
      <c r="C818" s="154">
        <v>736</v>
      </c>
      <c r="D818" s="156" t="str">
        <f t="shared" si="287"/>
        <v>Kumite</v>
      </c>
      <c r="E818" s="156" t="str">
        <f t="shared" si="300"/>
        <v>Kumite, -, 60-70 kg, Serdülő (13-14</v>
      </c>
      <c r="F818" s="156" t="s">
        <v>533</v>
      </c>
      <c r="G818" s="157" t="str">
        <f t="shared" si="301"/>
        <v>10</v>
      </c>
      <c r="H818" s="156" t="str">
        <f t="shared" si="302"/>
        <v>16 fős egyenes kiesés</v>
      </c>
      <c r="I818" s="157" t="str">
        <f>"2"</f>
        <v>2</v>
      </c>
      <c r="J818" s="156" t="str">
        <f>"Tokaji Bocsárd Norbert"</f>
        <v>Tokaji Bocsárd Norbert</v>
      </c>
      <c r="K818" s="156" t="str">
        <f>"KHSE"</f>
        <v>KHSE</v>
      </c>
      <c r="L818" s="156" t="str">
        <f t="shared" si="284"/>
        <v>HUN</v>
      </c>
      <c r="M818" s="163">
        <v>8</v>
      </c>
      <c r="O818" s="154" t="s">
        <v>410</v>
      </c>
      <c r="P818" s="159">
        <v>46103</v>
      </c>
      <c r="Q818" s="154" t="str">
        <f t="shared" si="285"/>
        <v>Tokaji Bocsárd Norbert - KHSE</v>
      </c>
      <c r="R818" s="154" t="s">
        <v>636</v>
      </c>
      <c r="S818" s="154" t="str">
        <f t="shared" si="286"/>
        <v>KHSE</v>
      </c>
      <c r="T818" s="154" t="s">
        <v>645</v>
      </c>
      <c r="U818" s="154" t="s">
        <v>797</v>
      </c>
      <c r="V818" s="154"/>
    </row>
    <row r="819" spans="1:22" s="158" customFormat="1" x14ac:dyDescent="0.3">
      <c r="A819" s="154" t="s">
        <v>777</v>
      </c>
      <c r="B819" s="155" t="s">
        <v>154</v>
      </c>
      <c r="C819" s="154">
        <v>737</v>
      </c>
      <c r="D819" s="156" t="str">
        <f t="shared" si="287"/>
        <v>Kumite</v>
      </c>
      <c r="E819" s="156" t="str">
        <f t="shared" si="300"/>
        <v>Kumite, -, 60-70 kg, Serdülő (13-14</v>
      </c>
      <c r="F819" s="156" t="s">
        <v>533</v>
      </c>
      <c r="G819" s="157" t="str">
        <f t="shared" si="301"/>
        <v>10</v>
      </c>
      <c r="H819" s="156" t="str">
        <f t="shared" si="302"/>
        <v>16 fős egyenes kiesés</v>
      </c>
      <c r="I819" s="157" t="str">
        <f>"3"</f>
        <v>3</v>
      </c>
      <c r="J819" s="156" t="str">
        <f>"Kárpáti Bence"</f>
        <v>Kárpáti Bence</v>
      </c>
      <c r="K819" s="156" t="str">
        <f>"Cs.S.E."</f>
        <v>Cs.S.E.</v>
      </c>
      <c r="L819" s="156" t="str">
        <f t="shared" si="284"/>
        <v>HUN</v>
      </c>
      <c r="M819" s="163">
        <v>6</v>
      </c>
      <c r="O819" s="154" t="s">
        <v>410</v>
      </c>
      <c r="P819" s="159">
        <v>46103</v>
      </c>
      <c r="Q819" s="154" t="str">
        <f t="shared" si="285"/>
        <v>Kárpáti Bence - Cs.S.E.</v>
      </c>
      <c r="R819" s="154" t="s">
        <v>636</v>
      </c>
      <c r="S819" s="154" t="str">
        <f t="shared" si="286"/>
        <v>Cs.S.E.</v>
      </c>
      <c r="T819" s="154" t="s">
        <v>645</v>
      </c>
      <c r="U819" s="154" t="s">
        <v>797</v>
      </c>
      <c r="V819" s="154"/>
    </row>
    <row r="820" spans="1:22" s="158" customFormat="1" x14ac:dyDescent="0.3">
      <c r="A820" s="154" t="s">
        <v>777</v>
      </c>
      <c r="B820" s="155" t="s">
        <v>154</v>
      </c>
      <c r="C820" s="154">
        <v>738</v>
      </c>
      <c r="D820" s="156" t="str">
        <f t="shared" si="287"/>
        <v>Kumite</v>
      </c>
      <c r="E820" s="156" t="str">
        <f t="shared" si="300"/>
        <v>Kumite, -, 60-70 kg, Serdülő (13-14</v>
      </c>
      <c r="F820" s="156" t="s">
        <v>533</v>
      </c>
      <c r="G820" s="157" t="str">
        <f t="shared" si="301"/>
        <v>10</v>
      </c>
      <c r="H820" s="156" t="str">
        <f t="shared" si="302"/>
        <v>16 fős egyenes kiesés</v>
      </c>
      <c r="I820" s="157" t="str">
        <f>"3"</f>
        <v>3</v>
      </c>
      <c r="J820" s="156" t="str">
        <f>"Farkas Álmos"</f>
        <v>Farkas Álmos</v>
      </c>
      <c r="K820" s="156" t="str">
        <f>"KYO Fighter SE"</f>
        <v>KYO Fighter SE</v>
      </c>
      <c r="L820" s="156" t="str">
        <f t="shared" si="284"/>
        <v>HUN</v>
      </c>
      <c r="M820" s="163">
        <v>6</v>
      </c>
      <c r="O820" s="154" t="s">
        <v>410</v>
      </c>
      <c r="P820" s="159">
        <v>46103</v>
      </c>
      <c r="Q820" s="154" t="str">
        <f t="shared" si="285"/>
        <v>Farkas Álmos - KYO Fighter SE</v>
      </c>
      <c r="R820" s="154" t="s">
        <v>636</v>
      </c>
      <c r="S820" s="154" t="str">
        <f t="shared" si="286"/>
        <v>KYO Fighter SE</v>
      </c>
      <c r="T820" s="154" t="s">
        <v>645</v>
      </c>
      <c r="U820" s="154" t="s">
        <v>797</v>
      </c>
      <c r="V820" s="154"/>
    </row>
    <row r="821" spans="1:22" s="158" customFormat="1" x14ac:dyDescent="0.3">
      <c r="A821" s="154" t="s">
        <v>777</v>
      </c>
      <c r="B821" s="155" t="s">
        <v>154</v>
      </c>
      <c r="C821" s="154">
        <v>739</v>
      </c>
      <c r="D821" s="156" t="str">
        <f t="shared" si="287"/>
        <v>Kumite</v>
      </c>
      <c r="E821" s="156" t="str">
        <f t="shared" si="300"/>
        <v>Kumite, -, 60-70 kg, Serdülő (13-14</v>
      </c>
      <c r="F821" s="156" t="s">
        <v>533</v>
      </c>
      <c r="G821" s="157" t="str">
        <f t="shared" si="301"/>
        <v>10</v>
      </c>
      <c r="H821" s="156" t="str">
        <f t="shared" si="302"/>
        <v>16 fős egyenes kiesés</v>
      </c>
      <c r="I821" s="157" t="str">
        <f>"5"</f>
        <v>5</v>
      </c>
      <c r="J821" s="156" t="str">
        <f>"Reinhofer Patrik"</f>
        <v>Reinhofer Patrik</v>
      </c>
      <c r="K821" s="156" t="str">
        <f>"Rokku KKSE"</f>
        <v>Rokku KKSE</v>
      </c>
      <c r="L821" s="156" t="str">
        <f t="shared" si="284"/>
        <v>HUN</v>
      </c>
      <c r="M821" s="163">
        <v>0</v>
      </c>
      <c r="N821" s="158" t="s">
        <v>704</v>
      </c>
      <c r="O821" s="154" t="s">
        <v>410</v>
      </c>
      <c r="P821" s="159">
        <v>46103</v>
      </c>
      <c r="Q821" s="154" t="str">
        <f t="shared" si="285"/>
        <v>Reinhofer Patrik - Rokku KKSE</v>
      </c>
      <c r="R821" s="154" t="s">
        <v>636</v>
      </c>
      <c r="S821" s="154" t="str">
        <f t="shared" si="286"/>
        <v>Rokku KKSE</v>
      </c>
      <c r="T821" s="154" t="s">
        <v>645</v>
      </c>
      <c r="U821" s="154" t="s">
        <v>797</v>
      </c>
      <c r="V821" s="154"/>
    </row>
    <row r="822" spans="1:22" s="158" customFormat="1" x14ac:dyDescent="0.3">
      <c r="A822" s="154" t="s">
        <v>777</v>
      </c>
      <c r="B822" s="155" t="s">
        <v>154</v>
      </c>
      <c r="C822" s="154">
        <v>740</v>
      </c>
      <c r="D822" s="156" t="str">
        <f t="shared" si="287"/>
        <v>Kumite</v>
      </c>
      <c r="E822" s="156" t="str">
        <f t="shared" si="300"/>
        <v>Kumite, -, 60-70 kg, Serdülő (13-14</v>
      </c>
      <c r="F822" s="156" t="s">
        <v>533</v>
      </c>
      <c r="G822" s="157" t="str">
        <f t="shared" si="301"/>
        <v>10</v>
      </c>
      <c r="H822" s="156" t="str">
        <f t="shared" si="302"/>
        <v>16 fős egyenes kiesés</v>
      </c>
      <c r="I822" s="157" t="str">
        <f>"6"</f>
        <v>6</v>
      </c>
      <c r="J822" s="156" t="str">
        <f>"Adámi Áron"</f>
        <v>Adámi Áron</v>
      </c>
      <c r="K822" s="156" t="str">
        <f>"Ichiro Dojo"</f>
        <v>Ichiro Dojo</v>
      </c>
      <c r="L822" s="156" t="str">
        <f t="shared" si="284"/>
        <v>HUN</v>
      </c>
      <c r="M822" s="163">
        <v>0</v>
      </c>
      <c r="N822" s="158" t="s">
        <v>704</v>
      </c>
      <c r="O822" s="154" t="s">
        <v>410</v>
      </c>
      <c r="P822" s="159">
        <v>46103</v>
      </c>
      <c r="Q822" s="154" t="str">
        <f t="shared" si="285"/>
        <v>Adámi Áron - Ichiro Dojo</v>
      </c>
      <c r="R822" s="154" t="s">
        <v>637</v>
      </c>
      <c r="S822" s="154" t="str">
        <f t="shared" si="286"/>
        <v>Ichiro Dojo</v>
      </c>
      <c r="T822" s="154" t="s">
        <v>645</v>
      </c>
      <c r="U822" s="154" t="s">
        <v>797</v>
      </c>
      <c r="V822" s="154"/>
    </row>
    <row r="823" spans="1:22" s="158" customFormat="1" x14ac:dyDescent="0.3">
      <c r="A823" s="154" t="s">
        <v>777</v>
      </c>
      <c r="B823" s="155" t="s">
        <v>154</v>
      </c>
      <c r="C823" s="154">
        <v>741</v>
      </c>
      <c r="D823" s="156" t="str">
        <f t="shared" si="287"/>
        <v>Kumite</v>
      </c>
      <c r="E823" s="156" t="str">
        <f t="shared" si="300"/>
        <v>Kumite, -, 60-70 kg, Serdülő (13-14</v>
      </c>
      <c r="F823" s="156" t="s">
        <v>533</v>
      </c>
      <c r="G823" s="157" t="str">
        <f t="shared" si="301"/>
        <v>10</v>
      </c>
      <c r="H823" s="156" t="str">
        <f t="shared" si="302"/>
        <v>16 fős egyenes kiesés</v>
      </c>
      <c r="I823" s="157" t="str">
        <f>"7-8"</f>
        <v>7-8</v>
      </c>
      <c r="J823" s="156" t="str">
        <f>"Kovács Máté Noel"</f>
        <v>Kovács Máté Noel</v>
      </c>
      <c r="K823" s="156" t="str">
        <f>"Bátor KSE"</f>
        <v>Bátor KSE</v>
      </c>
      <c r="L823" s="156" t="str">
        <f t="shared" si="284"/>
        <v>HUN</v>
      </c>
      <c r="M823" s="163">
        <v>0</v>
      </c>
      <c r="N823" s="158" t="s">
        <v>704</v>
      </c>
      <c r="O823" s="154" t="s">
        <v>410</v>
      </c>
      <c r="P823" s="159">
        <v>46103</v>
      </c>
      <c r="Q823" s="154" t="str">
        <f t="shared" si="285"/>
        <v>Kovács Máté Noel - Bátor KSE</v>
      </c>
      <c r="R823" s="154" t="s">
        <v>636</v>
      </c>
      <c r="S823" s="154" t="str">
        <f t="shared" si="286"/>
        <v>Bátor KSE</v>
      </c>
      <c r="T823" s="154" t="s">
        <v>645</v>
      </c>
      <c r="U823" s="154" t="s">
        <v>797</v>
      </c>
      <c r="V823" s="154"/>
    </row>
    <row r="824" spans="1:22" s="158" customFormat="1" x14ac:dyDescent="0.3">
      <c r="A824" s="154" t="s">
        <v>777</v>
      </c>
      <c r="B824" s="155" t="s">
        <v>154</v>
      </c>
      <c r="C824" s="154">
        <v>742</v>
      </c>
      <c r="D824" s="156" t="str">
        <f t="shared" si="287"/>
        <v>Kumite</v>
      </c>
      <c r="E824" s="156" t="str">
        <f t="shared" si="300"/>
        <v>Kumite, -, 60-70 kg, Serdülő (13-14</v>
      </c>
      <c r="F824" s="156" t="s">
        <v>533</v>
      </c>
      <c r="G824" s="157" t="str">
        <f t="shared" si="301"/>
        <v>10</v>
      </c>
      <c r="H824" s="156" t="str">
        <f t="shared" si="302"/>
        <v>16 fős egyenes kiesés</v>
      </c>
      <c r="I824" s="157" t="str">
        <f>"7-8"</f>
        <v>7-8</v>
      </c>
      <c r="J824" s="156" t="str">
        <f>"Urszuly Noel"</f>
        <v>Urszuly Noel</v>
      </c>
      <c r="K824" s="156" t="str">
        <f>"Rokku KKSE"</f>
        <v>Rokku KKSE</v>
      </c>
      <c r="L824" s="156" t="str">
        <f t="shared" si="284"/>
        <v>HUN</v>
      </c>
      <c r="M824" s="163">
        <v>0</v>
      </c>
      <c r="N824" s="158" t="s">
        <v>704</v>
      </c>
      <c r="O824" s="154" t="s">
        <v>410</v>
      </c>
      <c r="P824" s="159">
        <v>46103</v>
      </c>
      <c r="Q824" s="154" t="str">
        <f t="shared" si="285"/>
        <v>Urszuly Noel - Rokku KKSE</v>
      </c>
      <c r="R824" s="154" t="s">
        <v>636</v>
      </c>
      <c r="S824" s="154" t="str">
        <f t="shared" si="286"/>
        <v>Rokku KKSE</v>
      </c>
      <c r="T824" s="154" t="s">
        <v>645</v>
      </c>
      <c r="U824" s="154" t="s">
        <v>797</v>
      </c>
      <c r="V824" s="154"/>
    </row>
    <row r="825" spans="1:22" s="158" customFormat="1" x14ac:dyDescent="0.3">
      <c r="A825" s="154" t="s">
        <v>777</v>
      </c>
      <c r="B825" s="155" t="s">
        <v>154</v>
      </c>
      <c r="C825" s="154">
        <v>743</v>
      </c>
      <c r="D825" s="156" t="str">
        <f t="shared" si="287"/>
        <v>Kumite</v>
      </c>
      <c r="E825" s="156" t="str">
        <f t="shared" si="300"/>
        <v>Kumite, -, 60-70 kg, Serdülő (13-14</v>
      </c>
      <c r="F825" s="156" t="s">
        <v>533</v>
      </c>
      <c r="G825" s="157" t="str">
        <f t="shared" si="301"/>
        <v>10</v>
      </c>
      <c r="H825" s="156" t="str">
        <f t="shared" si="302"/>
        <v>16 fős egyenes kiesés</v>
      </c>
      <c r="I825" s="157" t="str">
        <f>"11-16"</f>
        <v>11-16</v>
      </c>
      <c r="J825" s="156" t="str">
        <f>"Horváth Bence László"</f>
        <v>Horváth Bence László</v>
      </c>
      <c r="K825" s="156" t="str">
        <f>"Rakurai"</f>
        <v>Rakurai</v>
      </c>
      <c r="L825" s="156" t="str">
        <f t="shared" si="284"/>
        <v>HUN</v>
      </c>
      <c r="M825" s="163">
        <v>0</v>
      </c>
      <c r="O825" s="154" t="s">
        <v>410</v>
      </c>
      <c r="P825" s="159">
        <v>46103</v>
      </c>
      <c r="Q825" s="154" t="str">
        <f t="shared" si="285"/>
        <v>Horváth Bence László - Rakurai</v>
      </c>
      <c r="R825" s="154" t="s">
        <v>636</v>
      </c>
      <c r="S825" s="154" t="str">
        <f t="shared" si="286"/>
        <v>Rakurai</v>
      </c>
      <c r="T825" s="154" t="s">
        <v>645</v>
      </c>
      <c r="U825" s="154" t="s">
        <v>797</v>
      </c>
      <c r="V825" s="154"/>
    </row>
    <row r="826" spans="1:22" s="158" customFormat="1" x14ac:dyDescent="0.3">
      <c r="A826" s="154" t="s">
        <v>777</v>
      </c>
      <c r="B826" s="155" t="s">
        <v>154</v>
      </c>
      <c r="C826" s="154">
        <v>744</v>
      </c>
      <c r="D826" s="156" t="str">
        <f t="shared" si="287"/>
        <v>Kumite</v>
      </c>
      <c r="E826" s="156" t="str">
        <f t="shared" si="300"/>
        <v>Kumite, -, 60-70 kg, Serdülő (13-14</v>
      </c>
      <c r="F826" s="156" t="s">
        <v>533</v>
      </c>
      <c r="G826" s="157" t="str">
        <f t="shared" si="301"/>
        <v>10</v>
      </c>
      <c r="H826" s="156" t="str">
        <f t="shared" si="302"/>
        <v>16 fős egyenes kiesés</v>
      </c>
      <c r="I826" s="157" t="str">
        <f>"11-16"</f>
        <v>11-16</v>
      </c>
      <c r="J826" s="156" t="str">
        <f>"Varga Bence"</f>
        <v>Varga Bence</v>
      </c>
      <c r="K826" s="156" t="str">
        <f>"KSE Tarján"</f>
        <v>KSE Tarján</v>
      </c>
      <c r="L826" s="156" t="str">
        <f t="shared" si="284"/>
        <v>HUN</v>
      </c>
      <c r="M826" s="163">
        <v>0</v>
      </c>
      <c r="O826" s="154" t="s">
        <v>410</v>
      </c>
      <c r="P826" s="159">
        <v>46103</v>
      </c>
      <c r="Q826" s="154" t="str">
        <f t="shared" si="285"/>
        <v>Varga Bence - KSE Tarján</v>
      </c>
      <c r="R826" s="154" t="s">
        <v>636</v>
      </c>
      <c r="S826" s="154" t="str">
        <f t="shared" si="286"/>
        <v>KSE Tarján</v>
      </c>
      <c r="T826" s="154" t="s">
        <v>645</v>
      </c>
      <c r="U826" s="154" t="s">
        <v>797</v>
      </c>
      <c r="V826" s="154"/>
    </row>
    <row r="827" spans="1:22" s="158" customFormat="1" x14ac:dyDescent="0.3">
      <c r="A827" s="154" t="s">
        <v>777</v>
      </c>
      <c r="B827" s="155" t="s">
        <v>154</v>
      </c>
      <c r="C827" s="154">
        <v>745</v>
      </c>
      <c r="D827" s="156" t="str">
        <f t="shared" ref="D827:D842" si="303">"Kata"</f>
        <v>Kata</v>
      </c>
      <c r="E827" s="156" t="str">
        <f t="shared" ref="E827:E842" si="304">"Kata, -, 0-150 kg, Serdülő (13-14"</f>
        <v>Kata, -, 0-150 kg, Serdülő (13-14</v>
      </c>
      <c r="F827" s="156" t="s">
        <v>537</v>
      </c>
      <c r="G827" s="157" t="str">
        <f t="shared" ref="G827:G842" si="305">"17"</f>
        <v>17</v>
      </c>
      <c r="H827" s="156" t="str">
        <f t="shared" ref="H827:H842" si="306">"32 fős egyenes kiesés"</f>
        <v>32 fős egyenes kiesés</v>
      </c>
      <c r="I827" s="157" t="str">
        <f>"1"</f>
        <v>1</v>
      </c>
      <c r="J827" s="156" t="str">
        <f>"Maklaga Norbert"</f>
        <v>Maklaga Norbert</v>
      </c>
      <c r="K827" s="156" t="str">
        <f>"Kagami"</f>
        <v>Kagami</v>
      </c>
      <c r="L827" s="156" t="str">
        <f t="shared" si="284"/>
        <v>HUN</v>
      </c>
      <c r="M827" s="163">
        <v>10</v>
      </c>
      <c r="O827" s="154" t="s">
        <v>410</v>
      </c>
      <c r="P827" s="159">
        <v>46103</v>
      </c>
      <c r="Q827" s="154" t="str">
        <f t="shared" si="285"/>
        <v>Maklaga Norbert - Kagami</v>
      </c>
      <c r="R827" s="154" t="s">
        <v>636</v>
      </c>
      <c r="S827" s="154" t="str">
        <f t="shared" si="286"/>
        <v>Kagami</v>
      </c>
      <c r="T827" s="154" t="s">
        <v>645</v>
      </c>
      <c r="U827" s="154" t="s">
        <v>797</v>
      </c>
      <c r="V827" s="154"/>
    </row>
    <row r="828" spans="1:22" s="158" customFormat="1" x14ac:dyDescent="0.3">
      <c r="A828" s="154" t="s">
        <v>777</v>
      </c>
      <c r="B828" s="155" t="s">
        <v>154</v>
      </c>
      <c r="C828" s="154">
        <v>746</v>
      </c>
      <c r="D828" s="156" t="str">
        <f t="shared" si="303"/>
        <v>Kata</v>
      </c>
      <c r="E828" s="156" t="str">
        <f t="shared" si="304"/>
        <v>Kata, -, 0-150 kg, Serdülő (13-14</v>
      </c>
      <c r="F828" s="156" t="s">
        <v>537</v>
      </c>
      <c r="G828" s="157" t="str">
        <f t="shared" si="305"/>
        <v>17</v>
      </c>
      <c r="H828" s="156" t="str">
        <f t="shared" si="306"/>
        <v>32 fős egyenes kiesés</v>
      </c>
      <c r="I828" s="157" t="str">
        <f>"2"</f>
        <v>2</v>
      </c>
      <c r="J828" s="156" t="str">
        <f>"Kis Ádám Zsolt"</f>
        <v>Kis Ádám Zsolt</v>
      </c>
      <c r="K828" s="156" t="str">
        <f>"KYO Fighter SE"</f>
        <v>KYO Fighter SE</v>
      </c>
      <c r="L828" s="156" t="str">
        <f t="shared" si="284"/>
        <v>HUN</v>
      </c>
      <c r="M828" s="163">
        <v>7</v>
      </c>
      <c r="O828" s="154" t="s">
        <v>410</v>
      </c>
      <c r="P828" s="159">
        <v>46103</v>
      </c>
      <c r="Q828" s="154" t="str">
        <f t="shared" si="285"/>
        <v>Kis Ádám Zsolt - KYO Fighter SE</v>
      </c>
      <c r="R828" s="154" t="s">
        <v>636</v>
      </c>
      <c r="S828" s="154" t="str">
        <f t="shared" si="286"/>
        <v>KYO Fighter SE</v>
      </c>
      <c r="T828" s="154" t="s">
        <v>645</v>
      </c>
      <c r="U828" s="154" t="s">
        <v>797</v>
      </c>
      <c r="V828" s="154"/>
    </row>
    <row r="829" spans="1:22" s="158" customFormat="1" x14ac:dyDescent="0.3">
      <c r="A829" s="154" t="s">
        <v>777</v>
      </c>
      <c r="B829" s="155" t="s">
        <v>154</v>
      </c>
      <c r="C829" s="154">
        <v>747</v>
      </c>
      <c r="D829" s="156" t="str">
        <f t="shared" si="303"/>
        <v>Kata</v>
      </c>
      <c r="E829" s="156" t="str">
        <f t="shared" si="304"/>
        <v>Kata, -, 0-150 kg, Serdülő (13-14</v>
      </c>
      <c r="F829" s="156" t="s">
        <v>537</v>
      </c>
      <c r="G829" s="157" t="str">
        <f t="shared" si="305"/>
        <v>17</v>
      </c>
      <c r="H829" s="156" t="str">
        <f t="shared" si="306"/>
        <v>32 fős egyenes kiesés</v>
      </c>
      <c r="I829" s="157" t="str">
        <f>"3"</f>
        <v>3</v>
      </c>
      <c r="J829" s="156" t="str">
        <f>"Moosbauer Kevin"</f>
        <v>Moosbauer Kevin</v>
      </c>
      <c r="K829" s="156" t="str">
        <f>"KSE Tarján"</f>
        <v>KSE Tarján</v>
      </c>
      <c r="L829" s="156" t="str">
        <f t="shared" si="284"/>
        <v>HUN</v>
      </c>
      <c r="M829" s="163">
        <v>5</v>
      </c>
      <c r="O829" s="154" t="s">
        <v>410</v>
      </c>
      <c r="P829" s="159">
        <v>46103</v>
      </c>
      <c r="Q829" s="154" t="str">
        <f t="shared" si="285"/>
        <v>Moosbauer Kevin - KSE Tarján</v>
      </c>
      <c r="R829" s="154" t="s">
        <v>636</v>
      </c>
      <c r="S829" s="154" t="str">
        <f t="shared" si="286"/>
        <v>KSE Tarján</v>
      </c>
      <c r="T829" s="154" t="s">
        <v>645</v>
      </c>
      <c r="U829" s="154" t="s">
        <v>797</v>
      </c>
      <c r="V829" s="154"/>
    </row>
    <row r="830" spans="1:22" s="158" customFormat="1" x14ac:dyDescent="0.3">
      <c r="A830" s="154" t="s">
        <v>777</v>
      </c>
      <c r="B830" s="155" t="s">
        <v>154</v>
      </c>
      <c r="C830" s="154">
        <v>748</v>
      </c>
      <c r="D830" s="156" t="str">
        <f t="shared" si="303"/>
        <v>Kata</v>
      </c>
      <c r="E830" s="156" t="str">
        <f t="shared" si="304"/>
        <v>Kata, -, 0-150 kg, Serdülő (13-14</v>
      </c>
      <c r="F830" s="156" t="s">
        <v>537</v>
      </c>
      <c r="G830" s="157" t="str">
        <f t="shared" si="305"/>
        <v>17</v>
      </c>
      <c r="H830" s="156" t="str">
        <f t="shared" si="306"/>
        <v>32 fős egyenes kiesés</v>
      </c>
      <c r="I830" s="157" t="str">
        <f>"3"</f>
        <v>3</v>
      </c>
      <c r="J830" s="156" t="str">
        <f>"Remenyik Dániel"</f>
        <v>Remenyik Dániel</v>
      </c>
      <c r="K830" s="156" t="str">
        <f>"Shogun"</f>
        <v>Shogun</v>
      </c>
      <c r="L830" s="156" t="str">
        <f t="shared" si="284"/>
        <v>HUN</v>
      </c>
      <c r="M830" s="163">
        <v>5</v>
      </c>
      <c r="O830" s="154" t="s">
        <v>410</v>
      </c>
      <c r="P830" s="159">
        <v>46103</v>
      </c>
      <c r="Q830" s="154" t="str">
        <f t="shared" si="285"/>
        <v>Remenyik Dániel - Shogun</v>
      </c>
      <c r="R830" s="154" t="s">
        <v>636</v>
      </c>
      <c r="S830" s="154" t="str">
        <f t="shared" si="286"/>
        <v>Shogun</v>
      </c>
      <c r="T830" s="154" t="s">
        <v>645</v>
      </c>
      <c r="U830" s="154" t="s">
        <v>797</v>
      </c>
      <c r="V830" s="154"/>
    </row>
    <row r="831" spans="1:22" s="158" customFormat="1" x14ac:dyDescent="0.3">
      <c r="A831" s="154" t="s">
        <v>777</v>
      </c>
      <c r="B831" s="155" t="s">
        <v>154</v>
      </c>
      <c r="C831" s="154">
        <v>749</v>
      </c>
      <c r="D831" s="156" t="str">
        <f t="shared" si="303"/>
        <v>Kata</v>
      </c>
      <c r="E831" s="156" t="str">
        <f t="shared" si="304"/>
        <v>Kata, -, 0-150 kg, Serdülő (13-14</v>
      </c>
      <c r="F831" s="156" t="s">
        <v>537</v>
      </c>
      <c r="G831" s="157" t="str">
        <f t="shared" si="305"/>
        <v>17</v>
      </c>
      <c r="H831" s="156" t="str">
        <f t="shared" si="306"/>
        <v>32 fős egyenes kiesés</v>
      </c>
      <c r="I831" s="157" t="str">
        <f>"5"</f>
        <v>5</v>
      </c>
      <c r="J831" s="156" t="str">
        <f>"Berényi Bence"</f>
        <v>Berényi Bence</v>
      </c>
      <c r="K831" s="156" t="str">
        <f>"Shogun"</f>
        <v>Shogun</v>
      </c>
      <c r="L831" s="156" t="str">
        <f t="shared" si="284"/>
        <v>HUN</v>
      </c>
      <c r="M831" s="163">
        <v>3</v>
      </c>
      <c r="O831" s="154" t="s">
        <v>410</v>
      </c>
      <c r="P831" s="159">
        <v>46103</v>
      </c>
      <c r="Q831" s="154" t="str">
        <f t="shared" si="285"/>
        <v>Berényi Bence - Shogun</v>
      </c>
      <c r="R831" s="154" t="s">
        <v>636</v>
      </c>
      <c r="S831" s="154" t="str">
        <f t="shared" si="286"/>
        <v>Shogun</v>
      </c>
      <c r="T831" s="154" t="s">
        <v>645</v>
      </c>
      <c r="U831" s="154" t="s">
        <v>797</v>
      </c>
      <c r="V831" s="154"/>
    </row>
    <row r="832" spans="1:22" s="158" customFormat="1" x14ac:dyDescent="0.3">
      <c r="A832" s="154" t="s">
        <v>777</v>
      </c>
      <c r="B832" s="155" t="s">
        <v>154</v>
      </c>
      <c r="C832" s="154">
        <v>750</v>
      </c>
      <c r="D832" s="156" t="str">
        <f t="shared" si="303"/>
        <v>Kata</v>
      </c>
      <c r="E832" s="156" t="str">
        <f t="shared" si="304"/>
        <v>Kata, -, 0-150 kg, Serdülő (13-14</v>
      </c>
      <c r="F832" s="156" t="s">
        <v>537</v>
      </c>
      <c r="G832" s="157" t="str">
        <f t="shared" si="305"/>
        <v>17</v>
      </c>
      <c r="H832" s="156" t="str">
        <f t="shared" si="306"/>
        <v>32 fős egyenes kiesés</v>
      </c>
      <c r="I832" s="157" t="str">
        <f>"6"</f>
        <v>6</v>
      </c>
      <c r="J832" s="156" t="str">
        <f>"Kovács Mihály Ágoston"</f>
        <v>Kovács Mihály Ágoston</v>
      </c>
      <c r="K832" s="156" t="str">
        <f>"Borza Dojo"</f>
        <v>Borza Dojo</v>
      </c>
      <c r="L832" s="156" t="str">
        <f t="shared" si="284"/>
        <v>HUN</v>
      </c>
      <c r="M832" s="163">
        <v>3</v>
      </c>
      <c r="O832" s="154" t="s">
        <v>410</v>
      </c>
      <c r="P832" s="159">
        <v>46103</v>
      </c>
      <c r="Q832" s="154" t="str">
        <f t="shared" si="285"/>
        <v>Kovács Mihály Ágoston - Borza Dojo</v>
      </c>
      <c r="R832" s="154" t="s">
        <v>637</v>
      </c>
      <c r="S832" s="154" t="str">
        <f t="shared" si="286"/>
        <v>Borza Dojo</v>
      </c>
      <c r="T832" s="154" t="s">
        <v>645</v>
      </c>
      <c r="U832" s="154" t="s">
        <v>797</v>
      </c>
      <c r="V832" s="154"/>
    </row>
    <row r="833" spans="1:22" s="158" customFormat="1" x14ac:dyDescent="0.3">
      <c r="A833" s="154" t="s">
        <v>777</v>
      </c>
      <c r="B833" s="155" t="s">
        <v>154</v>
      </c>
      <c r="C833" s="154">
        <v>751</v>
      </c>
      <c r="D833" s="156" t="str">
        <f t="shared" si="303"/>
        <v>Kata</v>
      </c>
      <c r="E833" s="156" t="str">
        <f t="shared" si="304"/>
        <v>Kata, -, 0-150 kg, Serdülő (13-14</v>
      </c>
      <c r="F833" s="156" t="s">
        <v>537</v>
      </c>
      <c r="G833" s="157" t="str">
        <f t="shared" si="305"/>
        <v>17</v>
      </c>
      <c r="H833" s="156" t="str">
        <f t="shared" si="306"/>
        <v>32 fős egyenes kiesés</v>
      </c>
      <c r="I833" s="157" t="str">
        <f>"7-8"</f>
        <v>7-8</v>
      </c>
      <c r="J833" s="156" t="str">
        <f>"Jankovics Marcell"</f>
        <v>Jankovics Marcell</v>
      </c>
      <c r="K833" s="156" t="str">
        <f>"Siófok KSE"</f>
        <v>Siófok KSE</v>
      </c>
      <c r="L833" s="156" t="str">
        <f t="shared" si="284"/>
        <v>HUN</v>
      </c>
      <c r="M833" s="163">
        <v>3</v>
      </c>
      <c r="O833" s="154" t="s">
        <v>410</v>
      </c>
      <c r="P833" s="159">
        <v>46103</v>
      </c>
      <c r="Q833" s="154" t="str">
        <f t="shared" si="285"/>
        <v>Jankovics Marcell - Siófok KSE</v>
      </c>
      <c r="R833" s="154" t="s">
        <v>636</v>
      </c>
      <c r="S833" s="154" t="str">
        <f t="shared" si="286"/>
        <v>Siófok KSE</v>
      </c>
      <c r="T833" s="154" t="s">
        <v>645</v>
      </c>
      <c r="U833" s="154" t="s">
        <v>797</v>
      </c>
      <c r="V833" s="154"/>
    </row>
    <row r="834" spans="1:22" s="158" customFormat="1" x14ac:dyDescent="0.3">
      <c r="A834" s="154" t="s">
        <v>777</v>
      </c>
      <c r="B834" s="155" t="s">
        <v>154</v>
      </c>
      <c r="C834" s="154">
        <v>752</v>
      </c>
      <c r="D834" s="156" t="str">
        <f t="shared" si="303"/>
        <v>Kata</v>
      </c>
      <c r="E834" s="156" t="str">
        <f t="shared" si="304"/>
        <v>Kata, -, 0-150 kg, Serdülő (13-14</v>
      </c>
      <c r="F834" s="156" t="s">
        <v>537</v>
      </c>
      <c r="G834" s="157" t="str">
        <f t="shared" si="305"/>
        <v>17</v>
      </c>
      <c r="H834" s="156" t="str">
        <f t="shared" si="306"/>
        <v>32 fős egyenes kiesés</v>
      </c>
      <c r="I834" s="157" t="str">
        <f>"7-8"</f>
        <v>7-8</v>
      </c>
      <c r="J834" s="156" t="str">
        <f>"Avramov Dávid"</f>
        <v>Avramov Dávid</v>
      </c>
      <c r="K834" s="156" t="str">
        <f>"TADASHII "</f>
        <v xml:space="preserve">TADASHII </v>
      </c>
      <c r="L834" s="156" t="str">
        <f t="shared" si="284"/>
        <v>HUN</v>
      </c>
      <c r="M834" s="163">
        <v>3</v>
      </c>
      <c r="O834" s="154" t="s">
        <v>410</v>
      </c>
      <c r="P834" s="159">
        <v>46103</v>
      </c>
      <c r="Q834" s="154" t="str">
        <f t="shared" si="285"/>
        <v xml:space="preserve">Avramov Dávid - TADASHII </v>
      </c>
      <c r="R834" s="154" t="s">
        <v>637</v>
      </c>
      <c r="S834" s="154" t="str">
        <f t="shared" si="286"/>
        <v xml:space="preserve">TADASHII </v>
      </c>
      <c r="T834" s="154" t="s">
        <v>645</v>
      </c>
      <c r="U834" s="154" t="s">
        <v>797</v>
      </c>
      <c r="V834" s="154"/>
    </row>
    <row r="835" spans="1:22" s="158" customFormat="1" x14ac:dyDescent="0.3">
      <c r="A835" s="154" t="s">
        <v>777</v>
      </c>
      <c r="B835" s="155" t="s">
        <v>154</v>
      </c>
      <c r="C835" s="154">
        <v>753</v>
      </c>
      <c r="D835" s="156" t="str">
        <f t="shared" si="303"/>
        <v>Kata</v>
      </c>
      <c r="E835" s="156" t="str">
        <f t="shared" si="304"/>
        <v>Kata, -, 0-150 kg, Serdülő (13-14</v>
      </c>
      <c r="F835" s="156" t="s">
        <v>537</v>
      </c>
      <c r="G835" s="157" t="str">
        <f t="shared" si="305"/>
        <v>17</v>
      </c>
      <c r="H835" s="156" t="str">
        <f t="shared" si="306"/>
        <v>32 fős egyenes kiesés</v>
      </c>
      <c r="I835" s="157" t="str">
        <f>"9"</f>
        <v>9</v>
      </c>
      <c r="J835" s="156" t="str">
        <f>"Kárpáti Bence"</f>
        <v>Kárpáti Bence</v>
      </c>
      <c r="K835" s="156" t="str">
        <f>"Cs.S.E."</f>
        <v>Cs.S.E.</v>
      </c>
      <c r="L835" s="156" t="str">
        <f t="shared" si="284"/>
        <v>HUN</v>
      </c>
      <c r="M835" s="163">
        <v>0</v>
      </c>
      <c r="O835" s="154" t="s">
        <v>410</v>
      </c>
      <c r="P835" s="159">
        <v>46103</v>
      </c>
      <c r="Q835" s="154" t="str">
        <f t="shared" si="285"/>
        <v>Kárpáti Bence - Cs.S.E.</v>
      </c>
      <c r="R835" s="154" t="s">
        <v>636</v>
      </c>
      <c r="S835" s="154" t="str">
        <f t="shared" si="286"/>
        <v>Cs.S.E.</v>
      </c>
      <c r="T835" s="154" t="s">
        <v>645</v>
      </c>
      <c r="U835" s="154" t="s">
        <v>797</v>
      </c>
      <c r="V835" s="154"/>
    </row>
    <row r="836" spans="1:22" s="158" customFormat="1" x14ac:dyDescent="0.3">
      <c r="A836" s="154" t="s">
        <v>777</v>
      </c>
      <c r="B836" s="155" t="s">
        <v>154</v>
      </c>
      <c r="C836" s="154">
        <v>754</v>
      </c>
      <c r="D836" s="156" t="str">
        <f t="shared" si="303"/>
        <v>Kata</v>
      </c>
      <c r="E836" s="156" t="str">
        <f t="shared" si="304"/>
        <v>Kata, -, 0-150 kg, Serdülő (13-14</v>
      </c>
      <c r="F836" s="156" t="s">
        <v>537</v>
      </c>
      <c r="G836" s="157" t="str">
        <f t="shared" si="305"/>
        <v>17</v>
      </c>
      <c r="H836" s="156" t="str">
        <f t="shared" si="306"/>
        <v>32 fős egyenes kiesés</v>
      </c>
      <c r="I836" s="157" t="str">
        <f>"10"</f>
        <v>10</v>
      </c>
      <c r="J836" s="156" t="str">
        <f>"Tarjányi Zétény Ferenc"</f>
        <v>Tarjányi Zétény Ferenc</v>
      </c>
      <c r="K836" s="156" t="str">
        <f>"ARSC"</f>
        <v>ARSC</v>
      </c>
      <c r="L836" s="156" t="str">
        <f t="shared" ref="L836:L899" si="307">"HUN"</f>
        <v>HUN</v>
      </c>
      <c r="M836" s="163">
        <v>0</v>
      </c>
      <c r="O836" s="154" t="s">
        <v>410</v>
      </c>
      <c r="P836" s="159">
        <v>46103</v>
      </c>
      <c r="Q836" s="154" t="str">
        <f t="shared" ref="Q836:Q899" si="308">J836&amp;" - "&amp;K836</f>
        <v>Tarjányi Zétény Ferenc - ARSC</v>
      </c>
      <c r="R836" s="154" t="s">
        <v>636</v>
      </c>
      <c r="S836" s="154" t="str">
        <f t="shared" ref="S836:S899" si="309">K836</f>
        <v>ARSC</v>
      </c>
      <c r="T836" s="154" t="s">
        <v>645</v>
      </c>
      <c r="U836" s="154" t="s">
        <v>797</v>
      </c>
      <c r="V836" s="154"/>
    </row>
    <row r="837" spans="1:22" s="158" customFormat="1" x14ac:dyDescent="0.3">
      <c r="A837" s="154" t="s">
        <v>777</v>
      </c>
      <c r="B837" s="155" t="s">
        <v>154</v>
      </c>
      <c r="C837" s="154">
        <v>755</v>
      </c>
      <c r="D837" s="156" t="str">
        <f t="shared" si="303"/>
        <v>Kata</v>
      </c>
      <c r="E837" s="156" t="str">
        <f t="shared" si="304"/>
        <v>Kata, -, 0-150 kg, Serdülő (13-14</v>
      </c>
      <c r="F837" s="156" t="s">
        <v>537</v>
      </c>
      <c r="G837" s="157" t="str">
        <f t="shared" si="305"/>
        <v>17</v>
      </c>
      <c r="H837" s="156" t="str">
        <f t="shared" si="306"/>
        <v>32 fős egyenes kiesés</v>
      </c>
      <c r="I837" s="157" t="str">
        <f t="shared" ref="I837:I842" si="310">"11-16"</f>
        <v>11-16</v>
      </c>
      <c r="J837" s="156" t="str">
        <f>"Kleé Krisztián"</f>
        <v>Kleé Krisztián</v>
      </c>
      <c r="K837" s="156" t="str">
        <f>"Rakurai"</f>
        <v>Rakurai</v>
      </c>
      <c r="L837" s="156" t="str">
        <f t="shared" si="307"/>
        <v>HUN</v>
      </c>
      <c r="M837" s="163">
        <v>0</v>
      </c>
      <c r="O837" s="154" t="s">
        <v>410</v>
      </c>
      <c r="P837" s="159">
        <v>46103</v>
      </c>
      <c r="Q837" s="154" t="str">
        <f t="shared" si="308"/>
        <v>Kleé Krisztián - Rakurai</v>
      </c>
      <c r="R837" s="154" t="s">
        <v>636</v>
      </c>
      <c r="S837" s="154" t="str">
        <f t="shared" si="309"/>
        <v>Rakurai</v>
      </c>
      <c r="T837" s="154" t="s">
        <v>645</v>
      </c>
      <c r="U837" s="154" t="s">
        <v>797</v>
      </c>
      <c r="V837" s="154"/>
    </row>
    <row r="838" spans="1:22" s="158" customFormat="1" x14ac:dyDescent="0.3">
      <c r="A838" s="154" t="s">
        <v>777</v>
      </c>
      <c r="B838" s="155" t="s">
        <v>154</v>
      </c>
      <c r="C838" s="154">
        <v>756</v>
      </c>
      <c r="D838" s="156" t="str">
        <f t="shared" si="303"/>
        <v>Kata</v>
      </c>
      <c r="E838" s="156" t="str">
        <f t="shared" si="304"/>
        <v>Kata, -, 0-150 kg, Serdülő (13-14</v>
      </c>
      <c r="F838" s="156" t="s">
        <v>537</v>
      </c>
      <c r="G838" s="157" t="str">
        <f t="shared" si="305"/>
        <v>17</v>
      </c>
      <c r="H838" s="156" t="str">
        <f t="shared" si="306"/>
        <v>32 fős egyenes kiesés</v>
      </c>
      <c r="I838" s="157" t="str">
        <f t="shared" si="310"/>
        <v>11-16</v>
      </c>
      <c r="J838" s="156" t="str">
        <f>"Patai Dávid"</f>
        <v>Patai Dávid</v>
      </c>
      <c r="K838" s="156" t="str">
        <f>"ShinzóDojo"</f>
        <v>ShinzóDojo</v>
      </c>
      <c r="L838" s="156" t="str">
        <f t="shared" si="307"/>
        <v>HUN</v>
      </c>
      <c r="M838" s="163">
        <v>0</v>
      </c>
      <c r="O838" s="154" t="s">
        <v>410</v>
      </c>
      <c r="P838" s="159">
        <v>46103</v>
      </c>
      <c r="Q838" s="154" t="str">
        <f t="shared" si="308"/>
        <v>Patai Dávid - ShinzóDojo</v>
      </c>
      <c r="R838" s="154" t="s">
        <v>636</v>
      </c>
      <c r="S838" s="154" t="str">
        <f t="shared" si="309"/>
        <v>ShinzóDojo</v>
      </c>
      <c r="T838" s="154" t="s">
        <v>645</v>
      </c>
      <c r="U838" s="154" t="s">
        <v>797</v>
      </c>
      <c r="V838" s="154"/>
    </row>
    <row r="839" spans="1:22" s="158" customFormat="1" x14ac:dyDescent="0.3">
      <c r="A839" s="154" t="s">
        <v>777</v>
      </c>
      <c r="B839" s="155" t="s">
        <v>154</v>
      </c>
      <c r="C839" s="154">
        <v>757</v>
      </c>
      <c r="D839" s="156" t="str">
        <f t="shared" si="303"/>
        <v>Kata</v>
      </c>
      <c r="E839" s="156" t="str">
        <f t="shared" si="304"/>
        <v>Kata, -, 0-150 kg, Serdülő (13-14</v>
      </c>
      <c r="F839" s="156" t="s">
        <v>537</v>
      </c>
      <c r="G839" s="157" t="str">
        <f t="shared" si="305"/>
        <v>17</v>
      </c>
      <c r="H839" s="156" t="str">
        <f t="shared" si="306"/>
        <v>32 fős egyenes kiesés</v>
      </c>
      <c r="I839" s="157" t="str">
        <f t="shared" si="310"/>
        <v>11-16</v>
      </c>
      <c r="J839" s="156" t="str">
        <f>"Sövér Levente"</f>
        <v>Sövér Levente</v>
      </c>
      <c r="K839" s="156" t="str">
        <f>"BHMSE"</f>
        <v>BHMSE</v>
      </c>
      <c r="L839" s="156" t="str">
        <f t="shared" si="307"/>
        <v>HUN</v>
      </c>
      <c r="M839" s="163">
        <v>0</v>
      </c>
      <c r="O839" s="154" t="s">
        <v>410</v>
      </c>
      <c r="P839" s="159">
        <v>46103</v>
      </c>
      <c r="Q839" s="154" t="str">
        <f t="shared" si="308"/>
        <v>Sövér Levente - BHMSE</v>
      </c>
      <c r="R839" s="154" t="s">
        <v>636</v>
      </c>
      <c r="S839" s="154" t="str">
        <f t="shared" si="309"/>
        <v>BHMSE</v>
      </c>
      <c r="T839" s="154" t="s">
        <v>645</v>
      </c>
      <c r="U839" s="154" t="s">
        <v>797</v>
      </c>
      <c r="V839" s="154"/>
    </row>
    <row r="840" spans="1:22" s="158" customFormat="1" x14ac:dyDescent="0.3">
      <c r="A840" s="154" t="s">
        <v>777</v>
      </c>
      <c r="B840" s="155" t="s">
        <v>154</v>
      </c>
      <c r="C840" s="154">
        <v>758</v>
      </c>
      <c r="D840" s="156" t="str">
        <f t="shared" si="303"/>
        <v>Kata</v>
      </c>
      <c r="E840" s="156" t="str">
        <f t="shared" si="304"/>
        <v>Kata, -, 0-150 kg, Serdülő (13-14</v>
      </c>
      <c r="F840" s="156" t="s">
        <v>537</v>
      </c>
      <c r="G840" s="157" t="str">
        <f t="shared" si="305"/>
        <v>17</v>
      </c>
      <c r="H840" s="156" t="str">
        <f t="shared" si="306"/>
        <v>32 fős egyenes kiesés</v>
      </c>
      <c r="I840" s="157" t="str">
        <f t="shared" si="310"/>
        <v>11-16</v>
      </c>
      <c r="J840" s="156" t="str">
        <f>"Székely Lázár"</f>
        <v>Székely Lázár</v>
      </c>
      <c r="K840" s="156" t="str">
        <f>"KYO Fighter SE"</f>
        <v>KYO Fighter SE</v>
      </c>
      <c r="L840" s="156" t="str">
        <f t="shared" si="307"/>
        <v>HUN</v>
      </c>
      <c r="M840" s="163">
        <v>0</v>
      </c>
      <c r="O840" s="154" t="s">
        <v>410</v>
      </c>
      <c r="P840" s="159">
        <v>46103</v>
      </c>
      <c r="Q840" s="154" t="str">
        <f t="shared" si="308"/>
        <v>Székely Lázár - KYO Fighter SE</v>
      </c>
      <c r="R840" s="154" t="s">
        <v>636</v>
      </c>
      <c r="S840" s="154" t="str">
        <f t="shared" si="309"/>
        <v>KYO Fighter SE</v>
      </c>
      <c r="T840" s="154" t="s">
        <v>645</v>
      </c>
      <c r="U840" s="154" t="s">
        <v>797</v>
      </c>
      <c r="V840" s="154"/>
    </row>
    <row r="841" spans="1:22" s="158" customFormat="1" x14ac:dyDescent="0.3">
      <c r="A841" s="154" t="s">
        <v>777</v>
      </c>
      <c r="B841" s="155" t="s">
        <v>154</v>
      </c>
      <c r="C841" s="154">
        <v>759</v>
      </c>
      <c r="D841" s="156" t="str">
        <f t="shared" si="303"/>
        <v>Kata</v>
      </c>
      <c r="E841" s="156" t="str">
        <f t="shared" si="304"/>
        <v>Kata, -, 0-150 kg, Serdülő (13-14</v>
      </c>
      <c r="F841" s="156" t="s">
        <v>537</v>
      </c>
      <c r="G841" s="157" t="str">
        <f t="shared" si="305"/>
        <v>17</v>
      </c>
      <c r="H841" s="156" t="str">
        <f t="shared" si="306"/>
        <v>32 fős egyenes kiesés</v>
      </c>
      <c r="I841" s="157" t="str">
        <f t="shared" si="310"/>
        <v>11-16</v>
      </c>
      <c r="J841" s="156" t="str">
        <f>"Turcsán Barnabás"</f>
        <v>Turcsán Barnabás</v>
      </c>
      <c r="K841" s="156" t="str">
        <f>"Borza Dojo"</f>
        <v>Borza Dojo</v>
      </c>
      <c r="L841" s="156" t="str">
        <f t="shared" si="307"/>
        <v>HUN</v>
      </c>
      <c r="M841" s="163">
        <v>0</v>
      </c>
      <c r="O841" s="154" t="s">
        <v>410</v>
      </c>
      <c r="P841" s="159">
        <v>46103</v>
      </c>
      <c r="Q841" s="154" t="str">
        <f t="shared" si="308"/>
        <v>Turcsán Barnabás - Borza Dojo</v>
      </c>
      <c r="R841" s="154" t="s">
        <v>637</v>
      </c>
      <c r="S841" s="154" t="str">
        <f t="shared" si="309"/>
        <v>Borza Dojo</v>
      </c>
      <c r="T841" s="154" t="s">
        <v>645</v>
      </c>
      <c r="U841" s="154" t="s">
        <v>797</v>
      </c>
      <c r="V841" s="154"/>
    </row>
    <row r="842" spans="1:22" s="158" customFormat="1" x14ac:dyDescent="0.3">
      <c r="A842" s="154" t="s">
        <v>777</v>
      </c>
      <c r="B842" s="155" t="s">
        <v>154</v>
      </c>
      <c r="C842" s="154">
        <v>760</v>
      </c>
      <c r="D842" s="156" t="str">
        <f t="shared" si="303"/>
        <v>Kata</v>
      </c>
      <c r="E842" s="156" t="str">
        <f t="shared" si="304"/>
        <v>Kata, -, 0-150 kg, Serdülő (13-14</v>
      </c>
      <c r="F842" s="156" t="s">
        <v>537</v>
      </c>
      <c r="G842" s="157" t="str">
        <f t="shared" si="305"/>
        <v>17</v>
      </c>
      <c r="H842" s="156" t="str">
        <f t="shared" si="306"/>
        <v>32 fős egyenes kiesés</v>
      </c>
      <c r="I842" s="157" t="str">
        <f t="shared" si="310"/>
        <v>11-16</v>
      </c>
      <c r="J842" s="156" t="str">
        <f>"Ferenczhalmy Félix"</f>
        <v>Ferenczhalmy Félix</v>
      </c>
      <c r="K842" s="156" t="str">
        <f>"BHMSE"</f>
        <v>BHMSE</v>
      </c>
      <c r="L842" s="156" t="str">
        <f t="shared" si="307"/>
        <v>HUN</v>
      </c>
      <c r="M842" s="163">
        <v>0</v>
      </c>
      <c r="O842" s="154" t="s">
        <v>410</v>
      </c>
      <c r="P842" s="159">
        <v>46103</v>
      </c>
      <c r="Q842" s="154" t="str">
        <f t="shared" si="308"/>
        <v>Ferenczhalmy Félix - BHMSE</v>
      </c>
      <c r="R842" s="154" t="s">
        <v>636</v>
      </c>
      <c r="S842" s="154" t="str">
        <f t="shared" si="309"/>
        <v>BHMSE</v>
      </c>
      <c r="T842" s="154" t="s">
        <v>645</v>
      </c>
      <c r="U842" s="154" t="s">
        <v>797</v>
      </c>
      <c r="V842" s="154"/>
    </row>
    <row r="843" spans="1:22" s="158" customFormat="1" x14ac:dyDescent="0.3">
      <c r="A843" s="154" t="s">
        <v>777</v>
      </c>
      <c r="B843" s="155" t="s">
        <v>154</v>
      </c>
      <c r="C843" s="154">
        <v>761</v>
      </c>
      <c r="D843" s="156" t="str">
        <f t="shared" ref="D843:D876" si="311">"Kumite"</f>
        <v>Kumite</v>
      </c>
      <c r="E843" s="156" t="str">
        <f>"Kumite, -, 0-40 kg, Serdülő (13-14"</f>
        <v>Kumite, -, 0-40 kg, Serdülő (13-14</v>
      </c>
      <c r="F843" s="156" t="s">
        <v>781</v>
      </c>
      <c r="G843" s="157" t="str">
        <f>"3"</f>
        <v>3</v>
      </c>
      <c r="H843" s="156" t="str">
        <f>"3 fős körmérkőzés"</f>
        <v>3 fős körmérkőzés</v>
      </c>
      <c r="I843" s="157" t="str">
        <f>"1"</f>
        <v>1</v>
      </c>
      <c r="J843" s="156" t="str">
        <f>"Bogdán Szonja Boróka"</f>
        <v>Bogdán Szonja Boróka</v>
      </c>
      <c r="K843" s="156" t="str">
        <f>"Rakurai"</f>
        <v>Rakurai</v>
      </c>
      <c r="L843" s="156" t="str">
        <f t="shared" si="307"/>
        <v>HUN</v>
      </c>
      <c r="M843" s="163">
        <v>6</v>
      </c>
      <c r="O843" s="154" t="s">
        <v>410</v>
      </c>
      <c r="P843" s="159">
        <v>46103</v>
      </c>
      <c r="Q843" s="154" t="str">
        <f t="shared" si="308"/>
        <v>Bogdán Szonja Boróka - Rakurai</v>
      </c>
      <c r="R843" s="154" t="s">
        <v>636</v>
      </c>
      <c r="S843" s="154" t="str">
        <f t="shared" si="309"/>
        <v>Rakurai</v>
      </c>
      <c r="T843" s="154" t="s">
        <v>645</v>
      </c>
      <c r="U843" s="154" t="s">
        <v>797</v>
      </c>
      <c r="V843" s="154"/>
    </row>
    <row r="844" spans="1:22" s="158" customFormat="1" x14ac:dyDescent="0.3">
      <c r="A844" s="154" t="s">
        <v>777</v>
      </c>
      <c r="B844" s="155" t="s">
        <v>154</v>
      </c>
      <c r="C844" s="154">
        <v>762</v>
      </c>
      <c r="D844" s="156" t="str">
        <f t="shared" si="311"/>
        <v>Kumite</v>
      </c>
      <c r="E844" s="156" t="str">
        <f>"Kumite, -, 0-40 kg, Serdülő (13-14"</f>
        <v>Kumite, -, 0-40 kg, Serdülő (13-14</v>
      </c>
      <c r="F844" s="156" t="s">
        <v>781</v>
      </c>
      <c r="G844" s="157" t="str">
        <f>"3"</f>
        <v>3</v>
      </c>
      <c r="H844" s="156" t="str">
        <f>"3 fős körmérkőzés"</f>
        <v>3 fős körmérkőzés</v>
      </c>
      <c r="I844" s="157" t="str">
        <f>"2"</f>
        <v>2</v>
      </c>
      <c r="J844" s="156" t="str">
        <f>"Koszorus Brigitta"</f>
        <v>Koszorus Brigitta</v>
      </c>
      <c r="K844" s="156" t="str">
        <f>"SONGOKU SE"</f>
        <v>SONGOKU SE</v>
      </c>
      <c r="L844" s="156" t="str">
        <f t="shared" si="307"/>
        <v>HUN</v>
      </c>
      <c r="M844" s="163">
        <v>4</v>
      </c>
      <c r="O844" s="154" t="s">
        <v>410</v>
      </c>
      <c r="P844" s="159">
        <v>46103</v>
      </c>
      <c r="Q844" s="154" t="str">
        <f t="shared" si="308"/>
        <v>Koszorus Brigitta - SONGOKU SE</v>
      </c>
      <c r="R844" s="154" t="s">
        <v>636</v>
      </c>
      <c r="S844" s="154" t="str">
        <f t="shared" si="309"/>
        <v>SONGOKU SE</v>
      </c>
      <c r="T844" s="154" t="s">
        <v>645</v>
      </c>
      <c r="U844" s="154" t="s">
        <v>797</v>
      </c>
      <c r="V844" s="154"/>
    </row>
    <row r="845" spans="1:22" s="158" customFormat="1" x14ac:dyDescent="0.3">
      <c r="A845" s="154" t="s">
        <v>777</v>
      </c>
      <c r="B845" s="155" t="s">
        <v>154</v>
      </c>
      <c r="C845" s="154">
        <v>763</v>
      </c>
      <c r="D845" s="156" t="str">
        <f t="shared" si="311"/>
        <v>Kumite</v>
      </c>
      <c r="E845" s="156" t="str">
        <f>"Kumite, -, 0-40 kg, Serdülő (13-14"</f>
        <v>Kumite, -, 0-40 kg, Serdülő (13-14</v>
      </c>
      <c r="F845" s="156" t="s">
        <v>781</v>
      </c>
      <c r="G845" s="157" t="str">
        <f>"3"</f>
        <v>3</v>
      </c>
      <c r="H845" s="156" t="str">
        <f>"3 fős körmérkőzés"</f>
        <v>3 fős körmérkőzés</v>
      </c>
      <c r="I845" s="157" t="str">
        <f>"3"</f>
        <v>3</v>
      </c>
      <c r="J845" s="156" t="str">
        <f>"Rékai Bianka"</f>
        <v>Rékai Bianka</v>
      </c>
      <c r="K845" s="156" t="str">
        <f>"Siófok KSE"</f>
        <v>Siófok KSE</v>
      </c>
      <c r="L845" s="156" t="str">
        <f t="shared" si="307"/>
        <v>HUN</v>
      </c>
      <c r="M845" s="163">
        <v>0</v>
      </c>
      <c r="O845" s="154" t="s">
        <v>410</v>
      </c>
      <c r="P845" s="159">
        <v>46103</v>
      </c>
      <c r="Q845" s="154" t="str">
        <f t="shared" si="308"/>
        <v>Rékai Bianka - Siófok KSE</v>
      </c>
      <c r="R845" s="154" t="s">
        <v>636</v>
      </c>
      <c r="S845" s="154" t="str">
        <f t="shared" si="309"/>
        <v>Siófok KSE</v>
      </c>
      <c r="T845" s="154" t="s">
        <v>645</v>
      </c>
      <c r="U845" s="154" t="s">
        <v>797</v>
      </c>
      <c r="V845" s="154"/>
    </row>
    <row r="846" spans="1:22" s="158" customFormat="1" x14ac:dyDescent="0.3">
      <c r="A846" s="154" t="s">
        <v>777</v>
      </c>
      <c r="B846" s="155" t="s">
        <v>154</v>
      </c>
      <c r="C846" s="154">
        <v>764</v>
      </c>
      <c r="D846" s="156" t="str">
        <f t="shared" si="311"/>
        <v>Kumite</v>
      </c>
      <c r="E846" s="156" t="str">
        <f t="shared" ref="E846:E861" si="312">"Kumite, -, 45-55 kg, Serdülő (13-14"</f>
        <v>Kumite, -, 45-55 kg, Serdülő (13-14</v>
      </c>
      <c r="F846" s="156" t="s">
        <v>539</v>
      </c>
      <c r="G846" s="157" t="str">
        <f t="shared" ref="G846:G861" si="313">"16"</f>
        <v>16</v>
      </c>
      <c r="H846" s="156" t="str">
        <f t="shared" ref="H846:H861" si="314">"16 fős egyenes kiesés"</f>
        <v>16 fős egyenes kiesés</v>
      </c>
      <c r="I846" s="157" t="str">
        <f>"1"</f>
        <v>1</v>
      </c>
      <c r="J846" s="156" t="str">
        <f>"Reichert Hanna "</f>
        <v xml:space="preserve">Reichert Hanna </v>
      </c>
      <c r="K846" s="156" t="str">
        <f>"VTSE"</f>
        <v>VTSE</v>
      </c>
      <c r="L846" s="156" t="str">
        <f t="shared" si="307"/>
        <v>HUN</v>
      </c>
      <c r="M846" s="163">
        <v>10</v>
      </c>
      <c r="O846" s="154" t="s">
        <v>410</v>
      </c>
      <c r="P846" s="159">
        <v>46103</v>
      </c>
      <c r="Q846" s="154" t="str">
        <f t="shared" si="308"/>
        <v>Reichert Hanna  - VTSE</v>
      </c>
      <c r="R846" s="154" t="s">
        <v>637</v>
      </c>
      <c r="S846" s="154" t="str">
        <f t="shared" si="309"/>
        <v>VTSE</v>
      </c>
      <c r="T846" s="154" t="s">
        <v>645</v>
      </c>
      <c r="U846" s="154" t="s">
        <v>797</v>
      </c>
      <c r="V846" s="154"/>
    </row>
    <row r="847" spans="1:22" s="158" customFormat="1" x14ac:dyDescent="0.3">
      <c r="A847" s="154" t="s">
        <v>777</v>
      </c>
      <c r="B847" s="155" t="s">
        <v>154</v>
      </c>
      <c r="C847" s="154">
        <v>765</v>
      </c>
      <c r="D847" s="156" t="str">
        <f t="shared" si="311"/>
        <v>Kumite</v>
      </c>
      <c r="E847" s="156" t="str">
        <f t="shared" si="312"/>
        <v>Kumite, -, 45-55 kg, Serdülő (13-14</v>
      </c>
      <c r="F847" s="156" t="s">
        <v>539</v>
      </c>
      <c r="G847" s="157" t="str">
        <f t="shared" si="313"/>
        <v>16</v>
      </c>
      <c r="H847" s="156" t="str">
        <f t="shared" si="314"/>
        <v>16 fős egyenes kiesés</v>
      </c>
      <c r="I847" s="157" t="str">
        <f>"2"</f>
        <v>2</v>
      </c>
      <c r="J847" s="156" t="str">
        <f>"Sóskuti Lili"</f>
        <v>Sóskuti Lili</v>
      </c>
      <c r="K847" s="156" t="str">
        <f>"Keizoku SE"</f>
        <v>Keizoku SE</v>
      </c>
      <c r="L847" s="156" t="str">
        <f t="shared" si="307"/>
        <v>HUN</v>
      </c>
      <c r="M847" s="163">
        <v>8</v>
      </c>
      <c r="O847" s="154" t="s">
        <v>410</v>
      </c>
      <c r="P847" s="159">
        <v>46103</v>
      </c>
      <c r="Q847" s="154" t="str">
        <f t="shared" si="308"/>
        <v>Sóskuti Lili - Keizoku SE</v>
      </c>
      <c r="R847" s="154" t="s">
        <v>636</v>
      </c>
      <c r="S847" s="154" t="str">
        <f t="shared" si="309"/>
        <v>Keizoku SE</v>
      </c>
      <c r="T847" s="154" t="s">
        <v>645</v>
      </c>
      <c r="U847" s="154" t="s">
        <v>797</v>
      </c>
      <c r="V847" s="154"/>
    </row>
    <row r="848" spans="1:22" s="158" customFormat="1" x14ac:dyDescent="0.3">
      <c r="A848" s="154" t="s">
        <v>777</v>
      </c>
      <c r="B848" s="155" t="s">
        <v>154</v>
      </c>
      <c r="C848" s="154">
        <v>766</v>
      </c>
      <c r="D848" s="156" t="str">
        <f t="shared" si="311"/>
        <v>Kumite</v>
      </c>
      <c r="E848" s="156" t="str">
        <f t="shared" si="312"/>
        <v>Kumite, -, 45-55 kg, Serdülő (13-14</v>
      </c>
      <c r="F848" s="156" t="s">
        <v>539</v>
      </c>
      <c r="G848" s="157" t="str">
        <f t="shared" si="313"/>
        <v>16</v>
      </c>
      <c r="H848" s="156" t="str">
        <f t="shared" si="314"/>
        <v>16 fős egyenes kiesés</v>
      </c>
      <c r="I848" s="157" t="str">
        <f>"3"</f>
        <v>3</v>
      </c>
      <c r="J848" s="156" t="str">
        <f>"Radnóti Lilla"</f>
        <v>Radnóti Lilla</v>
      </c>
      <c r="K848" s="156" t="str">
        <f>"POWER SE."</f>
        <v>POWER SE.</v>
      </c>
      <c r="L848" s="156" t="str">
        <f t="shared" si="307"/>
        <v>HUN</v>
      </c>
      <c r="M848" s="163">
        <v>6</v>
      </c>
      <c r="O848" s="154" t="s">
        <v>410</v>
      </c>
      <c r="P848" s="159">
        <v>46103</v>
      </c>
      <c r="Q848" s="154" t="str">
        <f t="shared" si="308"/>
        <v>Radnóti Lilla - POWER SE.</v>
      </c>
      <c r="R848" s="154" t="s">
        <v>636</v>
      </c>
      <c r="S848" s="154" t="str">
        <f t="shared" si="309"/>
        <v>POWER SE.</v>
      </c>
      <c r="T848" s="154" t="s">
        <v>645</v>
      </c>
      <c r="U848" s="154" t="s">
        <v>797</v>
      </c>
      <c r="V848" s="154"/>
    </row>
    <row r="849" spans="1:22" s="158" customFormat="1" x14ac:dyDescent="0.3">
      <c r="A849" s="154" t="s">
        <v>777</v>
      </c>
      <c r="B849" s="155" t="s">
        <v>154</v>
      </c>
      <c r="C849" s="154">
        <v>767</v>
      </c>
      <c r="D849" s="156" t="str">
        <f t="shared" si="311"/>
        <v>Kumite</v>
      </c>
      <c r="E849" s="156" t="str">
        <f t="shared" si="312"/>
        <v>Kumite, -, 45-55 kg, Serdülő (13-14</v>
      </c>
      <c r="F849" s="156" t="s">
        <v>539</v>
      </c>
      <c r="G849" s="157" t="str">
        <f t="shared" si="313"/>
        <v>16</v>
      </c>
      <c r="H849" s="156" t="str">
        <f t="shared" si="314"/>
        <v>16 fős egyenes kiesés</v>
      </c>
      <c r="I849" s="157" t="str">
        <f>"3"</f>
        <v>3</v>
      </c>
      <c r="J849" s="156" t="str">
        <f>"Villasenor Babos Natália "</f>
        <v xml:space="preserve">Villasenor Babos Natália </v>
      </c>
      <c r="K849" s="156" t="str">
        <f>"Rakurai"</f>
        <v>Rakurai</v>
      </c>
      <c r="L849" s="156" t="str">
        <f t="shared" si="307"/>
        <v>HUN</v>
      </c>
      <c r="M849" s="163">
        <v>6</v>
      </c>
      <c r="O849" s="154" t="s">
        <v>410</v>
      </c>
      <c r="P849" s="159">
        <v>46103</v>
      </c>
      <c r="Q849" s="154" t="str">
        <f t="shared" si="308"/>
        <v>Villasenor Babos Natália  - Rakurai</v>
      </c>
      <c r="R849" s="154" t="s">
        <v>636</v>
      </c>
      <c r="S849" s="154" t="str">
        <f t="shared" si="309"/>
        <v>Rakurai</v>
      </c>
      <c r="T849" s="154" t="s">
        <v>645</v>
      </c>
      <c r="U849" s="154" t="s">
        <v>797</v>
      </c>
      <c r="V849" s="154"/>
    </row>
    <row r="850" spans="1:22" s="158" customFormat="1" x14ac:dyDescent="0.3">
      <c r="A850" s="154" t="s">
        <v>777</v>
      </c>
      <c r="B850" s="155" t="s">
        <v>154</v>
      </c>
      <c r="C850" s="154">
        <v>768</v>
      </c>
      <c r="D850" s="156" t="str">
        <f t="shared" si="311"/>
        <v>Kumite</v>
      </c>
      <c r="E850" s="156" t="str">
        <f t="shared" si="312"/>
        <v>Kumite, -, 45-55 kg, Serdülő (13-14</v>
      </c>
      <c r="F850" s="156" t="s">
        <v>539</v>
      </c>
      <c r="G850" s="157" t="str">
        <f t="shared" si="313"/>
        <v>16</v>
      </c>
      <c r="H850" s="156" t="str">
        <f t="shared" si="314"/>
        <v>16 fős egyenes kiesés</v>
      </c>
      <c r="I850" s="157" t="str">
        <f>"5"</f>
        <v>5</v>
      </c>
      <c r="J850" s="156" t="str">
        <f>"Papp Gréta"</f>
        <v>Papp Gréta</v>
      </c>
      <c r="K850" s="156" t="str">
        <f>"Castrum"</f>
        <v>Castrum</v>
      </c>
      <c r="L850" s="156" t="str">
        <f t="shared" si="307"/>
        <v>HUN</v>
      </c>
      <c r="M850" s="163">
        <v>3</v>
      </c>
      <c r="O850" s="154" t="s">
        <v>410</v>
      </c>
      <c r="P850" s="159">
        <v>46103</v>
      </c>
      <c r="Q850" s="154" t="str">
        <f t="shared" si="308"/>
        <v>Papp Gréta - Castrum</v>
      </c>
      <c r="R850" s="154" t="s">
        <v>636</v>
      </c>
      <c r="S850" s="154" t="str">
        <f t="shared" si="309"/>
        <v>Castrum</v>
      </c>
      <c r="T850" s="154" t="s">
        <v>645</v>
      </c>
      <c r="U850" s="154" t="s">
        <v>797</v>
      </c>
      <c r="V850" s="154"/>
    </row>
    <row r="851" spans="1:22" s="158" customFormat="1" x14ac:dyDescent="0.3">
      <c r="A851" s="154" t="s">
        <v>777</v>
      </c>
      <c r="B851" s="155" t="s">
        <v>154</v>
      </c>
      <c r="C851" s="154">
        <v>769</v>
      </c>
      <c r="D851" s="156" t="str">
        <f t="shared" si="311"/>
        <v>Kumite</v>
      </c>
      <c r="E851" s="156" t="str">
        <f t="shared" si="312"/>
        <v>Kumite, -, 45-55 kg, Serdülő (13-14</v>
      </c>
      <c r="F851" s="156" t="s">
        <v>539</v>
      </c>
      <c r="G851" s="157" t="str">
        <f t="shared" si="313"/>
        <v>16</v>
      </c>
      <c r="H851" s="156" t="str">
        <f t="shared" si="314"/>
        <v>16 fős egyenes kiesés</v>
      </c>
      <c r="I851" s="157" t="str">
        <f>"6"</f>
        <v>6</v>
      </c>
      <c r="J851" s="156" t="str">
        <f>"Nagy Anna"</f>
        <v>Nagy Anna</v>
      </c>
      <c r="K851" s="156" t="str">
        <f>"Főnix Dojo"</f>
        <v>Főnix Dojo</v>
      </c>
      <c r="L851" s="156" t="str">
        <f t="shared" si="307"/>
        <v>HUN</v>
      </c>
      <c r="M851" s="163">
        <v>3</v>
      </c>
      <c r="O851" s="154" t="s">
        <v>410</v>
      </c>
      <c r="P851" s="159">
        <v>46103</v>
      </c>
      <c r="Q851" s="154" t="str">
        <f t="shared" si="308"/>
        <v>Nagy Anna - Főnix Dojo</v>
      </c>
      <c r="R851" s="154" t="s">
        <v>636</v>
      </c>
      <c r="S851" s="154" t="str">
        <f t="shared" si="309"/>
        <v>Főnix Dojo</v>
      </c>
      <c r="T851" s="154" t="s">
        <v>645</v>
      </c>
      <c r="U851" s="154" t="s">
        <v>797</v>
      </c>
      <c r="V851" s="154"/>
    </row>
    <row r="852" spans="1:22" s="158" customFormat="1" x14ac:dyDescent="0.3">
      <c r="A852" s="154" t="s">
        <v>777</v>
      </c>
      <c r="B852" s="155" t="s">
        <v>154</v>
      </c>
      <c r="C852" s="154">
        <v>770</v>
      </c>
      <c r="D852" s="156" t="str">
        <f t="shared" si="311"/>
        <v>Kumite</v>
      </c>
      <c r="E852" s="156" t="str">
        <f t="shared" si="312"/>
        <v>Kumite, -, 45-55 kg, Serdülő (13-14</v>
      </c>
      <c r="F852" s="156" t="s">
        <v>539</v>
      </c>
      <c r="G852" s="157" t="str">
        <f t="shared" si="313"/>
        <v>16</v>
      </c>
      <c r="H852" s="156" t="str">
        <f t="shared" si="314"/>
        <v>16 fős egyenes kiesés</v>
      </c>
      <c r="I852" s="157" t="str">
        <f>"7-8"</f>
        <v>7-8</v>
      </c>
      <c r="J852" s="156" t="str">
        <f>"Gaál-Vajai Tamara"</f>
        <v>Gaál-Vajai Tamara</v>
      </c>
      <c r="K852" s="156" t="str">
        <f>"Főnix Dojo"</f>
        <v>Főnix Dojo</v>
      </c>
      <c r="L852" s="156" t="str">
        <f t="shared" si="307"/>
        <v>HUN</v>
      </c>
      <c r="M852" s="163">
        <v>3</v>
      </c>
      <c r="O852" s="154" t="s">
        <v>410</v>
      </c>
      <c r="P852" s="159">
        <v>46103</v>
      </c>
      <c r="Q852" s="154" t="str">
        <f t="shared" si="308"/>
        <v>Gaál-Vajai Tamara - Főnix Dojo</v>
      </c>
      <c r="R852" s="154" t="s">
        <v>636</v>
      </c>
      <c r="S852" s="154" t="str">
        <f t="shared" si="309"/>
        <v>Főnix Dojo</v>
      </c>
      <c r="T852" s="154" t="s">
        <v>645</v>
      </c>
      <c r="U852" s="154" t="s">
        <v>797</v>
      </c>
      <c r="V852" s="154"/>
    </row>
    <row r="853" spans="1:22" s="158" customFormat="1" x14ac:dyDescent="0.3">
      <c r="A853" s="154" t="s">
        <v>777</v>
      </c>
      <c r="B853" s="155" t="s">
        <v>154</v>
      </c>
      <c r="C853" s="154">
        <v>771</v>
      </c>
      <c r="D853" s="156" t="str">
        <f t="shared" si="311"/>
        <v>Kumite</v>
      </c>
      <c r="E853" s="156" t="str">
        <f t="shared" si="312"/>
        <v>Kumite, -, 45-55 kg, Serdülő (13-14</v>
      </c>
      <c r="F853" s="156" t="s">
        <v>539</v>
      </c>
      <c r="G853" s="157" t="str">
        <f t="shared" si="313"/>
        <v>16</v>
      </c>
      <c r="H853" s="156" t="str">
        <f t="shared" si="314"/>
        <v>16 fős egyenes kiesés</v>
      </c>
      <c r="I853" s="157" t="str">
        <f>"7-8"</f>
        <v>7-8</v>
      </c>
      <c r="J853" s="156" t="str">
        <f>"Volenszki Adél"</f>
        <v>Volenszki Adél</v>
      </c>
      <c r="K853" s="156" t="str">
        <f>"WARRIORS TEAM"</f>
        <v>WARRIORS TEAM</v>
      </c>
      <c r="L853" s="156" t="str">
        <f t="shared" si="307"/>
        <v>HUN</v>
      </c>
      <c r="M853" s="163">
        <v>3</v>
      </c>
      <c r="O853" s="154" t="s">
        <v>410</v>
      </c>
      <c r="P853" s="159">
        <v>46103</v>
      </c>
      <c r="Q853" s="154" t="str">
        <f t="shared" si="308"/>
        <v>Volenszki Adél - WARRIORS TEAM</v>
      </c>
      <c r="R853" s="154" t="s">
        <v>636</v>
      </c>
      <c r="S853" s="154" t="str">
        <f t="shared" si="309"/>
        <v>WARRIORS TEAM</v>
      </c>
      <c r="T853" s="154" t="s">
        <v>645</v>
      </c>
      <c r="U853" s="154" t="s">
        <v>797</v>
      </c>
      <c r="V853" s="154"/>
    </row>
    <row r="854" spans="1:22" s="158" customFormat="1" x14ac:dyDescent="0.3">
      <c r="A854" s="154" t="s">
        <v>777</v>
      </c>
      <c r="B854" s="155" t="s">
        <v>154</v>
      </c>
      <c r="C854" s="154">
        <v>772</v>
      </c>
      <c r="D854" s="156" t="str">
        <f t="shared" si="311"/>
        <v>Kumite</v>
      </c>
      <c r="E854" s="156" t="str">
        <f t="shared" si="312"/>
        <v>Kumite, -, 45-55 kg, Serdülő (13-14</v>
      </c>
      <c r="F854" s="156" t="s">
        <v>539</v>
      </c>
      <c r="G854" s="157" t="str">
        <f t="shared" si="313"/>
        <v>16</v>
      </c>
      <c r="H854" s="156" t="str">
        <f t="shared" si="314"/>
        <v>16 fős egyenes kiesés</v>
      </c>
      <c r="I854" s="157" t="str">
        <f>"9"</f>
        <v>9</v>
      </c>
      <c r="J854" s="156" t="str">
        <f>"Volenszki Mira"</f>
        <v>Volenszki Mira</v>
      </c>
      <c r="K854" s="156" t="str">
        <f>"WARRIORS TEAM"</f>
        <v>WARRIORS TEAM</v>
      </c>
      <c r="L854" s="156" t="str">
        <f t="shared" si="307"/>
        <v>HUN</v>
      </c>
      <c r="M854" s="163">
        <v>0</v>
      </c>
      <c r="O854" s="154" t="s">
        <v>410</v>
      </c>
      <c r="P854" s="159">
        <v>46103</v>
      </c>
      <c r="Q854" s="154" t="str">
        <f t="shared" si="308"/>
        <v>Volenszki Mira - WARRIORS TEAM</v>
      </c>
      <c r="R854" s="154" t="s">
        <v>636</v>
      </c>
      <c r="S854" s="154" t="str">
        <f t="shared" si="309"/>
        <v>WARRIORS TEAM</v>
      </c>
      <c r="T854" s="154" t="s">
        <v>645</v>
      </c>
      <c r="U854" s="154" t="s">
        <v>797</v>
      </c>
      <c r="V854" s="154"/>
    </row>
    <row r="855" spans="1:22" s="158" customFormat="1" x14ac:dyDescent="0.3">
      <c r="A855" s="154" t="s">
        <v>777</v>
      </c>
      <c r="B855" s="155" t="s">
        <v>154</v>
      </c>
      <c r="C855" s="154">
        <v>773</v>
      </c>
      <c r="D855" s="156" t="str">
        <f t="shared" si="311"/>
        <v>Kumite</v>
      </c>
      <c r="E855" s="156" t="str">
        <f t="shared" si="312"/>
        <v>Kumite, -, 45-55 kg, Serdülő (13-14</v>
      </c>
      <c r="F855" s="156" t="s">
        <v>539</v>
      </c>
      <c r="G855" s="157" t="str">
        <f t="shared" si="313"/>
        <v>16</v>
      </c>
      <c r="H855" s="156" t="str">
        <f t="shared" si="314"/>
        <v>16 fős egyenes kiesés</v>
      </c>
      <c r="I855" s="157" t="str">
        <f>"10"</f>
        <v>10</v>
      </c>
      <c r="J855" s="156" t="str">
        <f>"Solymári Orsolya Dalma"</f>
        <v>Solymári Orsolya Dalma</v>
      </c>
      <c r="K855" s="156" t="str">
        <f>"WARRIORS TEAM"</f>
        <v>WARRIORS TEAM</v>
      </c>
      <c r="L855" s="156" t="str">
        <f t="shared" si="307"/>
        <v>HUN</v>
      </c>
      <c r="M855" s="163">
        <v>0</v>
      </c>
      <c r="O855" s="154" t="s">
        <v>410</v>
      </c>
      <c r="P855" s="159">
        <v>46103</v>
      </c>
      <c r="Q855" s="154" t="str">
        <f t="shared" si="308"/>
        <v>Solymári Orsolya Dalma - WARRIORS TEAM</v>
      </c>
      <c r="R855" s="154" t="s">
        <v>636</v>
      </c>
      <c r="S855" s="154" t="str">
        <f t="shared" si="309"/>
        <v>WARRIORS TEAM</v>
      </c>
      <c r="T855" s="154" t="s">
        <v>645</v>
      </c>
      <c r="U855" s="154" t="s">
        <v>797</v>
      </c>
      <c r="V855" s="154"/>
    </row>
    <row r="856" spans="1:22" s="158" customFormat="1" x14ac:dyDescent="0.3">
      <c r="A856" s="154" t="s">
        <v>777</v>
      </c>
      <c r="B856" s="155" t="s">
        <v>154</v>
      </c>
      <c r="C856" s="154">
        <v>774</v>
      </c>
      <c r="D856" s="156" t="str">
        <f t="shared" si="311"/>
        <v>Kumite</v>
      </c>
      <c r="E856" s="156" t="str">
        <f t="shared" si="312"/>
        <v>Kumite, -, 45-55 kg, Serdülő (13-14</v>
      </c>
      <c r="F856" s="156" t="s">
        <v>539</v>
      </c>
      <c r="G856" s="157" t="str">
        <f t="shared" si="313"/>
        <v>16</v>
      </c>
      <c r="H856" s="156" t="str">
        <f t="shared" si="314"/>
        <v>16 fős egyenes kiesés</v>
      </c>
      <c r="I856" s="157" t="str">
        <f t="shared" ref="I856:I861" si="315">"11-16"</f>
        <v>11-16</v>
      </c>
      <c r="J856" s="156" t="str">
        <f>"Szabó Lili"</f>
        <v>Szabó Lili</v>
      </c>
      <c r="K856" s="156" t="str">
        <f>"Kisvárda KKDOSC"</f>
        <v>Kisvárda KKDOSC</v>
      </c>
      <c r="L856" s="156" t="str">
        <f t="shared" si="307"/>
        <v>HUN</v>
      </c>
      <c r="M856" s="163">
        <v>0</v>
      </c>
      <c r="O856" s="154" t="s">
        <v>410</v>
      </c>
      <c r="P856" s="159">
        <v>46103</v>
      </c>
      <c r="Q856" s="154" t="str">
        <f t="shared" si="308"/>
        <v>Szabó Lili - Kisvárda KKDOSC</v>
      </c>
      <c r="R856" s="154" t="s">
        <v>636</v>
      </c>
      <c r="S856" s="154" t="str">
        <f t="shared" si="309"/>
        <v>Kisvárda KKDOSC</v>
      </c>
      <c r="T856" s="154" t="s">
        <v>645</v>
      </c>
      <c r="U856" s="154" t="s">
        <v>797</v>
      </c>
      <c r="V856" s="154"/>
    </row>
    <row r="857" spans="1:22" s="158" customFormat="1" x14ac:dyDescent="0.3">
      <c r="A857" s="154" t="s">
        <v>777</v>
      </c>
      <c r="B857" s="155" t="s">
        <v>154</v>
      </c>
      <c r="C857" s="154">
        <v>775</v>
      </c>
      <c r="D857" s="156" t="str">
        <f t="shared" si="311"/>
        <v>Kumite</v>
      </c>
      <c r="E857" s="156" t="str">
        <f t="shared" si="312"/>
        <v>Kumite, -, 45-55 kg, Serdülő (13-14</v>
      </c>
      <c r="F857" s="156" t="s">
        <v>539</v>
      </c>
      <c r="G857" s="157" t="str">
        <f t="shared" si="313"/>
        <v>16</v>
      </c>
      <c r="H857" s="156" t="str">
        <f t="shared" si="314"/>
        <v>16 fős egyenes kiesés</v>
      </c>
      <c r="I857" s="157" t="str">
        <f t="shared" si="315"/>
        <v>11-16</v>
      </c>
      <c r="J857" s="156" t="str">
        <f>"Gazdag Csinszka"</f>
        <v>Gazdag Csinszka</v>
      </c>
      <c r="K857" s="156" t="str">
        <f>"ASE Bulldog KKSZCS"</f>
        <v>ASE Bulldog KKSZCS</v>
      </c>
      <c r="L857" s="156" t="str">
        <f t="shared" si="307"/>
        <v>HUN</v>
      </c>
      <c r="M857" s="163">
        <v>0</v>
      </c>
      <c r="O857" s="154" t="s">
        <v>410</v>
      </c>
      <c r="P857" s="159">
        <v>46103</v>
      </c>
      <c r="Q857" s="154" t="str">
        <f t="shared" si="308"/>
        <v>Gazdag Csinszka - ASE Bulldog KKSZCS</v>
      </c>
      <c r="R857" s="154" t="s">
        <v>636</v>
      </c>
      <c r="S857" s="154" t="str">
        <f t="shared" si="309"/>
        <v>ASE Bulldog KKSZCS</v>
      </c>
      <c r="T857" s="154" t="s">
        <v>645</v>
      </c>
      <c r="U857" s="154" t="s">
        <v>797</v>
      </c>
      <c r="V857" s="154"/>
    </row>
    <row r="858" spans="1:22" s="158" customFormat="1" x14ac:dyDescent="0.3">
      <c r="A858" s="154" t="s">
        <v>777</v>
      </c>
      <c r="B858" s="155" t="s">
        <v>154</v>
      </c>
      <c r="C858" s="154">
        <v>776</v>
      </c>
      <c r="D858" s="156" t="str">
        <f t="shared" si="311"/>
        <v>Kumite</v>
      </c>
      <c r="E858" s="156" t="str">
        <f t="shared" si="312"/>
        <v>Kumite, -, 45-55 kg, Serdülő (13-14</v>
      </c>
      <c r="F858" s="156" t="s">
        <v>539</v>
      </c>
      <c r="G858" s="157" t="str">
        <f t="shared" si="313"/>
        <v>16</v>
      </c>
      <c r="H858" s="156" t="str">
        <f t="shared" si="314"/>
        <v>16 fős egyenes kiesés</v>
      </c>
      <c r="I858" s="157" t="str">
        <f t="shared" si="315"/>
        <v>11-16</v>
      </c>
      <c r="J858" s="156" t="str">
        <f>"Farkas Luca"</f>
        <v>Farkas Luca</v>
      </c>
      <c r="K858" s="156" t="str">
        <f>"KYO Fighter SE"</f>
        <v>KYO Fighter SE</v>
      </c>
      <c r="L858" s="156" t="str">
        <f t="shared" si="307"/>
        <v>HUN</v>
      </c>
      <c r="M858" s="163">
        <v>0</v>
      </c>
      <c r="O858" s="154" t="s">
        <v>410</v>
      </c>
      <c r="P858" s="159">
        <v>46103</v>
      </c>
      <c r="Q858" s="154" t="str">
        <f t="shared" si="308"/>
        <v>Farkas Luca - KYO Fighter SE</v>
      </c>
      <c r="R858" s="154" t="s">
        <v>636</v>
      </c>
      <c r="S858" s="154" t="str">
        <f t="shared" si="309"/>
        <v>KYO Fighter SE</v>
      </c>
      <c r="T858" s="154" t="s">
        <v>645</v>
      </c>
      <c r="U858" s="154" t="s">
        <v>797</v>
      </c>
      <c r="V858" s="154"/>
    </row>
    <row r="859" spans="1:22" s="158" customFormat="1" x14ac:dyDescent="0.3">
      <c r="A859" s="154" t="s">
        <v>777</v>
      </c>
      <c r="B859" s="155" t="s">
        <v>154</v>
      </c>
      <c r="C859" s="154">
        <v>777</v>
      </c>
      <c r="D859" s="156" t="str">
        <f t="shared" si="311"/>
        <v>Kumite</v>
      </c>
      <c r="E859" s="156" t="str">
        <f t="shared" si="312"/>
        <v>Kumite, -, 45-55 kg, Serdülő (13-14</v>
      </c>
      <c r="F859" s="156" t="s">
        <v>539</v>
      </c>
      <c r="G859" s="157" t="str">
        <f t="shared" si="313"/>
        <v>16</v>
      </c>
      <c r="H859" s="156" t="str">
        <f t="shared" si="314"/>
        <v>16 fős egyenes kiesés</v>
      </c>
      <c r="I859" s="157" t="str">
        <f t="shared" si="315"/>
        <v>11-16</v>
      </c>
      <c r="J859" s="156" t="str">
        <f>"Vida Zora"</f>
        <v>Vida Zora</v>
      </c>
      <c r="K859" s="156" t="str">
        <f>"Buke Reikon HRSE"</f>
        <v>Buke Reikon HRSE</v>
      </c>
      <c r="L859" s="156" t="str">
        <f t="shared" si="307"/>
        <v>HUN</v>
      </c>
      <c r="M859" s="163">
        <v>0</v>
      </c>
      <c r="O859" s="154" t="s">
        <v>410</v>
      </c>
      <c r="P859" s="159">
        <v>46103</v>
      </c>
      <c r="Q859" s="154" t="str">
        <f t="shared" si="308"/>
        <v>Vida Zora - Buke Reikon HRSE</v>
      </c>
      <c r="R859" s="154" t="s">
        <v>636</v>
      </c>
      <c r="S859" s="154" t="str">
        <f t="shared" si="309"/>
        <v>Buke Reikon HRSE</v>
      </c>
      <c r="T859" s="154" t="s">
        <v>645</v>
      </c>
      <c r="U859" s="154" t="s">
        <v>797</v>
      </c>
      <c r="V859" s="154"/>
    </row>
    <row r="860" spans="1:22" s="158" customFormat="1" x14ac:dyDescent="0.3">
      <c r="A860" s="154" t="s">
        <v>777</v>
      </c>
      <c r="B860" s="155" t="s">
        <v>154</v>
      </c>
      <c r="C860" s="154">
        <v>778</v>
      </c>
      <c r="D860" s="156" t="str">
        <f t="shared" si="311"/>
        <v>Kumite</v>
      </c>
      <c r="E860" s="156" t="str">
        <f t="shared" si="312"/>
        <v>Kumite, -, 45-55 kg, Serdülő (13-14</v>
      </c>
      <c r="F860" s="156" t="s">
        <v>539</v>
      </c>
      <c r="G860" s="157" t="str">
        <f t="shared" si="313"/>
        <v>16</v>
      </c>
      <c r="H860" s="156" t="str">
        <f t="shared" si="314"/>
        <v>16 fős egyenes kiesés</v>
      </c>
      <c r="I860" s="157" t="str">
        <f t="shared" si="315"/>
        <v>11-16</v>
      </c>
      <c r="J860" s="156" t="str">
        <f>"Gonda Lea"</f>
        <v>Gonda Lea</v>
      </c>
      <c r="K860" s="156" t="str">
        <f>"Kelemen-Team"</f>
        <v>Kelemen-Team</v>
      </c>
      <c r="L860" s="156" t="str">
        <f t="shared" si="307"/>
        <v>HUN</v>
      </c>
      <c r="M860" s="163">
        <v>0</v>
      </c>
      <c r="O860" s="154" t="s">
        <v>410</v>
      </c>
      <c r="P860" s="159">
        <v>46103</v>
      </c>
      <c r="Q860" s="154" t="str">
        <f t="shared" si="308"/>
        <v>Gonda Lea - Kelemen-Team</v>
      </c>
      <c r="R860" s="154" t="s">
        <v>636</v>
      </c>
      <c r="S860" s="154" t="str">
        <f t="shared" si="309"/>
        <v>Kelemen-Team</v>
      </c>
      <c r="T860" s="154" t="s">
        <v>645</v>
      </c>
      <c r="U860" s="154" t="s">
        <v>797</v>
      </c>
      <c r="V860" s="154"/>
    </row>
    <row r="861" spans="1:22" s="158" customFormat="1" x14ac:dyDescent="0.3">
      <c r="A861" s="154" t="s">
        <v>777</v>
      </c>
      <c r="B861" s="155" t="s">
        <v>154</v>
      </c>
      <c r="C861" s="154">
        <v>779</v>
      </c>
      <c r="D861" s="156" t="str">
        <f t="shared" si="311"/>
        <v>Kumite</v>
      </c>
      <c r="E861" s="156" t="str">
        <f t="shared" si="312"/>
        <v>Kumite, -, 45-55 kg, Serdülő (13-14</v>
      </c>
      <c r="F861" s="156" t="s">
        <v>539</v>
      </c>
      <c r="G861" s="157" t="str">
        <f t="shared" si="313"/>
        <v>16</v>
      </c>
      <c r="H861" s="156" t="str">
        <f t="shared" si="314"/>
        <v>16 fős egyenes kiesés</v>
      </c>
      <c r="I861" s="157" t="str">
        <f t="shared" si="315"/>
        <v>11-16</v>
      </c>
      <c r="J861" s="156" t="str">
        <f>"Ványi Amira"</f>
        <v>Ványi Amira</v>
      </c>
      <c r="K861" s="156" t="str">
        <f>"POWER SE."</f>
        <v>POWER SE.</v>
      </c>
      <c r="L861" s="156" t="str">
        <f t="shared" si="307"/>
        <v>HUN</v>
      </c>
      <c r="M861" s="163">
        <v>0</v>
      </c>
      <c r="O861" s="154" t="s">
        <v>410</v>
      </c>
      <c r="P861" s="159">
        <v>46103</v>
      </c>
      <c r="Q861" s="154" t="str">
        <f t="shared" si="308"/>
        <v>Ványi Amira - POWER SE.</v>
      </c>
      <c r="R861" s="154" t="s">
        <v>636</v>
      </c>
      <c r="S861" s="154" t="str">
        <f t="shared" si="309"/>
        <v>POWER SE.</v>
      </c>
      <c r="T861" s="154" t="s">
        <v>645</v>
      </c>
      <c r="U861" s="154" t="s">
        <v>797</v>
      </c>
      <c r="V861" s="154"/>
    </row>
    <row r="862" spans="1:22" s="158" customFormat="1" x14ac:dyDescent="0.3">
      <c r="A862" s="154" t="s">
        <v>777</v>
      </c>
      <c r="B862" s="155" t="s">
        <v>154</v>
      </c>
      <c r="C862" s="154">
        <v>780</v>
      </c>
      <c r="D862" s="156" t="str">
        <f t="shared" si="311"/>
        <v>Kumite</v>
      </c>
      <c r="E862" s="156" t="str">
        <f t="shared" ref="E862:E869" si="316">"Kumite, -, 55-65 kg, Serdülő (13-14"</f>
        <v>Kumite, -, 55-65 kg, Serdülő (13-14</v>
      </c>
      <c r="F862" s="156" t="s">
        <v>540</v>
      </c>
      <c r="G862" s="157" t="str">
        <f t="shared" ref="G862:G869" si="317">"8"</f>
        <v>8</v>
      </c>
      <c r="H862" s="156" t="str">
        <f t="shared" ref="H862:H869" si="318">"8 fős egyenes kiesés"</f>
        <v>8 fős egyenes kiesés</v>
      </c>
      <c r="I862" s="157" t="str">
        <f>"1"</f>
        <v>1</v>
      </c>
      <c r="J862" s="156" t="str">
        <f>"Bennárik Bella"</f>
        <v>Bennárik Bella</v>
      </c>
      <c r="K862" s="156" t="str">
        <f>"WARRIORS TEAM"</f>
        <v>WARRIORS TEAM</v>
      </c>
      <c r="L862" s="156" t="str">
        <f t="shared" si="307"/>
        <v>HUN</v>
      </c>
      <c r="M862" s="163">
        <v>8</v>
      </c>
      <c r="O862" s="154" t="s">
        <v>410</v>
      </c>
      <c r="P862" s="159">
        <v>46103</v>
      </c>
      <c r="Q862" s="154" t="str">
        <f t="shared" si="308"/>
        <v>Bennárik Bella - WARRIORS TEAM</v>
      </c>
      <c r="R862" s="154" t="s">
        <v>636</v>
      </c>
      <c r="S862" s="154" t="str">
        <f t="shared" si="309"/>
        <v>WARRIORS TEAM</v>
      </c>
      <c r="T862" s="154" t="s">
        <v>645</v>
      </c>
      <c r="U862" s="154" t="s">
        <v>797</v>
      </c>
      <c r="V862" s="154"/>
    </row>
    <row r="863" spans="1:22" s="158" customFormat="1" x14ac:dyDescent="0.3">
      <c r="A863" s="154" t="s">
        <v>777</v>
      </c>
      <c r="B863" s="155" t="s">
        <v>154</v>
      </c>
      <c r="C863" s="154">
        <v>781</v>
      </c>
      <c r="D863" s="156" t="str">
        <f t="shared" si="311"/>
        <v>Kumite</v>
      </c>
      <c r="E863" s="156" t="str">
        <f t="shared" si="316"/>
        <v>Kumite, -, 55-65 kg, Serdülő (13-14</v>
      </c>
      <c r="F863" s="156" t="s">
        <v>540</v>
      </c>
      <c r="G863" s="157" t="str">
        <f t="shared" si="317"/>
        <v>8</v>
      </c>
      <c r="H863" s="156" t="str">
        <f t="shared" si="318"/>
        <v>8 fős egyenes kiesés</v>
      </c>
      <c r="I863" s="157" t="str">
        <f>"2"</f>
        <v>2</v>
      </c>
      <c r="J863" s="156" t="str">
        <f>"Nándori Emma"</f>
        <v>Nándori Emma</v>
      </c>
      <c r="K863" s="156" t="str">
        <f>"Kemecse SE"</f>
        <v>Kemecse SE</v>
      </c>
      <c r="L863" s="156" t="str">
        <f t="shared" si="307"/>
        <v>HUN</v>
      </c>
      <c r="M863" s="163">
        <v>6</v>
      </c>
      <c r="O863" s="154" t="s">
        <v>410</v>
      </c>
      <c r="P863" s="159">
        <v>46103</v>
      </c>
      <c r="Q863" s="154" t="str">
        <f t="shared" si="308"/>
        <v>Nándori Emma - Kemecse SE</v>
      </c>
      <c r="R863" s="154" t="s">
        <v>636</v>
      </c>
      <c r="S863" s="154" t="str">
        <f t="shared" si="309"/>
        <v>Kemecse SE</v>
      </c>
      <c r="T863" s="154" t="s">
        <v>645</v>
      </c>
      <c r="U863" s="154" t="s">
        <v>797</v>
      </c>
      <c r="V863" s="154"/>
    </row>
    <row r="864" spans="1:22" s="158" customFormat="1" x14ac:dyDescent="0.3">
      <c r="A864" s="154" t="s">
        <v>777</v>
      </c>
      <c r="B864" s="155" t="s">
        <v>154</v>
      </c>
      <c r="C864" s="154">
        <v>782</v>
      </c>
      <c r="D864" s="156" t="str">
        <f t="shared" si="311"/>
        <v>Kumite</v>
      </c>
      <c r="E864" s="156" t="str">
        <f t="shared" si="316"/>
        <v>Kumite, -, 55-65 kg, Serdülő (13-14</v>
      </c>
      <c r="F864" s="156" t="s">
        <v>540</v>
      </c>
      <c r="G864" s="157" t="str">
        <f t="shared" si="317"/>
        <v>8</v>
      </c>
      <c r="H864" s="156" t="str">
        <f t="shared" si="318"/>
        <v>8 fős egyenes kiesés</v>
      </c>
      <c r="I864" s="157" t="str">
        <f>"3"</f>
        <v>3</v>
      </c>
      <c r="J864" s="156" t="str">
        <f>"Mészáros Lili Dóra"</f>
        <v>Mészáros Lili Dóra</v>
      </c>
      <c r="K864" s="156" t="str">
        <f>"KSE Tarján"</f>
        <v>KSE Tarján</v>
      </c>
      <c r="L864" s="156" t="str">
        <f t="shared" si="307"/>
        <v>HUN</v>
      </c>
      <c r="M864" s="163">
        <v>4</v>
      </c>
      <c r="O864" s="154" t="s">
        <v>410</v>
      </c>
      <c r="P864" s="159">
        <v>46103</v>
      </c>
      <c r="Q864" s="154" t="str">
        <f t="shared" si="308"/>
        <v>Mészáros Lili Dóra - KSE Tarján</v>
      </c>
      <c r="R864" s="154" t="s">
        <v>636</v>
      </c>
      <c r="S864" s="154" t="str">
        <f t="shared" si="309"/>
        <v>KSE Tarján</v>
      </c>
      <c r="T864" s="154" t="s">
        <v>645</v>
      </c>
      <c r="U864" s="154" t="s">
        <v>797</v>
      </c>
      <c r="V864" s="154"/>
    </row>
    <row r="865" spans="1:22" s="158" customFormat="1" x14ac:dyDescent="0.3">
      <c r="A865" s="154" t="s">
        <v>777</v>
      </c>
      <c r="B865" s="155" t="s">
        <v>154</v>
      </c>
      <c r="C865" s="154">
        <v>783</v>
      </c>
      <c r="D865" s="156" t="str">
        <f t="shared" si="311"/>
        <v>Kumite</v>
      </c>
      <c r="E865" s="156" t="str">
        <f t="shared" si="316"/>
        <v>Kumite, -, 55-65 kg, Serdülő (13-14</v>
      </c>
      <c r="F865" s="156" t="s">
        <v>540</v>
      </c>
      <c r="G865" s="157" t="str">
        <f t="shared" si="317"/>
        <v>8</v>
      </c>
      <c r="H865" s="156" t="str">
        <f t="shared" si="318"/>
        <v>8 fős egyenes kiesés</v>
      </c>
      <c r="I865" s="157" t="str">
        <f>"3"</f>
        <v>3</v>
      </c>
      <c r="J865" s="156" t="str">
        <f>"Szabó Zsófi"</f>
        <v>Szabó Zsófi</v>
      </c>
      <c r="K865" s="156" t="str">
        <f>"ShinzóDojo"</f>
        <v>ShinzóDojo</v>
      </c>
      <c r="L865" s="156" t="str">
        <f t="shared" si="307"/>
        <v>HUN</v>
      </c>
      <c r="M865" s="163">
        <v>4</v>
      </c>
      <c r="O865" s="154" t="s">
        <v>410</v>
      </c>
      <c r="P865" s="159">
        <v>46103</v>
      </c>
      <c r="Q865" s="154" t="str">
        <f t="shared" si="308"/>
        <v>Szabó Zsófi - ShinzóDojo</v>
      </c>
      <c r="R865" s="154" t="s">
        <v>636</v>
      </c>
      <c r="S865" s="154" t="str">
        <f t="shared" si="309"/>
        <v>ShinzóDojo</v>
      </c>
      <c r="T865" s="154" t="s">
        <v>645</v>
      </c>
      <c r="U865" s="154" t="s">
        <v>797</v>
      </c>
      <c r="V865" s="154"/>
    </row>
    <row r="866" spans="1:22" s="158" customFormat="1" x14ac:dyDescent="0.3">
      <c r="A866" s="154" t="s">
        <v>777</v>
      </c>
      <c r="B866" s="155" t="s">
        <v>154</v>
      </c>
      <c r="C866" s="154">
        <v>784</v>
      </c>
      <c r="D866" s="156" t="str">
        <f t="shared" si="311"/>
        <v>Kumite</v>
      </c>
      <c r="E866" s="156" t="str">
        <f t="shared" si="316"/>
        <v>Kumite, -, 55-65 kg, Serdülő (13-14</v>
      </c>
      <c r="F866" s="156" t="s">
        <v>540</v>
      </c>
      <c r="G866" s="157" t="str">
        <f t="shared" si="317"/>
        <v>8</v>
      </c>
      <c r="H866" s="156" t="str">
        <f t="shared" si="318"/>
        <v>8 fős egyenes kiesés</v>
      </c>
      <c r="I866" s="157" t="str">
        <f>"5"</f>
        <v>5</v>
      </c>
      <c r="J866" s="156" t="str">
        <f>"Horváth Réka"</f>
        <v>Horváth Réka</v>
      </c>
      <c r="K866" s="156" t="str">
        <f>"Castrum"</f>
        <v>Castrum</v>
      </c>
      <c r="L866" s="156" t="str">
        <f t="shared" si="307"/>
        <v>HUN</v>
      </c>
      <c r="M866" s="163">
        <v>0</v>
      </c>
      <c r="O866" s="154" t="s">
        <v>410</v>
      </c>
      <c r="P866" s="159">
        <v>46103</v>
      </c>
      <c r="Q866" s="154" t="str">
        <f t="shared" si="308"/>
        <v>Horváth Réka - Castrum</v>
      </c>
      <c r="R866" s="154" t="s">
        <v>636</v>
      </c>
      <c r="S866" s="154" t="str">
        <f t="shared" si="309"/>
        <v>Castrum</v>
      </c>
      <c r="T866" s="154" t="s">
        <v>645</v>
      </c>
      <c r="U866" s="154" t="s">
        <v>797</v>
      </c>
      <c r="V866" s="154"/>
    </row>
    <row r="867" spans="1:22" s="158" customFormat="1" x14ac:dyDescent="0.3">
      <c r="A867" s="154" t="s">
        <v>777</v>
      </c>
      <c r="B867" s="155" t="s">
        <v>154</v>
      </c>
      <c r="C867" s="154">
        <v>785</v>
      </c>
      <c r="D867" s="156" t="str">
        <f t="shared" si="311"/>
        <v>Kumite</v>
      </c>
      <c r="E867" s="156" t="str">
        <f t="shared" si="316"/>
        <v>Kumite, -, 55-65 kg, Serdülő (13-14</v>
      </c>
      <c r="F867" s="156" t="s">
        <v>540</v>
      </c>
      <c r="G867" s="157" t="str">
        <f t="shared" si="317"/>
        <v>8</v>
      </c>
      <c r="H867" s="156" t="str">
        <f t="shared" si="318"/>
        <v>8 fős egyenes kiesés</v>
      </c>
      <c r="I867" s="157" t="str">
        <f>"6"</f>
        <v>6</v>
      </c>
      <c r="J867" s="156" t="str">
        <f>"Kovács Maja"</f>
        <v>Kovács Maja</v>
      </c>
      <c r="K867" s="156" t="str">
        <f>"Katana SE"</f>
        <v>Katana SE</v>
      </c>
      <c r="L867" s="156" t="str">
        <f t="shared" si="307"/>
        <v>HUN</v>
      </c>
      <c r="M867" s="163">
        <v>0</v>
      </c>
      <c r="O867" s="154" t="s">
        <v>410</v>
      </c>
      <c r="P867" s="159">
        <v>46103</v>
      </c>
      <c r="Q867" s="154" t="str">
        <f t="shared" si="308"/>
        <v>Kovács Maja - Katana SE</v>
      </c>
      <c r="R867" s="154" t="s">
        <v>636</v>
      </c>
      <c r="S867" s="154" t="str">
        <f t="shared" si="309"/>
        <v>Katana SE</v>
      </c>
      <c r="T867" s="154" t="s">
        <v>645</v>
      </c>
      <c r="U867" s="154" t="s">
        <v>797</v>
      </c>
      <c r="V867" s="154"/>
    </row>
    <row r="868" spans="1:22" s="158" customFormat="1" x14ac:dyDescent="0.3">
      <c r="A868" s="154" t="s">
        <v>777</v>
      </c>
      <c r="B868" s="155" t="s">
        <v>154</v>
      </c>
      <c r="C868" s="154">
        <v>786</v>
      </c>
      <c r="D868" s="156" t="str">
        <f t="shared" si="311"/>
        <v>Kumite</v>
      </c>
      <c r="E868" s="156" t="str">
        <f t="shared" si="316"/>
        <v>Kumite, -, 55-65 kg, Serdülő (13-14</v>
      </c>
      <c r="F868" s="156" t="s">
        <v>540</v>
      </c>
      <c r="G868" s="157" t="str">
        <f t="shared" si="317"/>
        <v>8</v>
      </c>
      <c r="H868" s="156" t="str">
        <f t="shared" si="318"/>
        <v>8 fős egyenes kiesés</v>
      </c>
      <c r="I868" s="157" t="str">
        <f>"7-8"</f>
        <v>7-8</v>
      </c>
      <c r="J868" s="156" t="str">
        <f>"Szabó Anna Tímea"</f>
        <v>Szabó Anna Tímea</v>
      </c>
      <c r="K868" s="156" t="str">
        <f>"Katana SE"</f>
        <v>Katana SE</v>
      </c>
      <c r="L868" s="156" t="str">
        <f t="shared" si="307"/>
        <v>HUN</v>
      </c>
      <c r="M868" s="163">
        <v>0</v>
      </c>
      <c r="O868" s="154" t="s">
        <v>410</v>
      </c>
      <c r="P868" s="159">
        <v>46103</v>
      </c>
      <c r="Q868" s="154" t="str">
        <f t="shared" si="308"/>
        <v>Szabó Anna Tímea - Katana SE</v>
      </c>
      <c r="R868" s="154" t="s">
        <v>636</v>
      </c>
      <c r="S868" s="154" t="str">
        <f t="shared" si="309"/>
        <v>Katana SE</v>
      </c>
      <c r="T868" s="154" t="s">
        <v>645</v>
      </c>
      <c r="U868" s="154" t="s">
        <v>797</v>
      </c>
      <c r="V868" s="154"/>
    </row>
    <row r="869" spans="1:22" s="158" customFormat="1" x14ac:dyDescent="0.3">
      <c r="A869" s="154" t="s">
        <v>777</v>
      </c>
      <c r="B869" s="155" t="s">
        <v>154</v>
      </c>
      <c r="C869" s="154">
        <v>787</v>
      </c>
      <c r="D869" s="156" t="str">
        <f t="shared" si="311"/>
        <v>Kumite</v>
      </c>
      <c r="E869" s="156" t="str">
        <f t="shared" si="316"/>
        <v>Kumite, -, 55-65 kg, Serdülő (13-14</v>
      </c>
      <c r="F869" s="156" t="s">
        <v>540</v>
      </c>
      <c r="G869" s="157" t="str">
        <f t="shared" si="317"/>
        <v>8</v>
      </c>
      <c r="H869" s="156" t="str">
        <f t="shared" si="318"/>
        <v>8 fős egyenes kiesés</v>
      </c>
      <c r="I869" s="157" t="str">
        <f>"7-8"</f>
        <v>7-8</v>
      </c>
      <c r="J869" s="156" t="str">
        <f>"Abou Hussein Maya"</f>
        <v>Abou Hussein Maya</v>
      </c>
      <c r="K869" s="156" t="str">
        <f>"Ippon KKSE"</f>
        <v>Ippon KKSE</v>
      </c>
      <c r="L869" s="156" t="str">
        <f t="shared" si="307"/>
        <v>HUN</v>
      </c>
      <c r="M869" s="163">
        <v>0</v>
      </c>
      <c r="O869" s="154" t="s">
        <v>410</v>
      </c>
      <c r="P869" s="159">
        <v>46103</v>
      </c>
      <c r="Q869" s="154" t="str">
        <f t="shared" si="308"/>
        <v>Abou Hussein Maya - Ippon KKSE</v>
      </c>
      <c r="R869" s="154" t="s">
        <v>636</v>
      </c>
      <c r="S869" s="154" t="str">
        <f t="shared" si="309"/>
        <v>Ippon KKSE</v>
      </c>
      <c r="T869" s="154" t="s">
        <v>645</v>
      </c>
      <c r="U869" s="154" t="s">
        <v>797</v>
      </c>
      <c r="V869" s="154"/>
    </row>
    <row r="870" spans="1:22" s="158" customFormat="1" x14ac:dyDescent="0.3">
      <c r="A870" s="154" t="s">
        <v>777</v>
      </c>
      <c r="B870" s="155" t="s">
        <v>154</v>
      </c>
      <c r="C870" s="154">
        <v>788</v>
      </c>
      <c r="D870" s="156" t="str">
        <f t="shared" si="311"/>
        <v>Kumite</v>
      </c>
      <c r="E870" s="156" t="str">
        <f>"Kumite, -, 65-150 kg, Serdülő (13-14"</f>
        <v>Kumite, -, 65-150 kg, Serdülő (13-14</v>
      </c>
      <c r="F870" s="156" t="s">
        <v>543</v>
      </c>
      <c r="G870" s="157" t="str">
        <f>"2"</f>
        <v>2</v>
      </c>
      <c r="H870" s="156" t="str">
        <f>"2 fős egyenes kiesés"</f>
        <v>2 fős egyenes kiesés</v>
      </c>
      <c r="I870" s="157" t="str">
        <f>"1"</f>
        <v>1</v>
      </c>
      <c r="J870" s="156" t="str">
        <f>"Bota Sára"</f>
        <v>Bota Sára</v>
      </c>
      <c r="K870" s="156" t="str">
        <f>"Rakurai"</f>
        <v>Rakurai</v>
      </c>
      <c r="L870" s="156" t="str">
        <f t="shared" si="307"/>
        <v>HUN</v>
      </c>
      <c r="M870" s="163">
        <v>4</v>
      </c>
      <c r="O870" s="154" t="s">
        <v>410</v>
      </c>
      <c r="P870" s="159">
        <v>46103</v>
      </c>
      <c r="Q870" s="154" t="str">
        <f t="shared" si="308"/>
        <v>Bota Sára - Rakurai</v>
      </c>
      <c r="R870" s="154" t="s">
        <v>636</v>
      </c>
      <c r="S870" s="154" t="str">
        <f t="shared" si="309"/>
        <v>Rakurai</v>
      </c>
      <c r="T870" s="154" t="s">
        <v>645</v>
      </c>
      <c r="U870" s="154" t="s">
        <v>797</v>
      </c>
      <c r="V870" s="154"/>
    </row>
    <row r="871" spans="1:22" s="158" customFormat="1" x14ac:dyDescent="0.3">
      <c r="A871" s="154" t="s">
        <v>777</v>
      </c>
      <c r="B871" s="155" t="s">
        <v>154</v>
      </c>
      <c r="C871" s="154">
        <v>789</v>
      </c>
      <c r="D871" s="156" t="str">
        <f t="shared" si="311"/>
        <v>Kumite</v>
      </c>
      <c r="E871" s="156" t="str">
        <f>"Kumite, -, 65-150 kg, Serdülő (13-14"</f>
        <v>Kumite, -, 65-150 kg, Serdülő (13-14</v>
      </c>
      <c r="F871" s="156" t="s">
        <v>543</v>
      </c>
      <c r="G871" s="157" t="str">
        <f>"2"</f>
        <v>2</v>
      </c>
      <c r="H871" s="156" t="str">
        <f>"2 fős egyenes kiesés"</f>
        <v>2 fős egyenes kiesés</v>
      </c>
      <c r="I871" s="157" t="str">
        <f>"2"</f>
        <v>2</v>
      </c>
      <c r="J871" s="156" t="str">
        <f>"Lukácsi Réka"</f>
        <v>Lukácsi Réka</v>
      </c>
      <c r="K871" s="156" t="str">
        <f>"Ippon KKSE"</f>
        <v>Ippon KKSE</v>
      </c>
      <c r="L871" s="156" t="str">
        <f t="shared" si="307"/>
        <v>HUN</v>
      </c>
      <c r="M871" s="163">
        <v>0</v>
      </c>
      <c r="O871" s="154" t="s">
        <v>410</v>
      </c>
      <c r="P871" s="159">
        <v>46103</v>
      </c>
      <c r="Q871" s="154" t="str">
        <f t="shared" si="308"/>
        <v>Lukácsi Réka - Ippon KKSE</v>
      </c>
      <c r="R871" s="154" t="s">
        <v>636</v>
      </c>
      <c r="S871" s="154" t="str">
        <f t="shared" si="309"/>
        <v>Ippon KKSE</v>
      </c>
      <c r="T871" s="154" t="s">
        <v>645</v>
      </c>
      <c r="U871" s="154" t="s">
        <v>797</v>
      </c>
      <c r="V871" s="154"/>
    </row>
    <row r="872" spans="1:22" s="158" customFormat="1" x14ac:dyDescent="0.3">
      <c r="A872" s="154" t="s">
        <v>777</v>
      </c>
      <c r="B872" s="155" t="s">
        <v>154</v>
      </c>
      <c r="C872" s="154">
        <v>790</v>
      </c>
      <c r="D872" s="156" t="str">
        <f t="shared" si="311"/>
        <v>Kumite</v>
      </c>
      <c r="E872" s="156" t="str">
        <f>"Kumite, -, 40-45 kg, Serdülő (13-14"</f>
        <v>Kumite, -, 40-45 kg, Serdülő (13-14</v>
      </c>
      <c r="F872" s="156" t="s">
        <v>536</v>
      </c>
      <c r="G872" s="157" t="str">
        <f>"5"</f>
        <v>5</v>
      </c>
      <c r="H872" s="156" t="str">
        <f>"5 fős körmérkőzés"</f>
        <v>5 fős körmérkőzés</v>
      </c>
      <c r="I872" s="157" t="str">
        <f>"1"</f>
        <v>1</v>
      </c>
      <c r="J872" s="156" t="str">
        <f>"Csató Réka"</f>
        <v>Csató Réka</v>
      </c>
      <c r="K872" s="156" t="str">
        <f>"Keizoku SE"</f>
        <v>Keizoku SE</v>
      </c>
      <c r="L872" s="156" t="str">
        <f t="shared" si="307"/>
        <v>HUN</v>
      </c>
      <c r="M872" s="163">
        <v>10</v>
      </c>
      <c r="O872" s="154" t="s">
        <v>410</v>
      </c>
      <c r="P872" s="159">
        <v>46103</v>
      </c>
      <c r="Q872" s="154" t="str">
        <f t="shared" si="308"/>
        <v>Csató Réka - Keizoku SE</v>
      </c>
      <c r="R872" s="154" t="s">
        <v>636</v>
      </c>
      <c r="S872" s="154" t="str">
        <f t="shared" si="309"/>
        <v>Keizoku SE</v>
      </c>
      <c r="T872" s="154" t="s">
        <v>645</v>
      </c>
      <c r="U872" s="154" t="s">
        <v>797</v>
      </c>
      <c r="V872" s="154"/>
    </row>
    <row r="873" spans="1:22" s="158" customFormat="1" x14ac:dyDescent="0.3">
      <c r="A873" s="154" t="s">
        <v>777</v>
      </c>
      <c r="B873" s="155" t="s">
        <v>154</v>
      </c>
      <c r="C873" s="154">
        <v>791</v>
      </c>
      <c r="D873" s="156" t="str">
        <f t="shared" si="311"/>
        <v>Kumite</v>
      </c>
      <c r="E873" s="156" t="str">
        <f>"Kumite, -, 40-45 kg, Serdülő (13-14"</f>
        <v>Kumite, -, 40-45 kg, Serdülő (13-14</v>
      </c>
      <c r="F873" s="156" t="s">
        <v>536</v>
      </c>
      <c r="G873" s="157" t="str">
        <f>"5"</f>
        <v>5</v>
      </c>
      <c r="H873" s="156" t="str">
        <f>"5 fős körmérkőzés"</f>
        <v>5 fős körmérkőzés</v>
      </c>
      <c r="I873" s="157" t="str">
        <f>"2"</f>
        <v>2</v>
      </c>
      <c r="J873" s="156" t="str">
        <f>"Almási Petra"</f>
        <v>Almási Petra</v>
      </c>
      <c r="K873" s="156" t="str">
        <f>"KHSE"</f>
        <v>KHSE</v>
      </c>
      <c r="L873" s="156" t="str">
        <f t="shared" si="307"/>
        <v>HUN</v>
      </c>
      <c r="M873" s="163">
        <v>8</v>
      </c>
      <c r="O873" s="154" t="s">
        <v>410</v>
      </c>
      <c r="P873" s="159">
        <v>46103</v>
      </c>
      <c r="Q873" s="154" t="str">
        <f t="shared" si="308"/>
        <v>Almási Petra - KHSE</v>
      </c>
      <c r="R873" s="154" t="s">
        <v>636</v>
      </c>
      <c r="S873" s="154" t="str">
        <f t="shared" si="309"/>
        <v>KHSE</v>
      </c>
      <c r="T873" s="154" t="s">
        <v>645</v>
      </c>
      <c r="U873" s="154" t="s">
        <v>797</v>
      </c>
      <c r="V873" s="154"/>
    </row>
    <row r="874" spans="1:22" s="158" customFormat="1" x14ac:dyDescent="0.3">
      <c r="A874" s="154" t="s">
        <v>777</v>
      </c>
      <c r="B874" s="155" t="s">
        <v>154</v>
      </c>
      <c r="C874" s="154">
        <v>792</v>
      </c>
      <c r="D874" s="156" t="str">
        <f t="shared" si="311"/>
        <v>Kumite</v>
      </c>
      <c r="E874" s="156" t="str">
        <f>"Kumite, -, 40-45 kg, Serdülő (13-14"</f>
        <v>Kumite, -, 40-45 kg, Serdülő (13-14</v>
      </c>
      <c r="F874" s="156" t="s">
        <v>536</v>
      </c>
      <c r="G874" s="157" t="str">
        <f>"5"</f>
        <v>5</v>
      </c>
      <c r="H874" s="156" t="str">
        <f>"5 fős körmérkőzés"</f>
        <v>5 fős körmérkőzés</v>
      </c>
      <c r="I874" s="157" t="str">
        <f>"3"</f>
        <v>3</v>
      </c>
      <c r="J874" s="156" t="str">
        <f>"Mihályi Tünde"</f>
        <v>Mihályi Tünde</v>
      </c>
      <c r="K874" s="156" t="str">
        <f>"BHMSE"</f>
        <v>BHMSE</v>
      </c>
      <c r="L874" s="156" t="str">
        <f t="shared" si="307"/>
        <v>HUN</v>
      </c>
      <c r="M874" s="163">
        <v>6</v>
      </c>
      <c r="O874" s="154" t="s">
        <v>410</v>
      </c>
      <c r="P874" s="159">
        <v>46103</v>
      </c>
      <c r="Q874" s="154" t="str">
        <f t="shared" si="308"/>
        <v>Mihályi Tünde - BHMSE</v>
      </c>
      <c r="R874" s="154" t="s">
        <v>636</v>
      </c>
      <c r="S874" s="154" t="str">
        <f t="shared" si="309"/>
        <v>BHMSE</v>
      </c>
      <c r="T874" s="154" t="s">
        <v>645</v>
      </c>
      <c r="U874" s="154" t="s">
        <v>797</v>
      </c>
      <c r="V874" s="154"/>
    </row>
    <row r="875" spans="1:22" s="158" customFormat="1" x14ac:dyDescent="0.3">
      <c r="A875" s="154" t="s">
        <v>777</v>
      </c>
      <c r="B875" s="155" t="s">
        <v>154</v>
      </c>
      <c r="C875" s="154">
        <v>793</v>
      </c>
      <c r="D875" s="156" t="str">
        <f t="shared" si="311"/>
        <v>Kumite</v>
      </c>
      <c r="E875" s="156" t="str">
        <f>"Kumite, -, 40-45 kg, Serdülő (13-14"</f>
        <v>Kumite, -, 40-45 kg, Serdülő (13-14</v>
      </c>
      <c r="F875" s="156" t="s">
        <v>536</v>
      </c>
      <c r="G875" s="157" t="str">
        <f>"5"</f>
        <v>5</v>
      </c>
      <c r="H875" s="156" t="str">
        <f>"5 fős körmérkőzés"</f>
        <v>5 fős körmérkőzés</v>
      </c>
      <c r="I875" s="157" t="str">
        <f>"4"</f>
        <v>4</v>
      </c>
      <c r="J875" s="156" t="str">
        <f>"Horváth Liliána"</f>
        <v>Horváth Liliána</v>
      </c>
      <c r="K875" s="156" t="str">
        <f>"Kamikaze S"</f>
        <v>Kamikaze S</v>
      </c>
      <c r="L875" s="156" t="str">
        <f t="shared" si="307"/>
        <v>HUN</v>
      </c>
      <c r="M875" s="163">
        <v>4</v>
      </c>
      <c r="O875" s="154" t="s">
        <v>410</v>
      </c>
      <c r="P875" s="159">
        <v>46103</v>
      </c>
      <c r="Q875" s="154" t="str">
        <f t="shared" si="308"/>
        <v>Horváth Liliána - Kamikaze S</v>
      </c>
      <c r="R875" s="154" t="s">
        <v>636</v>
      </c>
      <c r="S875" s="154" t="str">
        <f t="shared" si="309"/>
        <v>Kamikaze S</v>
      </c>
      <c r="T875" s="154" t="s">
        <v>645</v>
      </c>
      <c r="U875" s="154" t="s">
        <v>797</v>
      </c>
      <c r="V875" s="154"/>
    </row>
    <row r="876" spans="1:22" s="158" customFormat="1" x14ac:dyDescent="0.3">
      <c r="A876" s="154" t="s">
        <v>777</v>
      </c>
      <c r="B876" s="155" t="s">
        <v>154</v>
      </c>
      <c r="C876" s="154">
        <v>794</v>
      </c>
      <c r="D876" s="156" t="str">
        <f t="shared" si="311"/>
        <v>Kumite</v>
      </c>
      <c r="E876" s="156" t="str">
        <f>"Kumite, -, 40-45 kg, Serdülő (13-14"</f>
        <v>Kumite, -, 40-45 kg, Serdülő (13-14</v>
      </c>
      <c r="F876" s="156" t="s">
        <v>536</v>
      </c>
      <c r="G876" s="157" t="str">
        <f>"5"</f>
        <v>5</v>
      </c>
      <c r="H876" s="156" t="str">
        <f>"5 fős körmérkőzés"</f>
        <v>5 fős körmérkőzés</v>
      </c>
      <c r="I876" s="157" t="str">
        <f>"5"</f>
        <v>5</v>
      </c>
      <c r="J876" s="156" t="str">
        <f>"Hegyesi Mia"</f>
        <v>Hegyesi Mia</v>
      </c>
      <c r="K876" s="156" t="str">
        <f>"Derecske BUDO"</f>
        <v>Derecske BUDO</v>
      </c>
      <c r="L876" s="156" t="str">
        <f t="shared" si="307"/>
        <v>HUN</v>
      </c>
      <c r="M876" s="163">
        <v>3</v>
      </c>
      <c r="O876" s="154" t="s">
        <v>410</v>
      </c>
      <c r="P876" s="159">
        <v>46103</v>
      </c>
      <c r="Q876" s="154" t="str">
        <f t="shared" si="308"/>
        <v>Hegyesi Mia - Derecske BUDO</v>
      </c>
      <c r="R876" s="154" t="s">
        <v>636</v>
      </c>
      <c r="S876" s="154" t="str">
        <f t="shared" si="309"/>
        <v>Derecske BUDO</v>
      </c>
      <c r="T876" s="154" t="s">
        <v>645</v>
      </c>
      <c r="U876" s="154" t="s">
        <v>797</v>
      </c>
      <c r="V876" s="154"/>
    </row>
    <row r="877" spans="1:22" s="158" customFormat="1" x14ac:dyDescent="0.3">
      <c r="A877" s="154" t="s">
        <v>777</v>
      </c>
      <c r="B877" s="155" t="s">
        <v>154</v>
      </c>
      <c r="C877" s="154">
        <v>795</v>
      </c>
      <c r="D877" s="156" t="str">
        <f t="shared" ref="D877:D892" si="319">"Kata"</f>
        <v>Kata</v>
      </c>
      <c r="E877" s="156" t="str">
        <f t="shared" ref="E877:E892" si="320">"Kata, -, 0-150 kg, Serdülő (13-14"</f>
        <v>Kata, -, 0-150 kg, Serdülő (13-14</v>
      </c>
      <c r="F877" s="156" t="s">
        <v>538</v>
      </c>
      <c r="G877" s="157" t="str">
        <f t="shared" ref="G877:G892" si="321">"18"</f>
        <v>18</v>
      </c>
      <c r="H877" s="156" t="str">
        <f t="shared" ref="H877:H892" si="322">"32 fős egyenes kiesés"</f>
        <v>32 fős egyenes kiesés</v>
      </c>
      <c r="I877" s="157" t="str">
        <f>"1"</f>
        <v>1</v>
      </c>
      <c r="J877" s="156" t="str">
        <f>"Nándori Emma"</f>
        <v>Nándori Emma</v>
      </c>
      <c r="K877" s="156" t="str">
        <f>"Kemecse SE"</f>
        <v>Kemecse SE</v>
      </c>
      <c r="L877" s="156" t="str">
        <f t="shared" si="307"/>
        <v>HUN</v>
      </c>
      <c r="M877" s="163">
        <v>10</v>
      </c>
      <c r="O877" s="154" t="s">
        <v>410</v>
      </c>
      <c r="P877" s="159">
        <v>46103</v>
      </c>
      <c r="Q877" s="154" t="str">
        <f t="shared" si="308"/>
        <v>Nándori Emma - Kemecse SE</v>
      </c>
      <c r="R877" s="154" t="s">
        <v>636</v>
      </c>
      <c r="S877" s="154" t="str">
        <f t="shared" si="309"/>
        <v>Kemecse SE</v>
      </c>
      <c r="T877" s="154" t="s">
        <v>645</v>
      </c>
      <c r="U877" s="154" t="s">
        <v>797</v>
      </c>
      <c r="V877" s="154"/>
    </row>
    <row r="878" spans="1:22" s="158" customFormat="1" x14ac:dyDescent="0.3">
      <c r="A878" s="154" t="s">
        <v>777</v>
      </c>
      <c r="B878" s="155" t="s">
        <v>154</v>
      </c>
      <c r="C878" s="154">
        <v>796</v>
      </c>
      <c r="D878" s="156" t="str">
        <f t="shared" si="319"/>
        <v>Kata</v>
      </c>
      <c r="E878" s="156" t="str">
        <f t="shared" si="320"/>
        <v>Kata, -, 0-150 kg, Serdülő (13-14</v>
      </c>
      <c r="F878" s="156" t="s">
        <v>538</v>
      </c>
      <c r="G878" s="157" t="str">
        <f t="shared" si="321"/>
        <v>18</v>
      </c>
      <c r="H878" s="156" t="str">
        <f t="shared" si="322"/>
        <v>32 fős egyenes kiesés</v>
      </c>
      <c r="I878" s="157" t="str">
        <f>"2"</f>
        <v>2</v>
      </c>
      <c r="J878" s="156" t="str">
        <f>"Szabó Zsófi"</f>
        <v>Szabó Zsófi</v>
      </c>
      <c r="K878" s="156" t="str">
        <f>"ShinzóDojo"</f>
        <v>ShinzóDojo</v>
      </c>
      <c r="L878" s="156" t="str">
        <f t="shared" si="307"/>
        <v>HUN</v>
      </c>
      <c r="M878" s="163">
        <v>7</v>
      </c>
      <c r="O878" s="154" t="s">
        <v>410</v>
      </c>
      <c r="P878" s="159">
        <v>46103</v>
      </c>
      <c r="Q878" s="154" t="str">
        <f t="shared" si="308"/>
        <v>Szabó Zsófi - ShinzóDojo</v>
      </c>
      <c r="R878" s="154" t="s">
        <v>636</v>
      </c>
      <c r="S878" s="154" t="str">
        <f t="shared" si="309"/>
        <v>ShinzóDojo</v>
      </c>
      <c r="T878" s="154" t="s">
        <v>645</v>
      </c>
      <c r="U878" s="154" t="s">
        <v>797</v>
      </c>
      <c r="V878" s="154"/>
    </row>
    <row r="879" spans="1:22" s="158" customFormat="1" x14ac:dyDescent="0.3">
      <c r="A879" s="154" t="s">
        <v>777</v>
      </c>
      <c r="B879" s="155" t="s">
        <v>154</v>
      </c>
      <c r="C879" s="154">
        <v>797</v>
      </c>
      <c r="D879" s="156" t="str">
        <f t="shared" si="319"/>
        <v>Kata</v>
      </c>
      <c r="E879" s="156" t="str">
        <f t="shared" si="320"/>
        <v>Kata, -, 0-150 kg, Serdülő (13-14</v>
      </c>
      <c r="F879" s="156" t="s">
        <v>538</v>
      </c>
      <c r="G879" s="157" t="str">
        <f t="shared" si="321"/>
        <v>18</v>
      </c>
      <c r="H879" s="156" t="str">
        <f t="shared" si="322"/>
        <v>32 fős egyenes kiesés</v>
      </c>
      <c r="I879" s="157" t="str">
        <f>"3"</f>
        <v>3</v>
      </c>
      <c r="J879" s="156" t="str">
        <f>"Csató Réka"</f>
        <v>Csató Réka</v>
      </c>
      <c r="K879" s="156" t="str">
        <f>"Keizoku SE"</f>
        <v>Keizoku SE</v>
      </c>
      <c r="L879" s="156" t="str">
        <f t="shared" si="307"/>
        <v>HUN</v>
      </c>
      <c r="M879" s="163">
        <v>5</v>
      </c>
      <c r="O879" s="154" t="s">
        <v>410</v>
      </c>
      <c r="P879" s="159">
        <v>46103</v>
      </c>
      <c r="Q879" s="154" t="str">
        <f t="shared" si="308"/>
        <v>Csató Réka - Keizoku SE</v>
      </c>
      <c r="R879" s="154" t="s">
        <v>636</v>
      </c>
      <c r="S879" s="154" t="str">
        <f t="shared" si="309"/>
        <v>Keizoku SE</v>
      </c>
      <c r="T879" s="154" t="s">
        <v>645</v>
      </c>
      <c r="U879" s="154" t="s">
        <v>797</v>
      </c>
      <c r="V879" s="154"/>
    </row>
    <row r="880" spans="1:22" s="158" customFormat="1" x14ac:dyDescent="0.3">
      <c r="A880" s="154" t="s">
        <v>777</v>
      </c>
      <c r="B880" s="155" t="s">
        <v>154</v>
      </c>
      <c r="C880" s="154">
        <v>798</v>
      </c>
      <c r="D880" s="156" t="str">
        <f t="shared" si="319"/>
        <v>Kata</v>
      </c>
      <c r="E880" s="156" t="str">
        <f t="shared" si="320"/>
        <v>Kata, -, 0-150 kg, Serdülő (13-14</v>
      </c>
      <c r="F880" s="156" t="s">
        <v>538</v>
      </c>
      <c r="G880" s="157" t="str">
        <f t="shared" si="321"/>
        <v>18</v>
      </c>
      <c r="H880" s="156" t="str">
        <f t="shared" si="322"/>
        <v>32 fős egyenes kiesés</v>
      </c>
      <c r="I880" s="157" t="str">
        <f>"3"</f>
        <v>3</v>
      </c>
      <c r="J880" s="156" t="str">
        <f>"Szabó Anna Tímea"</f>
        <v>Szabó Anna Tímea</v>
      </c>
      <c r="K880" s="156" t="str">
        <f>"Katana SE"</f>
        <v>Katana SE</v>
      </c>
      <c r="L880" s="156" t="str">
        <f t="shared" si="307"/>
        <v>HUN</v>
      </c>
      <c r="M880" s="163">
        <v>5</v>
      </c>
      <c r="O880" s="154" t="s">
        <v>410</v>
      </c>
      <c r="P880" s="159">
        <v>46103</v>
      </c>
      <c r="Q880" s="154" t="str">
        <f t="shared" si="308"/>
        <v>Szabó Anna Tímea - Katana SE</v>
      </c>
      <c r="R880" s="154" t="s">
        <v>636</v>
      </c>
      <c r="S880" s="154" t="str">
        <f t="shared" si="309"/>
        <v>Katana SE</v>
      </c>
      <c r="T880" s="154" t="s">
        <v>645</v>
      </c>
      <c r="U880" s="154" t="s">
        <v>797</v>
      </c>
      <c r="V880" s="154"/>
    </row>
    <row r="881" spans="1:22" s="158" customFormat="1" x14ac:dyDescent="0.3">
      <c r="A881" s="154" t="s">
        <v>777</v>
      </c>
      <c r="B881" s="155" t="s">
        <v>154</v>
      </c>
      <c r="C881" s="154">
        <v>799</v>
      </c>
      <c r="D881" s="156" t="str">
        <f t="shared" si="319"/>
        <v>Kata</v>
      </c>
      <c r="E881" s="156" t="str">
        <f t="shared" si="320"/>
        <v>Kata, -, 0-150 kg, Serdülő (13-14</v>
      </c>
      <c r="F881" s="156" t="s">
        <v>538</v>
      </c>
      <c r="G881" s="157" t="str">
        <f t="shared" si="321"/>
        <v>18</v>
      </c>
      <c r="H881" s="156" t="str">
        <f t="shared" si="322"/>
        <v>32 fős egyenes kiesés</v>
      </c>
      <c r="I881" s="157" t="str">
        <f>"5"</f>
        <v>5</v>
      </c>
      <c r="J881" s="156" t="str">
        <f>"Mészáros Lili Dóra"</f>
        <v>Mészáros Lili Dóra</v>
      </c>
      <c r="K881" s="156" t="str">
        <f>"KSE Tarján"</f>
        <v>KSE Tarján</v>
      </c>
      <c r="L881" s="156" t="str">
        <f t="shared" si="307"/>
        <v>HUN</v>
      </c>
      <c r="M881" s="163">
        <v>3</v>
      </c>
      <c r="O881" s="154" t="s">
        <v>410</v>
      </c>
      <c r="P881" s="159">
        <v>46103</v>
      </c>
      <c r="Q881" s="154" t="str">
        <f t="shared" si="308"/>
        <v>Mészáros Lili Dóra - KSE Tarján</v>
      </c>
      <c r="R881" s="154" t="s">
        <v>636</v>
      </c>
      <c r="S881" s="154" t="str">
        <f t="shared" si="309"/>
        <v>KSE Tarján</v>
      </c>
      <c r="T881" s="154" t="s">
        <v>645</v>
      </c>
      <c r="U881" s="154" t="s">
        <v>797</v>
      </c>
      <c r="V881" s="154"/>
    </row>
    <row r="882" spans="1:22" s="158" customFormat="1" x14ac:dyDescent="0.3">
      <c r="A882" s="154" t="s">
        <v>777</v>
      </c>
      <c r="B882" s="155" t="s">
        <v>154</v>
      </c>
      <c r="C882" s="154">
        <v>800</v>
      </c>
      <c r="D882" s="156" t="str">
        <f t="shared" si="319"/>
        <v>Kata</v>
      </c>
      <c r="E882" s="156" t="str">
        <f t="shared" si="320"/>
        <v>Kata, -, 0-150 kg, Serdülő (13-14</v>
      </c>
      <c r="F882" s="156" t="s">
        <v>538</v>
      </c>
      <c r="G882" s="157" t="str">
        <f t="shared" si="321"/>
        <v>18</v>
      </c>
      <c r="H882" s="156" t="str">
        <f t="shared" si="322"/>
        <v>32 fős egyenes kiesés</v>
      </c>
      <c r="I882" s="157" t="str">
        <f>"6"</f>
        <v>6</v>
      </c>
      <c r="J882" s="156" t="str">
        <f>"Novák Noémi"</f>
        <v>Novák Noémi</v>
      </c>
      <c r="K882" s="156" t="str">
        <f>"Bendiák Dojo"</f>
        <v>Bendiák Dojo</v>
      </c>
      <c r="L882" s="156" t="str">
        <f t="shared" si="307"/>
        <v>HUN</v>
      </c>
      <c r="M882" s="163">
        <v>3</v>
      </c>
      <c r="O882" s="154" t="s">
        <v>410</v>
      </c>
      <c r="P882" s="159">
        <v>46103</v>
      </c>
      <c r="Q882" s="154" t="str">
        <f t="shared" si="308"/>
        <v>Novák Noémi - Bendiák Dojo</v>
      </c>
      <c r="R882" s="154" t="s">
        <v>636</v>
      </c>
      <c r="S882" s="154" t="str">
        <f t="shared" si="309"/>
        <v>Bendiák Dojo</v>
      </c>
      <c r="T882" s="154" t="s">
        <v>645</v>
      </c>
      <c r="U882" s="154" t="s">
        <v>797</v>
      </c>
      <c r="V882" s="154"/>
    </row>
    <row r="883" spans="1:22" s="158" customFormat="1" x14ac:dyDescent="0.3">
      <c r="A883" s="154" t="s">
        <v>777</v>
      </c>
      <c r="B883" s="155" t="s">
        <v>154</v>
      </c>
      <c r="C883" s="154">
        <v>801</v>
      </c>
      <c r="D883" s="156" t="str">
        <f t="shared" si="319"/>
        <v>Kata</v>
      </c>
      <c r="E883" s="156" t="str">
        <f t="shared" si="320"/>
        <v>Kata, -, 0-150 kg, Serdülő (13-14</v>
      </c>
      <c r="F883" s="156" t="s">
        <v>538</v>
      </c>
      <c r="G883" s="157" t="str">
        <f t="shared" si="321"/>
        <v>18</v>
      </c>
      <c r="H883" s="156" t="str">
        <f t="shared" si="322"/>
        <v>32 fős egyenes kiesés</v>
      </c>
      <c r="I883" s="157" t="str">
        <f>"7-8"</f>
        <v>7-8</v>
      </c>
      <c r="J883" s="156" t="str">
        <f>"Szűcs Anna"</f>
        <v>Szűcs Anna</v>
      </c>
      <c r="K883" s="156" t="str">
        <f>"Ichiro Dojo"</f>
        <v>Ichiro Dojo</v>
      </c>
      <c r="L883" s="156" t="str">
        <f t="shared" si="307"/>
        <v>HUN</v>
      </c>
      <c r="M883" s="163">
        <v>3</v>
      </c>
      <c r="O883" s="154" t="s">
        <v>410</v>
      </c>
      <c r="P883" s="159">
        <v>46103</v>
      </c>
      <c r="Q883" s="154" t="str">
        <f t="shared" si="308"/>
        <v>Szűcs Anna - Ichiro Dojo</v>
      </c>
      <c r="R883" s="154" t="s">
        <v>637</v>
      </c>
      <c r="S883" s="154" t="str">
        <f t="shared" si="309"/>
        <v>Ichiro Dojo</v>
      </c>
      <c r="T883" s="154" t="s">
        <v>645</v>
      </c>
      <c r="U883" s="154" t="s">
        <v>797</v>
      </c>
      <c r="V883" s="154"/>
    </row>
    <row r="884" spans="1:22" s="158" customFormat="1" x14ac:dyDescent="0.3">
      <c r="A884" s="154" t="s">
        <v>777</v>
      </c>
      <c r="B884" s="155" t="s">
        <v>154</v>
      </c>
      <c r="C884" s="154">
        <v>802</v>
      </c>
      <c r="D884" s="156" t="str">
        <f t="shared" si="319"/>
        <v>Kata</v>
      </c>
      <c r="E884" s="156" t="str">
        <f t="shared" si="320"/>
        <v>Kata, -, 0-150 kg, Serdülő (13-14</v>
      </c>
      <c r="F884" s="156" t="s">
        <v>538</v>
      </c>
      <c r="G884" s="157" t="str">
        <f t="shared" si="321"/>
        <v>18</v>
      </c>
      <c r="H884" s="156" t="str">
        <f t="shared" si="322"/>
        <v>32 fős egyenes kiesés</v>
      </c>
      <c r="I884" s="157" t="str">
        <f>"7-8"</f>
        <v>7-8</v>
      </c>
      <c r="J884" s="156" t="str">
        <f>"Radnóti Lilla"</f>
        <v>Radnóti Lilla</v>
      </c>
      <c r="K884" s="156" t="str">
        <f>"POWER SE."</f>
        <v>POWER SE.</v>
      </c>
      <c r="L884" s="156" t="str">
        <f t="shared" si="307"/>
        <v>HUN</v>
      </c>
      <c r="M884" s="163">
        <v>3</v>
      </c>
      <c r="O884" s="154" t="s">
        <v>410</v>
      </c>
      <c r="P884" s="159">
        <v>46103</v>
      </c>
      <c r="Q884" s="154" t="str">
        <f t="shared" si="308"/>
        <v>Radnóti Lilla - POWER SE.</v>
      </c>
      <c r="R884" s="154" t="s">
        <v>636</v>
      </c>
      <c r="S884" s="154" t="str">
        <f t="shared" si="309"/>
        <v>POWER SE.</v>
      </c>
      <c r="T884" s="154" t="s">
        <v>645</v>
      </c>
      <c r="U884" s="154" t="s">
        <v>797</v>
      </c>
      <c r="V884" s="154"/>
    </row>
    <row r="885" spans="1:22" s="158" customFormat="1" x14ac:dyDescent="0.3">
      <c r="A885" s="154" t="s">
        <v>777</v>
      </c>
      <c r="B885" s="155" t="s">
        <v>154</v>
      </c>
      <c r="C885" s="154">
        <v>803</v>
      </c>
      <c r="D885" s="156" t="str">
        <f t="shared" si="319"/>
        <v>Kata</v>
      </c>
      <c r="E885" s="156" t="str">
        <f t="shared" si="320"/>
        <v>Kata, -, 0-150 kg, Serdülő (13-14</v>
      </c>
      <c r="F885" s="156" t="s">
        <v>538</v>
      </c>
      <c r="G885" s="157" t="str">
        <f t="shared" si="321"/>
        <v>18</v>
      </c>
      <c r="H885" s="156" t="str">
        <f t="shared" si="322"/>
        <v>32 fős egyenes kiesés</v>
      </c>
      <c r="I885" s="157" t="str">
        <f>"9"</f>
        <v>9</v>
      </c>
      <c r="J885" s="156" t="str">
        <f>"Kovács Linett"</f>
        <v>Kovács Linett</v>
      </c>
      <c r="K885" s="156" t="str">
        <f>"RDKKSE"</f>
        <v>RDKKSE</v>
      </c>
      <c r="L885" s="156" t="str">
        <f t="shared" si="307"/>
        <v>HUN</v>
      </c>
      <c r="M885" s="163">
        <v>0</v>
      </c>
      <c r="O885" s="154" t="s">
        <v>410</v>
      </c>
      <c r="P885" s="159">
        <v>46103</v>
      </c>
      <c r="Q885" s="154" t="str">
        <f t="shared" si="308"/>
        <v>Kovács Linett - RDKKSE</v>
      </c>
      <c r="R885" s="154" t="s">
        <v>636</v>
      </c>
      <c r="S885" s="154" t="str">
        <f t="shared" si="309"/>
        <v>RDKKSE</v>
      </c>
      <c r="T885" s="154" t="s">
        <v>645</v>
      </c>
      <c r="U885" s="154" t="s">
        <v>797</v>
      </c>
      <c r="V885" s="154"/>
    </row>
    <row r="886" spans="1:22" s="158" customFormat="1" x14ac:dyDescent="0.3">
      <c r="A886" s="154" t="s">
        <v>777</v>
      </c>
      <c r="B886" s="155" t="s">
        <v>154</v>
      </c>
      <c r="C886" s="154">
        <v>804</v>
      </c>
      <c r="D886" s="156" t="str">
        <f t="shared" si="319"/>
        <v>Kata</v>
      </c>
      <c r="E886" s="156" t="str">
        <f t="shared" si="320"/>
        <v>Kata, -, 0-150 kg, Serdülő (13-14</v>
      </c>
      <c r="F886" s="156" t="s">
        <v>538</v>
      </c>
      <c r="G886" s="157" t="str">
        <f t="shared" si="321"/>
        <v>18</v>
      </c>
      <c r="H886" s="156" t="str">
        <f t="shared" si="322"/>
        <v>32 fős egyenes kiesés</v>
      </c>
      <c r="I886" s="157" t="str">
        <f>"10"</f>
        <v>10</v>
      </c>
      <c r="J886" s="156" t="str">
        <f>"Mihályi Tünde"</f>
        <v>Mihályi Tünde</v>
      </c>
      <c r="K886" s="156" t="str">
        <f>"BHMSE"</f>
        <v>BHMSE</v>
      </c>
      <c r="L886" s="156" t="str">
        <f t="shared" si="307"/>
        <v>HUN</v>
      </c>
      <c r="M886" s="163">
        <v>0</v>
      </c>
      <c r="O886" s="154" t="s">
        <v>410</v>
      </c>
      <c r="P886" s="159">
        <v>46103</v>
      </c>
      <c r="Q886" s="154" t="str">
        <f t="shared" si="308"/>
        <v>Mihályi Tünde - BHMSE</v>
      </c>
      <c r="R886" s="154" t="s">
        <v>636</v>
      </c>
      <c r="S886" s="154" t="str">
        <f t="shared" si="309"/>
        <v>BHMSE</v>
      </c>
      <c r="T886" s="154" t="s">
        <v>645</v>
      </c>
      <c r="U886" s="154" t="s">
        <v>797</v>
      </c>
      <c r="V886" s="154"/>
    </row>
    <row r="887" spans="1:22" s="158" customFormat="1" x14ac:dyDescent="0.3">
      <c r="A887" s="154" t="s">
        <v>777</v>
      </c>
      <c r="B887" s="155" t="s">
        <v>154</v>
      </c>
      <c r="C887" s="154">
        <v>805</v>
      </c>
      <c r="D887" s="156" t="str">
        <f t="shared" si="319"/>
        <v>Kata</v>
      </c>
      <c r="E887" s="156" t="str">
        <f t="shared" si="320"/>
        <v>Kata, -, 0-150 kg, Serdülő (13-14</v>
      </c>
      <c r="F887" s="156" t="s">
        <v>538</v>
      </c>
      <c r="G887" s="157" t="str">
        <f t="shared" si="321"/>
        <v>18</v>
      </c>
      <c r="H887" s="156" t="str">
        <f t="shared" si="322"/>
        <v>32 fős egyenes kiesés</v>
      </c>
      <c r="I887" s="157" t="str">
        <f t="shared" ref="I887:I892" si="323">"11-16"</f>
        <v>11-16</v>
      </c>
      <c r="J887" s="156" t="str">
        <f>"Orosz Elizabett"</f>
        <v>Orosz Elizabett</v>
      </c>
      <c r="K887" s="156" t="str">
        <f>"KSE Tarján"</f>
        <v>KSE Tarján</v>
      </c>
      <c r="L887" s="156" t="str">
        <f t="shared" si="307"/>
        <v>HUN</v>
      </c>
      <c r="M887" s="163">
        <v>0</v>
      </c>
      <c r="O887" s="154" t="s">
        <v>410</v>
      </c>
      <c r="P887" s="159">
        <v>46103</v>
      </c>
      <c r="Q887" s="154" t="str">
        <f t="shared" si="308"/>
        <v>Orosz Elizabett - KSE Tarján</v>
      </c>
      <c r="R887" s="154" t="s">
        <v>636</v>
      </c>
      <c r="S887" s="154" t="str">
        <f t="shared" si="309"/>
        <v>KSE Tarján</v>
      </c>
      <c r="T887" s="154" t="s">
        <v>645</v>
      </c>
      <c r="U887" s="154" t="s">
        <v>797</v>
      </c>
      <c r="V887" s="154"/>
    </row>
    <row r="888" spans="1:22" s="158" customFormat="1" x14ac:dyDescent="0.3">
      <c r="A888" s="154" t="s">
        <v>777</v>
      </c>
      <c r="B888" s="155" t="s">
        <v>154</v>
      </c>
      <c r="C888" s="154">
        <v>806</v>
      </c>
      <c r="D888" s="156" t="str">
        <f t="shared" si="319"/>
        <v>Kata</v>
      </c>
      <c r="E888" s="156" t="str">
        <f t="shared" si="320"/>
        <v>Kata, -, 0-150 kg, Serdülő (13-14</v>
      </c>
      <c r="F888" s="156" t="s">
        <v>538</v>
      </c>
      <c r="G888" s="157" t="str">
        <f t="shared" si="321"/>
        <v>18</v>
      </c>
      <c r="H888" s="156" t="str">
        <f t="shared" si="322"/>
        <v>32 fős egyenes kiesés</v>
      </c>
      <c r="I888" s="157" t="str">
        <f t="shared" si="323"/>
        <v>11-16</v>
      </c>
      <c r="J888" s="156" t="str">
        <f>"Horváth Dóra Lili"</f>
        <v>Horváth Dóra Lili</v>
      </c>
      <c r="K888" s="156" t="str">
        <f>"BHMSE"</f>
        <v>BHMSE</v>
      </c>
      <c r="L888" s="156" t="str">
        <f t="shared" si="307"/>
        <v>HUN</v>
      </c>
      <c r="M888" s="163">
        <v>0</v>
      </c>
      <c r="O888" s="154" t="s">
        <v>410</v>
      </c>
      <c r="P888" s="159">
        <v>46103</v>
      </c>
      <c r="Q888" s="154" t="str">
        <f t="shared" si="308"/>
        <v>Horváth Dóra Lili - BHMSE</v>
      </c>
      <c r="R888" s="154" t="s">
        <v>636</v>
      </c>
      <c r="S888" s="154" t="str">
        <f t="shared" si="309"/>
        <v>BHMSE</v>
      </c>
      <c r="T888" s="154" t="s">
        <v>645</v>
      </c>
      <c r="U888" s="154" t="s">
        <v>797</v>
      </c>
      <c r="V888" s="154"/>
    </row>
    <row r="889" spans="1:22" s="158" customFormat="1" x14ac:dyDescent="0.3">
      <c r="A889" s="154" t="s">
        <v>777</v>
      </c>
      <c r="B889" s="155" t="s">
        <v>154</v>
      </c>
      <c r="C889" s="154">
        <v>807</v>
      </c>
      <c r="D889" s="156" t="str">
        <f t="shared" si="319"/>
        <v>Kata</v>
      </c>
      <c r="E889" s="156" t="str">
        <f t="shared" si="320"/>
        <v>Kata, -, 0-150 kg, Serdülő (13-14</v>
      </c>
      <c r="F889" s="156" t="s">
        <v>538</v>
      </c>
      <c r="G889" s="157" t="str">
        <f t="shared" si="321"/>
        <v>18</v>
      </c>
      <c r="H889" s="156" t="str">
        <f t="shared" si="322"/>
        <v>32 fős egyenes kiesés</v>
      </c>
      <c r="I889" s="157" t="str">
        <f t="shared" si="323"/>
        <v>11-16</v>
      </c>
      <c r="J889" s="156" t="str">
        <f>"Gál Petra Andrea"</f>
        <v>Gál Petra Andrea</v>
      </c>
      <c r="K889" s="156" t="str">
        <f>"Fitt KKSE"</f>
        <v>Fitt KKSE</v>
      </c>
      <c r="L889" s="156" t="str">
        <f t="shared" si="307"/>
        <v>HUN</v>
      </c>
      <c r="M889" s="163">
        <v>0</v>
      </c>
      <c r="O889" s="154" t="s">
        <v>410</v>
      </c>
      <c r="P889" s="159">
        <v>46103</v>
      </c>
      <c r="Q889" s="154" t="str">
        <f t="shared" si="308"/>
        <v>Gál Petra Andrea - Fitt KKSE</v>
      </c>
      <c r="R889" s="154" t="s">
        <v>636</v>
      </c>
      <c r="S889" s="154" t="str">
        <f t="shared" si="309"/>
        <v>Fitt KKSE</v>
      </c>
      <c r="T889" s="154" t="s">
        <v>645</v>
      </c>
      <c r="U889" s="154" t="s">
        <v>797</v>
      </c>
      <c r="V889" s="154"/>
    </row>
    <row r="890" spans="1:22" s="158" customFormat="1" x14ac:dyDescent="0.3">
      <c r="A890" s="154" t="s">
        <v>777</v>
      </c>
      <c r="B890" s="155" t="s">
        <v>154</v>
      </c>
      <c r="C890" s="154">
        <v>808</v>
      </c>
      <c r="D890" s="156" t="str">
        <f t="shared" si="319"/>
        <v>Kata</v>
      </c>
      <c r="E890" s="156" t="str">
        <f t="shared" si="320"/>
        <v>Kata, -, 0-150 kg, Serdülő (13-14</v>
      </c>
      <c r="F890" s="156" t="s">
        <v>538</v>
      </c>
      <c r="G890" s="157" t="str">
        <f t="shared" si="321"/>
        <v>18</v>
      </c>
      <c r="H890" s="156" t="str">
        <f t="shared" si="322"/>
        <v>32 fős egyenes kiesés</v>
      </c>
      <c r="I890" s="157" t="str">
        <f t="shared" si="323"/>
        <v>11-16</v>
      </c>
      <c r="J890" s="156" t="str">
        <f>"Kiss Jázmin"</f>
        <v>Kiss Jázmin</v>
      </c>
      <c r="K890" s="156" t="str">
        <f>"TADASHII "</f>
        <v xml:space="preserve">TADASHII </v>
      </c>
      <c r="L890" s="156" t="str">
        <f t="shared" si="307"/>
        <v>HUN</v>
      </c>
      <c r="M890" s="163">
        <v>0</v>
      </c>
      <c r="O890" s="154" t="s">
        <v>410</v>
      </c>
      <c r="P890" s="159">
        <v>46103</v>
      </c>
      <c r="Q890" s="154" t="str">
        <f t="shared" si="308"/>
        <v xml:space="preserve">Kiss Jázmin - TADASHII </v>
      </c>
      <c r="R890" s="154" t="s">
        <v>637</v>
      </c>
      <c r="S890" s="154" t="str">
        <f t="shared" si="309"/>
        <v xml:space="preserve">TADASHII </v>
      </c>
      <c r="T890" s="154" t="s">
        <v>645</v>
      </c>
      <c r="U890" s="154" t="s">
        <v>797</v>
      </c>
      <c r="V890" s="154"/>
    </row>
    <row r="891" spans="1:22" s="158" customFormat="1" x14ac:dyDescent="0.3">
      <c r="A891" s="154" t="s">
        <v>777</v>
      </c>
      <c r="B891" s="155" t="s">
        <v>154</v>
      </c>
      <c r="C891" s="154">
        <v>809</v>
      </c>
      <c r="D891" s="156" t="str">
        <f t="shared" si="319"/>
        <v>Kata</v>
      </c>
      <c r="E891" s="156" t="str">
        <f t="shared" si="320"/>
        <v>Kata, -, 0-150 kg, Serdülő (13-14</v>
      </c>
      <c r="F891" s="156" t="s">
        <v>538</v>
      </c>
      <c r="G891" s="157" t="str">
        <f t="shared" si="321"/>
        <v>18</v>
      </c>
      <c r="H891" s="156" t="str">
        <f t="shared" si="322"/>
        <v>32 fős egyenes kiesés</v>
      </c>
      <c r="I891" s="157" t="str">
        <f t="shared" si="323"/>
        <v>11-16</v>
      </c>
      <c r="J891" s="156" t="str">
        <f>"Gaál-Vajai Tamara"</f>
        <v>Gaál-Vajai Tamara</v>
      </c>
      <c r="K891" s="156" t="str">
        <f>"Főnix Dojo"</f>
        <v>Főnix Dojo</v>
      </c>
      <c r="L891" s="156" t="str">
        <f t="shared" si="307"/>
        <v>HUN</v>
      </c>
      <c r="M891" s="163">
        <v>0</v>
      </c>
      <c r="O891" s="154" t="s">
        <v>410</v>
      </c>
      <c r="P891" s="159">
        <v>46103</v>
      </c>
      <c r="Q891" s="154" t="str">
        <f t="shared" si="308"/>
        <v>Gaál-Vajai Tamara - Főnix Dojo</v>
      </c>
      <c r="R891" s="154" t="s">
        <v>636</v>
      </c>
      <c r="S891" s="154" t="str">
        <f t="shared" si="309"/>
        <v>Főnix Dojo</v>
      </c>
      <c r="T891" s="154" t="s">
        <v>645</v>
      </c>
      <c r="U891" s="154" t="s">
        <v>797</v>
      </c>
      <c r="V891" s="154"/>
    </row>
    <row r="892" spans="1:22" s="158" customFormat="1" x14ac:dyDescent="0.3">
      <c r="A892" s="154" t="s">
        <v>777</v>
      </c>
      <c r="B892" s="155" t="s">
        <v>154</v>
      </c>
      <c r="C892" s="154">
        <v>810</v>
      </c>
      <c r="D892" s="156" t="str">
        <f t="shared" si="319"/>
        <v>Kata</v>
      </c>
      <c r="E892" s="156" t="str">
        <f t="shared" si="320"/>
        <v>Kata, -, 0-150 kg, Serdülő (13-14</v>
      </c>
      <c r="F892" s="156" t="s">
        <v>538</v>
      </c>
      <c r="G892" s="157" t="str">
        <f t="shared" si="321"/>
        <v>18</v>
      </c>
      <c r="H892" s="156" t="str">
        <f t="shared" si="322"/>
        <v>32 fős egyenes kiesés</v>
      </c>
      <c r="I892" s="157" t="str">
        <f t="shared" si="323"/>
        <v>11-16</v>
      </c>
      <c r="J892" s="156" t="str">
        <f>"Tóth-Krisó Míra"</f>
        <v>Tóth-Krisó Míra</v>
      </c>
      <c r="K892" s="156" t="str">
        <f>"Katana SE"</f>
        <v>Katana SE</v>
      </c>
      <c r="L892" s="156" t="str">
        <f t="shared" si="307"/>
        <v>HUN</v>
      </c>
      <c r="M892" s="163">
        <v>0</v>
      </c>
      <c r="O892" s="154" t="s">
        <v>410</v>
      </c>
      <c r="P892" s="159">
        <v>46103</v>
      </c>
      <c r="Q892" s="154" t="str">
        <f t="shared" si="308"/>
        <v>Tóth-Krisó Míra - Katana SE</v>
      </c>
      <c r="R892" s="154" t="s">
        <v>636</v>
      </c>
      <c r="S892" s="154" t="str">
        <f t="shared" si="309"/>
        <v>Katana SE</v>
      </c>
      <c r="T892" s="154" t="s">
        <v>645</v>
      </c>
      <c r="U892" s="154" t="s">
        <v>797</v>
      </c>
      <c r="V892" s="154"/>
    </row>
    <row r="893" spans="1:22" s="158" customFormat="1" x14ac:dyDescent="0.3">
      <c r="A893" s="154" t="s">
        <v>777</v>
      </c>
      <c r="B893" s="155" t="s">
        <v>154</v>
      </c>
      <c r="C893" s="154">
        <v>811</v>
      </c>
      <c r="D893" s="156" t="str">
        <f t="shared" ref="D893:D938" si="324">"Kumite"</f>
        <v>Kumite</v>
      </c>
      <c r="E893" s="156" t="str">
        <f t="shared" ref="E893:E902" si="325">"Kumite, -, 0-50 kg, Ifjúsági (15-16"</f>
        <v>Kumite, -, 0-50 kg, Ifjúsági (15-16</v>
      </c>
      <c r="F893" s="156" t="s">
        <v>541</v>
      </c>
      <c r="G893" s="157" t="str">
        <f t="shared" ref="G893:G902" si="326">"10"</f>
        <v>10</v>
      </c>
      <c r="H893" s="156" t="str">
        <f t="shared" ref="H893:H902" si="327">"16 fős egyenes kiesés"</f>
        <v>16 fős egyenes kiesés</v>
      </c>
      <c r="I893" s="157" t="str">
        <f>"1"</f>
        <v>1</v>
      </c>
      <c r="J893" s="156" t="str">
        <f>"Gombos-Weidinger Barnabás"</f>
        <v>Gombos-Weidinger Barnabás</v>
      </c>
      <c r="K893" s="156" t="str">
        <f>"BHMSE"</f>
        <v>BHMSE</v>
      </c>
      <c r="L893" s="156" t="str">
        <f t="shared" si="307"/>
        <v>HUN</v>
      </c>
      <c r="M893" s="163">
        <v>10</v>
      </c>
      <c r="O893" s="154" t="s">
        <v>410</v>
      </c>
      <c r="P893" s="159">
        <v>46103</v>
      </c>
      <c r="Q893" s="154" t="str">
        <f t="shared" si="308"/>
        <v>Gombos-Weidinger Barnabás - BHMSE</v>
      </c>
      <c r="R893" s="154" t="s">
        <v>636</v>
      </c>
      <c r="S893" s="154" t="str">
        <f t="shared" si="309"/>
        <v>BHMSE</v>
      </c>
      <c r="T893" s="154" t="s">
        <v>645</v>
      </c>
      <c r="U893" s="154" t="s">
        <v>798</v>
      </c>
      <c r="V893" s="154"/>
    </row>
    <row r="894" spans="1:22" s="158" customFormat="1" x14ac:dyDescent="0.3">
      <c r="A894" s="154" t="s">
        <v>777</v>
      </c>
      <c r="B894" s="155" t="s">
        <v>154</v>
      </c>
      <c r="C894" s="154">
        <v>812</v>
      </c>
      <c r="D894" s="156" t="str">
        <f t="shared" si="324"/>
        <v>Kumite</v>
      </c>
      <c r="E894" s="156" t="str">
        <f t="shared" si="325"/>
        <v>Kumite, -, 0-50 kg, Ifjúsági (15-16</v>
      </c>
      <c r="F894" s="156" t="s">
        <v>541</v>
      </c>
      <c r="G894" s="157" t="str">
        <f t="shared" si="326"/>
        <v>10</v>
      </c>
      <c r="H894" s="156" t="str">
        <f t="shared" si="327"/>
        <v>16 fős egyenes kiesés</v>
      </c>
      <c r="I894" s="157" t="str">
        <f>"2"</f>
        <v>2</v>
      </c>
      <c r="J894" s="156" t="str">
        <f>"Bollók Zalán"</f>
        <v>Bollók Zalán</v>
      </c>
      <c r="K894" s="156" t="str">
        <f>"VTSE"</f>
        <v>VTSE</v>
      </c>
      <c r="L894" s="156" t="str">
        <f t="shared" si="307"/>
        <v>HUN</v>
      </c>
      <c r="M894" s="163">
        <v>8</v>
      </c>
      <c r="O894" s="154" t="s">
        <v>410</v>
      </c>
      <c r="P894" s="159">
        <v>46103</v>
      </c>
      <c r="Q894" s="154" t="str">
        <f t="shared" si="308"/>
        <v>Bollók Zalán - VTSE</v>
      </c>
      <c r="R894" s="154" t="s">
        <v>637</v>
      </c>
      <c r="S894" s="154" t="str">
        <f t="shared" si="309"/>
        <v>VTSE</v>
      </c>
      <c r="T894" s="154" t="s">
        <v>645</v>
      </c>
      <c r="U894" s="154" t="s">
        <v>798</v>
      </c>
      <c r="V894" s="154"/>
    </row>
    <row r="895" spans="1:22" s="158" customFormat="1" x14ac:dyDescent="0.3">
      <c r="A895" s="154" t="s">
        <v>777</v>
      </c>
      <c r="B895" s="155" t="s">
        <v>154</v>
      </c>
      <c r="C895" s="154">
        <v>813</v>
      </c>
      <c r="D895" s="156" t="str">
        <f t="shared" si="324"/>
        <v>Kumite</v>
      </c>
      <c r="E895" s="156" t="str">
        <f t="shared" si="325"/>
        <v>Kumite, -, 0-50 kg, Ifjúsági (15-16</v>
      </c>
      <c r="F895" s="156" t="s">
        <v>541</v>
      </c>
      <c r="G895" s="157" t="str">
        <f t="shared" si="326"/>
        <v>10</v>
      </c>
      <c r="H895" s="156" t="str">
        <f t="shared" si="327"/>
        <v>16 fős egyenes kiesés</v>
      </c>
      <c r="I895" s="157" t="str">
        <f>"3"</f>
        <v>3</v>
      </c>
      <c r="J895" s="156" t="str">
        <f>"Stoffán Ádám Vilmos"</f>
        <v>Stoffán Ádám Vilmos</v>
      </c>
      <c r="K895" s="156" t="str">
        <f>"Victory"</f>
        <v>Victory</v>
      </c>
      <c r="L895" s="156" t="str">
        <f t="shared" si="307"/>
        <v>HUN</v>
      </c>
      <c r="M895" s="163">
        <v>6</v>
      </c>
      <c r="O895" s="154" t="s">
        <v>410</v>
      </c>
      <c r="P895" s="159">
        <v>46103</v>
      </c>
      <c r="Q895" s="154" t="str">
        <f t="shared" si="308"/>
        <v>Stoffán Ádám Vilmos - Victory</v>
      </c>
      <c r="R895" s="154" t="s">
        <v>636</v>
      </c>
      <c r="S895" s="154" t="str">
        <f t="shared" si="309"/>
        <v>Victory</v>
      </c>
      <c r="T895" s="154" t="s">
        <v>645</v>
      </c>
      <c r="U895" s="154" t="s">
        <v>798</v>
      </c>
      <c r="V895" s="154"/>
    </row>
    <row r="896" spans="1:22" s="158" customFormat="1" x14ac:dyDescent="0.3">
      <c r="A896" s="154" t="s">
        <v>777</v>
      </c>
      <c r="B896" s="155" t="s">
        <v>154</v>
      </c>
      <c r="C896" s="154">
        <v>814</v>
      </c>
      <c r="D896" s="156" t="str">
        <f t="shared" si="324"/>
        <v>Kumite</v>
      </c>
      <c r="E896" s="156" t="str">
        <f t="shared" si="325"/>
        <v>Kumite, -, 0-50 kg, Ifjúsági (15-16</v>
      </c>
      <c r="F896" s="156" t="s">
        <v>541</v>
      </c>
      <c r="G896" s="157" t="str">
        <f t="shared" si="326"/>
        <v>10</v>
      </c>
      <c r="H896" s="156" t="str">
        <f t="shared" si="327"/>
        <v>16 fős egyenes kiesés</v>
      </c>
      <c r="I896" s="157" t="str">
        <f>"3"</f>
        <v>3</v>
      </c>
      <c r="J896" s="156" t="str">
        <f>"Dorka Zalán"</f>
        <v>Dorka Zalán</v>
      </c>
      <c r="K896" s="156" t="str">
        <f>"KHSE"</f>
        <v>KHSE</v>
      </c>
      <c r="L896" s="156" t="str">
        <f t="shared" si="307"/>
        <v>HUN</v>
      </c>
      <c r="M896" s="163">
        <v>6</v>
      </c>
      <c r="O896" s="154" t="s">
        <v>410</v>
      </c>
      <c r="P896" s="159">
        <v>46103</v>
      </c>
      <c r="Q896" s="154" t="str">
        <f t="shared" si="308"/>
        <v>Dorka Zalán - KHSE</v>
      </c>
      <c r="R896" s="154" t="s">
        <v>636</v>
      </c>
      <c r="S896" s="154" t="str">
        <f t="shared" si="309"/>
        <v>KHSE</v>
      </c>
      <c r="T896" s="154" t="s">
        <v>645</v>
      </c>
      <c r="U896" s="154" t="s">
        <v>798</v>
      </c>
      <c r="V896" s="154"/>
    </row>
    <row r="897" spans="1:22" s="158" customFormat="1" x14ac:dyDescent="0.3">
      <c r="A897" s="154" t="s">
        <v>777</v>
      </c>
      <c r="B897" s="155" t="s">
        <v>154</v>
      </c>
      <c r="C897" s="154">
        <v>815</v>
      </c>
      <c r="D897" s="156" t="str">
        <f t="shared" si="324"/>
        <v>Kumite</v>
      </c>
      <c r="E897" s="156" t="str">
        <f t="shared" si="325"/>
        <v>Kumite, -, 0-50 kg, Ifjúsági (15-16</v>
      </c>
      <c r="F897" s="156" t="s">
        <v>541</v>
      </c>
      <c r="G897" s="157" t="str">
        <f t="shared" si="326"/>
        <v>10</v>
      </c>
      <c r="H897" s="156" t="str">
        <f t="shared" si="327"/>
        <v>16 fős egyenes kiesés</v>
      </c>
      <c r="I897" s="157" t="str">
        <f>"5"</f>
        <v>5</v>
      </c>
      <c r="J897" s="156" t="str">
        <f>"Nagy Hunor"</f>
        <v>Nagy Hunor</v>
      </c>
      <c r="K897" s="156" t="str">
        <f>"Derecske BUDO"</f>
        <v>Derecske BUDO</v>
      </c>
      <c r="L897" s="156" t="str">
        <f t="shared" si="307"/>
        <v>HUN</v>
      </c>
      <c r="M897" s="163">
        <v>0</v>
      </c>
      <c r="N897" s="158" t="s">
        <v>704</v>
      </c>
      <c r="O897" s="154" t="s">
        <v>410</v>
      </c>
      <c r="P897" s="159">
        <v>46103</v>
      </c>
      <c r="Q897" s="154" t="str">
        <f t="shared" si="308"/>
        <v>Nagy Hunor - Derecske BUDO</v>
      </c>
      <c r="R897" s="154" t="s">
        <v>636</v>
      </c>
      <c r="S897" s="154" t="str">
        <f t="shared" si="309"/>
        <v>Derecske BUDO</v>
      </c>
      <c r="T897" s="154" t="s">
        <v>645</v>
      </c>
      <c r="U897" s="154" t="s">
        <v>798</v>
      </c>
      <c r="V897" s="154"/>
    </row>
    <row r="898" spans="1:22" s="158" customFormat="1" x14ac:dyDescent="0.3">
      <c r="A898" s="154" t="s">
        <v>777</v>
      </c>
      <c r="B898" s="155" t="s">
        <v>154</v>
      </c>
      <c r="C898" s="154">
        <v>816</v>
      </c>
      <c r="D898" s="156" t="str">
        <f t="shared" si="324"/>
        <v>Kumite</v>
      </c>
      <c r="E898" s="156" t="str">
        <f t="shared" si="325"/>
        <v>Kumite, -, 0-50 kg, Ifjúsági (15-16</v>
      </c>
      <c r="F898" s="156" t="s">
        <v>541</v>
      </c>
      <c r="G898" s="157" t="str">
        <f t="shared" si="326"/>
        <v>10</v>
      </c>
      <c r="H898" s="156" t="str">
        <f t="shared" si="327"/>
        <v>16 fős egyenes kiesés</v>
      </c>
      <c r="I898" s="157" t="str">
        <f>"6"</f>
        <v>6</v>
      </c>
      <c r="J898" s="156" t="str">
        <f>"Zhang Dávid"</f>
        <v>Zhang Dávid</v>
      </c>
      <c r="K898" s="156" t="str">
        <f>"KHSE"</f>
        <v>KHSE</v>
      </c>
      <c r="L898" s="156" t="str">
        <f t="shared" si="307"/>
        <v>HUN</v>
      </c>
      <c r="M898" s="163">
        <v>3</v>
      </c>
      <c r="O898" s="154" t="s">
        <v>410</v>
      </c>
      <c r="P898" s="159">
        <v>46103</v>
      </c>
      <c r="Q898" s="154" t="str">
        <f t="shared" si="308"/>
        <v>Zhang Dávid - KHSE</v>
      </c>
      <c r="R898" s="154" t="s">
        <v>636</v>
      </c>
      <c r="S898" s="154" t="str">
        <f t="shared" si="309"/>
        <v>KHSE</v>
      </c>
      <c r="T898" s="154" t="s">
        <v>645</v>
      </c>
      <c r="U898" s="154" t="s">
        <v>798</v>
      </c>
      <c r="V898" s="154"/>
    </row>
    <row r="899" spans="1:22" s="158" customFormat="1" x14ac:dyDescent="0.3">
      <c r="A899" s="154" t="s">
        <v>777</v>
      </c>
      <c r="B899" s="155" t="s">
        <v>154</v>
      </c>
      <c r="C899" s="154">
        <v>817</v>
      </c>
      <c r="D899" s="156" t="str">
        <f t="shared" si="324"/>
        <v>Kumite</v>
      </c>
      <c r="E899" s="156" t="str">
        <f t="shared" si="325"/>
        <v>Kumite, -, 0-50 kg, Ifjúsági (15-16</v>
      </c>
      <c r="F899" s="156" t="s">
        <v>541</v>
      </c>
      <c r="G899" s="157" t="str">
        <f t="shared" si="326"/>
        <v>10</v>
      </c>
      <c r="H899" s="156" t="str">
        <f t="shared" si="327"/>
        <v>16 fős egyenes kiesés</v>
      </c>
      <c r="I899" s="157" t="str">
        <f>"7-8"</f>
        <v>7-8</v>
      </c>
      <c r="J899" s="156" t="str">
        <f>"MOLNÁR MARCELL"</f>
        <v>MOLNÁR MARCELL</v>
      </c>
      <c r="K899" s="156" t="str">
        <f>"Victory"</f>
        <v>Victory</v>
      </c>
      <c r="L899" s="156" t="str">
        <f t="shared" si="307"/>
        <v>HUN</v>
      </c>
      <c r="M899" s="163">
        <v>0</v>
      </c>
      <c r="N899" s="158" t="s">
        <v>704</v>
      </c>
      <c r="O899" s="154" t="s">
        <v>410</v>
      </c>
      <c r="P899" s="159">
        <v>46103</v>
      </c>
      <c r="Q899" s="154" t="str">
        <f t="shared" si="308"/>
        <v>MOLNÁR MARCELL - Victory</v>
      </c>
      <c r="R899" s="154" t="s">
        <v>636</v>
      </c>
      <c r="S899" s="154" t="str">
        <f t="shared" si="309"/>
        <v>Victory</v>
      </c>
      <c r="T899" s="154" t="s">
        <v>645</v>
      </c>
      <c r="U899" s="154" t="s">
        <v>798</v>
      </c>
      <c r="V899" s="154"/>
    </row>
    <row r="900" spans="1:22" s="158" customFormat="1" x14ac:dyDescent="0.3">
      <c r="A900" s="154" t="s">
        <v>777</v>
      </c>
      <c r="B900" s="155" t="s">
        <v>154</v>
      </c>
      <c r="C900" s="154">
        <v>818</v>
      </c>
      <c r="D900" s="156" t="str">
        <f t="shared" si="324"/>
        <v>Kumite</v>
      </c>
      <c r="E900" s="156" t="str">
        <f t="shared" si="325"/>
        <v>Kumite, -, 0-50 kg, Ifjúsági (15-16</v>
      </c>
      <c r="F900" s="156" t="s">
        <v>541</v>
      </c>
      <c r="G900" s="157" t="str">
        <f t="shared" si="326"/>
        <v>10</v>
      </c>
      <c r="H900" s="156" t="str">
        <f t="shared" si="327"/>
        <v>16 fős egyenes kiesés</v>
      </c>
      <c r="I900" s="157" t="str">
        <f>"7-8"</f>
        <v>7-8</v>
      </c>
      <c r="J900" s="156" t="str">
        <f>"Papp Dávid"</f>
        <v>Papp Dávid</v>
      </c>
      <c r="K900" s="156" t="str">
        <f>"Nyíradonyi KKE"</f>
        <v>Nyíradonyi KKE</v>
      </c>
      <c r="L900" s="156" t="str">
        <f t="shared" ref="L900:L963" si="328">"HUN"</f>
        <v>HUN</v>
      </c>
      <c r="M900" s="163">
        <v>3</v>
      </c>
      <c r="O900" s="154" t="s">
        <v>410</v>
      </c>
      <c r="P900" s="159">
        <v>46103</v>
      </c>
      <c r="Q900" s="154" t="str">
        <f t="shared" ref="Q900:Q963" si="329">J900&amp;" - "&amp;K900</f>
        <v>Papp Dávid - Nyíradonyi KKE</v>
      </c>
      <c r="R900" s="154" t="s">
        <v>636</v>
      </c>
      <c r="S900" s="154" t="str">
        <f t="shared" ref="S900:S963" si="330">K900</f>
        <v>Nyíradonyi KKE</v>
      </c>
      <c r="T900" s="154" t="s">
        <v>645</v>
      </c>
      <c r="U900" s="154" t="s">
        <v>798</v>
      </c>
      <c r="V900" s="154"/>
    </row>
    <row r="901" spans="1:22" s="158" customFormat="1" x14ac:dyDescent="0.3">
      <c r="A901" s="154" t="s">
        <v>777</v>
      </c>
      <c r="B901" s="155" t="s">
        <v>154</v>
      </c>
      <c r="C901" s="154">
        <v>819</v>
      </c>
      <c r="D901" s="156" t="str">
        <f t="shared" si="324"/>
        <v>Kumite</v>
      </c>
      <c r="E901" s="156" t="str">
        <f t="shared" si="325"/>
        <v>Kumite, -, 0-50 kg, Ifjúsági (15-16</v>
      </c>
      <c r="F901" s="156" t="s">
        <v>541</v>
      </c>
      <c r="G901" s="157" t="str">
        <f t="shared" si="326"/>
        <v>10</v>
      </c>
      <c r="H901" s="156" t="str">
        <f t="shared" si="327"/>
        <v>16 fős egyenes kiesés</v>
      </c>
      <c r="I901" s="157" t="str">
        <f>"11-16"</f>
        <v>11-16</v>
      </c>
      <c r="J901" s="156" t="str">
        <f>"Gáncs Arnold"</f>
        <v>Gáncs Arnold</v>
      </c>
      <c r="K901" s="156" t="str">
        <f>"Griff SE"</f>
        <v>Griff SE</v>
      </c>
      <c r="L901" s="156" t="str">
        <f t="shared" si="328"/>
        <v>HUN</v>
      </c>
      <c r="M901" s="163">
        <v>0</v>
      </c>
      <c r="O901" s="154" t="s">
        <v>410</v>
      </c>
      <c r="P901" s="159">
        <v>46103</v>
      </c>
      <c r="Q901" s="154" t="str">
        <f t="shared" si="329"/>
        <v>Gáncs Arnold - Griff SE</v>
      </c>
      <c r="R901" s="154" t="s">
        <v>636</v>
      </c>
      <c r="S901" s="154" t="str">
        <f t="shared" si="330"/>
        <v>Griff SE</v>
      </c>
      <c r="T901" s="154" t="s">
        <v>645</v>
      </c>
      <c r="U901" s="154" t="s">
        <v>798</v>
      </c>
      <c r="V901" s="154"/>
    </row>
    <row r="902" spans="1:22" s="158" customFormat="1" x14ac:dyDescent="0.3">
      <c r="A902" s="154" t="s">
        <v>777</v>
      </c>
      <c r="B902" s="155" t="s">
        <v>154</v>
      </c>
      <c r="C902" s="154">
        <v>820</v>
      </c>
      <c r="D902" s="156" t="str">
        <f t="shared" si="324"/>
        <v>Kumite</v>
      </c>
      <c r="E902" s="156" t="str">
        <f t="shared" si="325"/>
        <v>Kumite, -, 0-50 kg, Ifjúsági (15-16</v>
      </c>
      <c r="F902" s="156" t="s">
        <v>541</v>
      </c>
      <c r="G902" s="157" t="str">
        <f t="shared" si="326"/>
        <v>10</v>
      </c>
      <c r="H902" s="156" t="str">
        <f t="shared" si="327"/>
        <v>16 fős egyenes kiesés</v>
      </c>
      <c r="I902" s="157" t="str">
        <f>"11-16"</f>
        <v>11-16</v>
      </c>
      <c r="J902" s="156" t="str">
        <f>"Lukács Filip"</f>
        <v>Lukács Filip</v>
      </c>
      <c r="K902" s="156" t="str">
        <f>"BHMSE"</f>
        <v>BHMSE</v>
      </c>
      <c r="L902" s="156" t="str">
        <f t="shared" si="328"/>
        <v>HUN</v>
      </c>
      <c r="M902" s="163">
        <v>0</v>
      </c>
      <c r="O902" s="154" t="s">
        <v>410</v>
      </c>
      <c r="P902" s="159">
        <v>46103</v>
      </c>
      <c r="Q902" s="154" t="str">
        <f t="shared" si="329"/>
        <v>Lukács Filip - BHMSE</v>
      </c>
      <c r="R902" s="154" t="s">
        <v>636</v>
      </c>
      <c r="S902" s="154" t="str">
        <f t="shared" si="330"/>
        <v>BHMSE</v>
      </c>
      <c r="T902" s="154" t="s">
        <v>645</v>
      </c>
      <c r="U902" s="154" t="s">
        <v>798</v>
      </c>
      <c r="V902" s="154"/>
    </row>
    <row r="903" spans="1:22" s="158" customFormat="1" x14ac:dyDescent="0.3">
      <c r="A903" s="154" t="s">
        <v>777</v>
      </c>
      <c r="B903" s="155" t="s">
        <v>154</v>
      </c>
      <c r="C903" s="154">
        <v>821</v>
      </c>
      <c r="D903" s="156" t="str">
        <f t="shared" si="324"/>
        <v>Kumite</v>
      </c>
      <c r="E903" s="156" t="str">
        <f>"Kumite, -, 50-55 kg, Ifjúsági (15-16"</f>
        <v>Kumite, -, 50-55 kg, Ifjúsági (15-16</v>
      </c>
      <c r="F903" s="156" t="s">
        <v>542</v>
      </c>
      <c r="G903" s="157" t="str">
        <f>"4"</f>
        <v>4</v>
      </c>
      <c r="H903" s="156" t="str">
        <f>"4 fős körmérkőzés"</f>
        <v>4 fős körmérkőzés</v>
      </c>
      <c r="I903" s="157" t="str">
        <f>"1"</f>
        <v>1</v>
      </c>
      <c r="J903" s="156" t="str">
        <f>"Berényi Imre Márk"</f>
        <v>Berényi Imre Márk</v>
      </c>
      <c r="K903" s="156" t="str">
        <f>"Shogun"</f>
        <v>Shogun</v>
      </c>
      <c r="L903" s="156" t="str">
        <f t="shared" si="328"/>
        <v>HUN</v>
      </c>
      <c r="M903" s="163">
        <v>8</v>
      </c>
      <c r="O903" s="154" t="s">
        <v>410</v>
      </c>
      <c r="P903" s="159">
        <v>46103</v>
      </c>
      <c r="Q903" s="154" t="str">
        <f t="shared" si="329"/>
        <v>Berényi Imre Márk - Shogun</v>
      </c>
      <c r="R903" s="154" t="s">
        <v>636</v>
      </c>
      <c r="S903" s="154" t="str">
        <f t="shared" si="330"/>
        <v>Shogun</v>
      </c>
      <c r="T903" s="154" t="s">
        <v>645</v>
      </c>
      <c r="U903" s="154" t="s">
        <v>798</v>
      </c>
      <c r="V903" s="154"/>
    </row>
    <row r="904" spans="1:22" s="158" customFormat="1" x14ac:dyDescent="0.3">
      <c r="A904" s="154" t="s">
        <v>777</v>
      </c>
      <c r="B904" s="155" t="s">
        <v>154</v>
      </c>
      <c r="C904" s="154">
        <v>822</v>
      </c>
      <c r="D904" s="156" t="str">
        <f t="shared" si="324"/>
        <v>Kumite</v>
      </c>
      <c r="E904" s="156" t="str">
        <f>"Kumite, -, 50-55 kg, Ifjúsági (15-16"</f>
        <v>Kumite, -, 50-55 kg, Ifjúsági (15-16</v>
      </c>
      <c r="F904" s="156" t="s">
        <v>542</v>
      </c>
      <c r="G904" s="157" t="str">
        <f>"4"</f>
        <v>4</v>
      </c>
      <c r="H904" s="156" t="str">
        <f>"4 fős körmérkőzés"</f>
        <v>4 fős körmérkőzés</v>
      </c>
      <c r="I904" s="157" t="str">
        <f>"2"</f>
        <v>2</v>
      </c>
      <c r="J904" s="156" t="str">
        <f>"Szőke Zalán"</f>
        <v>Szőke Zalán</v>
      </c>
      <c r="K904" s="156" t="str">
        <f>"VTSE"</f>
        <v>VTSE</v>
      </c>
      <c r="L904" s="156" t="str">
        <f t="shared" si="328"/>
        <v>HUN</v>
      </c>
      <c r="M904" s="163">
        <v>6</v>
      </c>
      <c r="O904" s="154" t="s">
        <v>410</v>
      </c>
      <c r="P904" s="159">
        <v>46103</v>
      </c>
      <c r="Q904" s="154" t="str">
        <f t="shared" si="329"/>
        <v>Szőke Zalán - VTSE</v>
      </c>
      <c r="R904" s="154" t="s">
        <v>637</v>
      </c>
      <c r="S904" s="154" t="str">
        <f t="shared" si="330"/>
        <v>VTSE</v>
      </c>
      <c r="T904" s="154" t="s">
        <v>645</v>
      </c>
      <c r="U904" s="154" t="s">
        <v>798</v>
      </c>
      <c r="V904" s="154"/>
    </row>
    <row r="905" spans="1:22" s="158" customFormat="1" x14ac:dyDescent="0.3">
      <c r="A905" s="154" t="s">
        <v>777</v>
      </c>
      <c r="B905" s="155" t="s">
        <v>154</v>
      </c>
      <c r="C905" s="154">
        <v>823</v>
      </c>
      <c r="D905" s="156" t="str">
        <f t="shared" si="324"/>
        <v>Kumite</v>
      </c>
      <c r="E905" s="156" t="str">
        <f>"Kumite, -, 50-55 kg, Ifjúsági (15-16"</f>
        <v>Kumite, -, 50-55 kg, Ifjúsági (15-16</v>
      </c>
      <c r="F905" s="156" t="s">
        <v>542</v>
      </c>
      <c r="G905" s="157" t="str">
        <f>"4"</f>
        <v>4</v>
      </c>
      <c r="H905" s="156" t="str">
        <f>"4 fős körmérkőzés"</f>
        <v>4 fős körmérkőzés</v>
      </c>
      <c r="I905" s="157" t="str">
        <f>"3"</f>
        <v>3</v>
      </c>
      <c r="J905" s="156" t="str">
        <f>"Balázs Máté"</f>
        <v>Balázs Máté</v>
      </c>
      <c r="K905" s="156" t="str">
        <f>"KHSE"</f>
        <v>KHSE</v>
      </c>
      <c r="L905" s="156" t="str">
        <f t="shared" si="328"/>
        <v>HUN</v>
      </c>
      <c r="M905" s="163">
        <v>4</v>
      </c>
      <c r="O905" s="154" t="s">
        <v>410</v>
      </c>
      <c r="P905" s="159">
        <v>46103</v>
      </c>
      <c r="Q905" s="154" t="str">
        <f t="shared" si="329"/>
        <v>Balázs Máté - KHSE</v>
      </c>
      <c r="R905" s="154" t="s">
        <v>636</v>
      </c>
      <c r="S905" s="154" t="str">
        <f t="shared" si="330"/>
        <v>KHSE</v>
      </c>
      <c r="T905" s="154" t="s">
        <v>645</v>
      </c>
      <c r="U905" s="154" t="s">
        <v>798</v>
      </c>
      <c r="V905" s="154"/>
    </row>
    <row r="906" spans="1:22" s="158" customFormat="1" x14ac:dyDescent="0.3">
      <c r="A906" s="154" t="s">
        <v>777</v>
      </c>
      <c r="B906" s="155" t="s">
        <v>154</v>
      </c>
      <c r="C906" s="154">
        <v>824</v>
      </c>
      <c r="D906" s="156" t="str">
        <f t="shared" si="324"/>
        <v>Kumite</v>
      </c>
      <c r="E906" s="156" t="str">
        <f>"Kumite, -, 50-55 kg, Ifjúsági (15-16"</f>
        <v>Kumite, -, 50-55 kg, Ifjúsági (15-16</v>
      </c>
      <c r="F906" s="156" t="s">
        <v>542</v>
      </c>
      <c r="G906" s="157" t="str">
        <f>"4"</f>
        <v>4</v>
      </c>
      <c r="H906" s="156" t="str">
        <f>"4 fős körmérkőzés"</f>
        <v>4 fős körmérkőzés</v>
      </c>
      <c r="I906" s="157" t="str">
        <f>"4"</f>
        <v>4</v>
      </c>
      <c r="J906" s="156" t="str">
        <f>"Dürgő Máté"</f>
        <v>Dürgő Máté</v>
      </c>
      <c r="K906" s="156" t="str">
        <f>"Victory"</f>
        <v>Victory</v>
      </c>
      <c r="L906" s="156" t="str">
        <f t="shared" si="328"/>
        <v>HUN</v>
      </c>
      <c r="M906" s="163">
        <v>0</v>
      </c>
      <c r="O906" s="154" t="s">
        <v>410</v>
      </c>
      <c r="P906" s="159">
        <v>46103</v>
      </c>
      <c r="Q906" s="154" t="str">
        <f t="shared" si="329"/>
        <v>Dürgő Máté - Victory</v>
      </c>
      <c r="R906" s="154" t="s">
        <v>636</v>
      </c>
      <c r="S906" s="154" t="str">
        <f t="shared" si="330"/>
        <v>Victory</v>
      </c>
      <c r="T906" s="154" t="s">
        <v>645</v>
      </c>
      <c r="U906" s="154" t="s">
        <v>798</v>
      </c>
      <c r="V906" s="154"/>
    </row>
    <row r="907" spans="1:22" s="158" customFormat="1" x14ac:dyDescent="0.3">
      <c r="A907" s="154" t="s">
        <v>777</v>
      </c>
      <c r="B907" s="155" t="s">
        <v>154</v>
      </c>
      <c r="C907" s="154">
        <v>825</v>
      </c>
      <c r="D907" s="156" t="str">
        <f t="shared" si="324"/>
        <v>Kumite</v>
      </c>
      <c r="E907" s="156" t="str">
        <f>"Kumite, -, 55-60 kg, Ifjúsági (15-16"</f>
        <v>Kumite, -, 55-60 kg, Ifjúsági (15-16</v>
      </c>
      <c r="F907" s="156" t="s">
        <v>544</v>
      </c>
      <c r="G907" s="157" t="str">
        <f>"5"</f>
        <v>5</v>
      </c>
      <c r="H907" s="156" t="str">
        <f>"5 fős körmérkőzés"</f>
        <v>5 fős körmérkőzés</v>
      </c>
      <c r="I907" s="157" t="str">
        <f>"1"</f>
        <v>1</v>
      </c>
      <c r="J907" s="156" t="str">
        <f>"Ménes Milán"</f>
        <v>Ménes Milán</v>
      </c>
      <c r="K907" s="156" t="str">
        <f>"KHSE"</f>
        <v>KHSE</v>
      </c>
      <c r="L907" s="156" t="str">
        <f t="shared" si="328"/>
        <v>HUN</v>
      </c>
      <c r="M907" s="163">
        <v>10</v>
      </c>
      <c r="O907" s="154" t="s">
        <v>410</v>
      </c>
      <c r="P907" s="159">
        <v>46103</v>
      </c>
      <c r="Q907" s="154" t="str">
        <f t="shared" si="329"/>
        <v>Ménes Milán - KHSE</v>
      </c>
      <c r="R907" s="154" t="s">
        <v>636</v>
      </c>
      <c r="S907" s="154" t="str">
        <f t="shared" si="330"/>
        <v>KHSE</v>
      </c>
      <c r="T907" s="154" t="s">
        <v>645</v>
      </c>
      <c r="U907" s="154" t="s">
        <v>798</v>
      </c>
      <c r="V907" s="154"/>
    </row>
    <row r="908" spans="1:22" s="158" customFormat="1" x14ac:dyDescent="0.3">
      <c r="A908" s="154" t="s">
        <v>777</v>
      </c>
      <c r="B908" s="155" t="s">
        <v>154</v>
      </c>
      <c r="C908" s="154">
        <v>826</v>
      </c>
      <c r="D908" s="156" t="str">
        <f t="shared" si="324"/>
        <v>Kumite</v>
      </c>
      <c r="E908" s="156" t="str">
        <f>"Kumite, -, 55-60 kg, Ifjúsági (15-16"</f>
        <v>Kumite, -, 55-60 kg, Ifjúsági (15-16</v>
      </c>
      <c r="F908" s="156" t="s">
        <v>544</v>
      </c>
      <c r="G908" s="157" t="str">
        <f>"5"</f>
        <v>5</v>
      </c>
      <c r="H908" s="156" t="str">
        <f>"5 fős körmérkőzés"</f>
        <v>5 fős körmérkőzés</v>
      </c>
      <c r="I908" s="157" t="str">
        <f>"2"</f>
        <v>2</v>
      </c>
      <c r="J908" s="156" t="str">
        <f>"Tóth Gergely"</f>
        <v>Tóth Gergely</v>
      </c>
      <c r="K908" s="156" t="str">
        <f>"Ichiro Dojo"</f>
        <v>Ichiro Dojo</v>
      </c>
      <c r="L908" s="156" t="str">
        <f t="shared" si="328"/>
        <v>HUN</v>
      </c>
      <c r="M908" s="163">
        <v>8</v>
      </c>
      <c r="O908" s="154" t="s">
        <v>410</v>
      </c>
      <c r="P908" s="159">
        <v>46103</v>
      </c>
      <c r="Q908" s="154" t="str">
        <f t="shared" si="329"/>
        <v>Tóth Gergely - Ichiro Dojo</v>
      </c>
      <c r="R908" s="154" t="s">
        <v>637</v>
      </c>
      <c r="S908" s="154" t="str">
        <f t="shared" si="330"/>
        <v>Ichiro Dojo</v>
      </c>
      <c r="T908" s="154" t="s">
        <v>645</v>
      </c>
      <c r="U908" s="154" t="s">
        <v>798</v>
      </c>
      <c r="V908" s="154"/>
    </row>
    <row r="909" spans="1:22" s="158" customFormat="1" x14ac:dyDescent="0.3">
      <c r="A909" s="154" t="s">
        <v>777</v>
      </c>
      <c r="B909" s="155" t="s">
        <v>154</v>
      </c>
      <c r="C909" s="154">
        <v>827</v>
      </c>
      <c r="D909" s="156" t="str">
        <f t="shared" si="324"/>
        <v>Kumite</v>
      </c>
      <c r="E909" s="156" t="str">
        <f>"Kumite, -, 55-60 kg, Ifjúsági (15-16"</f>
        <v>Kumite, -, 55-60 kg, Ifjúsági (15-16</v>
      </c>
      <c r="F909" s="156" t="s">
        <v>544</v>
      </c>
      <c r="G909" s="157" t="str">
        <f>"5"</f>
        <v>5</v>
      </c>
      <c r="H909" s="156" t="str">
        <f>"5 fős körmérkőzés"</f>
        <v>5 fős körmérkőzés</v>
      </c>
      <c r="I909" s="157" t="str">
        <f>"3"</f>
        <v>3</v>
      </c>
      <c r="J909" s="156" t="str">
        <f>"Flaisz Attila"</f>
        <v>Flaisz Attila</v>
      </c>
      <c r="K909" s="156" t="str">
        <f>"TADASHII "</f>
        <v xml:space="preserve">TADASHII </v>
      </c>
      <c r="L909" s="156" t="str">
        <f t="shared" si="328"/>
        <v>HUN</v>
      </c>
      <c r="M909" s="163">
        <v>6</v>
      </c>
      <c r="O909" s="154" t="s">
        <v>410</v>
      </c>
      <c r="P909" s="159">
        <v>46103</v>
      </c>
      <c r="Q909" s="154" t="str">
        <f t="shared" si="329"/>
        <v xml:space="preserve">Flaisz Attila - TADASHII </v>
      </c>
      <c r="R909" s="154" t="s">
        <v>637</v>
      </c>
      <c r="S909" s="154" t="str">
        <f t="shared" si="330"/>
        <v xml:space="preserve">TADASHII </v>
      </c>
      <c r="T909" s="154" t="s">
        <v>645</v>
      </c>
      <c r="U909" s="154" t="s">
        <v>798</v>
      </c>
      <c r="V909" s="154"/>
    </row>
    <row r="910" spans="1:22" s="158" customFormat="1" x14ac:dyDescent="0.3">
      <c r="A910" s="154" t="s">
        <v>777</v>
      </c>
      <c r="B910" s="155" t="s">
        <v>154</v>
      </c>
      <c r="C910" s="154">
        <v>828</v>
      </c>
      <c r="D910" s="156" t="str">
        <f t="shared" si="324"/>
        <v>Kumite</v>
      </c>
      <c r="E910" s="156" t="str">
        <f>"Kumite, -, 55-60 kg, Ifjúsági (15-16"</f>
        <v>Kumite, -, 55-60 kg, Ifjúsági (15-16</v>
      </c>
      <c r="F910" s="156" t="s">
        <v>544</v>
      </c>
      <c r="G910" s="157" t="str">
        <f>"5"</f>
        <v>5</v>
      </c>
      <c r="H910" s="156" t="str">
        <f>"5 fős körmérkőzés"</f>
        <v>5 fős körmérkőzés</v>
      </c>
      <c r="I910" s="157" t="str">
        <f>"4"</f>
        <v>4</v>
      </c>
      <c r="J910" s="156" t="str">
        <f>"Banka Boldizsár"</f>
        <v>Banka Boldizsár</v>
      </c>
      <c r="K910" s="156" t="str">
        <f>"KYO Fighter SE"</f>
        <v>KYO Fighter SE</v>
      </c>
      <c r="L910" s="156" t="str">
        <f t="shared" si="328"/>
        <v>HUN</v>
      </c>
      <c r="M910" s="163">
        <v>4</v>
      </c>
      <c r="O910" s="154" t="s">
        <v>410</v>
      </c>
      <c r="P910" s="159">
        <v>46103</v>
      </c>
      <c r="Q910" s="154" t="str">
        <f t="shared" si="329"/>
        <v>Banka Boldizsár - KYO Fighter SE</v>
      </c>
      <c r="R910" s="154" t="s">
        <v>636</v>
      </c>
      <c r="S910" s="154" t="str">
        <f t="shared" si="330"/>
        <v>KYO Fighter SE</v>
      </c>
      <c r="T910" s="154" t="s">
        <v>645</v>
      </c>
      <c r="U910" s="154" t="s">
        <v>798</v>
      </c>
      <c r="V910" s="154"/>
    </row>
    <row r="911" spans="1:22" s="158" customFormat="1" x14ac:dyDescent="0.3">
      <c r="A911" s="154" t="s">
        <v>777</v>
      </c>
      <c r="B911" s="155" t="s">
        <v>154</v>
      </c>
      <c r="C911" s="154">
        <v>829</v>
      </c>
      <c r="D911" s="156" t="str">
        <f t="shared" si="324"/>
        <v>Kumite</v>
      </c>
      <c r="E911" s="156" t="str">
        <f>"Kumite, -, 55-60 kg, Ifjúsági (15-16"</f>
        <v>Kumite, -, 55-60 kg, Ifjúsági (15-16</v>
      </c>
      <c r="F911" s="156" t="s">
        <v>544</v>
      </c>
      <c r="G911" s="157" t="str">
        <f>"5"</f>
        <v>5</v>
      </c>
      <c r="H911" s="156" t="str">
        <f>"5 fős körmérkőzés"</f>
        <v>5 fős körmérkőzés</v>
      </c>
      <c r="I911" s="157" t="str">
        <f>"5"</f>
        <v>5</v>
      </c>
      <c r="J911" s="156" t="str">
        <f>"Kovács Vajk Zoltán"</f>
        <v>Kovács Vajk Zoltán</v>
      </c>
      <c r="K911" s="156" t="str">
        <f>"Katana SE"</f>
        <v>Katana SE</v>
      </c>
      <c r="L911" s="156" t="str">
        <f t="shared" si="328"/>
        <v>HUN</v>
      </c>
      <c r="M911" s="163">
        <v>3</v>
      </c>
      <c r="O911" s="154" t="s">
        <v>410</v>
      </c>
      <c r="P911" s="159">
        <v>46103</v>
      </c>
      <c r="Q911" s="154" t="str">
        <f t="shared" si="329"/>
        <v>Kovács Vajk Zoltán - Katana SE</v>
      </c>
      <c r="R911" s="154" t="s">
        <v>636</v>
      </c>
      <c r="S911" s="154" t="str">
        <f t="shared" si="330"/>
        <v>Katana SE</v>
      </c>
      <c r="T911" s="154" t="s">
        <v>645</v>
      </c>
      <c r="U911" s="154" t="s">
        <v>798</v>
      </c>
      <c r="V911" s="154"/>
    </row>
    <row r="912" spans="1:22" s="158" customFormat="1" x14ac:dyDescent="0.3">
      <c r="A912" s="154" t="s">
        <v>777</v>
      </c>
      <c r="B912" s="155" t="s">
        <v>154</v>
      </c>
      <c r="C912" s="154">
        <v>830</v>
      </c>
      <c r="D912" s="156" t="str">
        <f t="shared" si="324"/>
        <v>Kumite</v>
      </c>
      <c r="E912" s="156" t="str">
        <f t="shared" ref="E912:E921" si="331">"Kumite, -, 60-65 kg, Ifjúsági (15-16"</f>
        <v>Kumite, -, 60-65 kg, Ifjúsági (15-16</v>
      </c>
      <c r="F912" s="156" t="s">
        <v>555</v>
      </c>
      <c r="G912" s="157" t="str">
        <f t="shared" ref="G912:G921" si="332">"10"</f>
        <v>10</v>
      </c>
      <c r="H912" s="156" t="str">
        <f t="shared" ref="H912:H921" si="333">"16 fős egyenes kiesés"</f>
        <v>16 fős egyenes kiesés</v>
      </c>
      <c r="I912" s="157" t="str">
        <f>"1"</f>
        <v>1</v>
      </c>
      <c r="J912" s="156" t="str">
        <f>"Farkas Áron Péter"</f>
        <v>Farkas Áron Péter</v>
      </c>
      <c r="K912" s="156" t="str">
        <f>"Ichiro Dojo"</f>
        <v>Ichiro Dojo</v>
      </c>
      <c r="L912" s="156" t="str">
        <f t="shared" si="328"/>
        <v>HUN</v>
      </c>
      <c r="M912" s="163">
        <v>10</v>
      </c>
      <c r="O912" s="154" t="s">
        <v>410</v>
      </c>
      <c r="P912" s="159">
        <v>46103</v>
      </c>
      <c r="Q912" s="154" t="str">
        <f t="shared" si="329"/>
        <v>Farkas Áron Péter - Ichiro Dojo</v>
      </c>
      <c r="R912" s="154" t="s">
        <v>637</v>
      </c>
      <c r="S912" s="154" t="str">
        <f t="shared" si="330"/>
        <v>Ichiro Dojo</v>
      </c>
      <c r="T912" s="154" t="s">
        <v>645</v>
      </c>
      <c r="U912" s="154" t="s">
        <v>798</v>
      </c>
      <c r="V912" s="154"/>
    </row>
    <row r="913" spans="1:22" s="158" customFormat="1" x14ac:dyDescent="0.3">
      <c r="A913" s="154" t="s">
        <v>777</v>
      </c>
      <c r="B913" s="155" t="s">
        <v>154</v>
      </c>
      <c r="C913" s="154">
        <v>831</v>
      </c>
      <c r="D913" s="156" t="str">
        <f t="shared" si="324"/>
        <v>Kumite</v>
      </c>
      <c r="E913" s="156" t="str">
        <f t="shared" si="331"/>
        <v>Kumite, -, 60-65 kg, Ifjúsági (15-16</v>
      </c>
      <c r="F913" s="156" t="s">
        <v>555</v>
      </c>
      <c r="G913" s="157" t="str">
        <f t="shared" si="332"/>
        <v>10</v>
      </c>
      <c r="H913" s="156" t="str">
        <f t="shared" si="333"/>
        <v>16 fős egyenes kiesés</v>
      </c>
      <c r="I913" s="157" t="str">
        <f>"2"</f>
        <v>2</v>
      </c>
      <c r="J913" s="156" t="str">
        <f>"Magasi Attila"</f>
        <v>Magasi Attila</v>
      </c>
      <c r="K913" s="156" t="str">
        <f>"Főnix Dojo"</f>
        <v>Főnix Dojo</v>
      </c>
      <c r="L913" s="156" t="str">
        <f t="shared" si="328"/>
        <v>HUN</v>
      </c>
      <c r="M913" s="163">
        <v>8</v>
      </c>
      <c r="O913" s="154" t="s">
        <v>410</v>
      </c>
      <c r="P913" s="159">
        <v>46103</v>
      </c>
      <c r="Q913" s="154" t="str">
        <f t="shared" si="329"/>
        <v>Magasi Attila - Főnix Dojo</v>
      </c>
      <c r="R913" s="154" t="s">
        <v>636</v>
      </c>
      <c r="S913" s="154" t="str">
        <f t="shared" si="330"/>
        <v>Főnix Dojo</v>
      </c>
      <c r="T913" s="154" t="s">
        <v>645</v>
      </c>
      <c r="U913" s="154" t="s">
        <v>798</v>
      </c>
      <c r="V913" s="154"/>
    </row>
    <row r="914" spans="1:22" s="158" customFormat="1" x14ac:dyDescent="0.3">
      <c r="A914" s="154" t="s">
        <v>777</v>
      </c>
      <c r="B914" s="155" t="s">
        <v>154</v>
      </c>
      <c r="C914" s="154">
        <v>832</v>
      </c>
      <c r="D914" s="156" t="str">
        <f t="shared" si="324"/>
        <v>Kumite</v>
      </c>
      <c r="E914" s="156" t="str">
        <f t="shared" si="331"/>
        <v>Kumite, -, 60-65 kg, Ifjúsági (15-16</v>
      </c>
      <c r="F914" s="156" t="s">
        <v>555</v>
      </c>
      <c r="G914" s="157" t="str">
        <f t="shared" si="332"/>
        <v>10</v>
      </c>
      <c r="H914" s="156" t="str">
        <f t="shared" si="333"/>
        <v>16 fős egyenes kiesés</v>
      </c>
      <c r="I914" s="157" t="str">
        <f>"3"</f>
        <v>3</v>
      </c>
      <c r="J914" s="156" t="str">
        <f>"Tarsoly Norbert"</f>
        <v>Tarsoly Norbert</v>
      </c>
      <c r="K914" s="156" t="str">
        <f>"Nintai KKSE"</f>
        <v>Nintai KKSE</v>
      </c>
      <c r="L914" s="156" t="str">
        <f t="shared" si="328"/>
        <v>HUN</v>
      </c>
      <c r="M914" s="163">
        <v>6</v>
      </c>
      <c r="O914" s="154" t="s">
        <v>410</v>
      </c>
      <c r="P914" s="159">
        <v>46103</v>
      </c>
      <c r="Q914" s="154" t="str">
        <f t="shared" si="329"/>
        <v>Tarsoly Norbert - Nintai KKSE</v>
      </c>
      <c r="R914" s="154" t="s">
        <v>637</v>
      </c>
      <c r="S914" s="154" t="str">
        <f t="shared" si="330"/>
        <v>Nintai KKSE</v>
      </c>
      <c r="T914" s="154" t="s">
        <v>645</v>
      </c>
      <c r="U914" s="154" t="s">
        <v>798</v>
      </c>
      <c r="V914" s="154"/>
    </row>
    <row r="915" spans="1:22" s="158" customFormat="1" x14ac:dyDescent="0.3">
      <c r="A915" s="154" t="s">
        <v>777</v>
      </c>
      <c r="B915" s="155" t="s">
        <v>154</v>
      </c>
      <c r="C915" s="154">
        <v>833</v>
      </c>
      <c r="D915" s="156" t="str">
        <f t="shared" si="324"/>
        <v>Kumite</v>
      </c>
      <c r="E915" s="156" t="str">
        <f t="shared" si="331"/>
        <v>Kumite, -, 60-65 kg, Ifjúsági (15-16</v>
      </c>
      <c r="F915" s="156" t="s">
        <v>555</v>
      </c>
      <c r="G915" s="157" t="str">
        <f t="shared" si="332"/>
        <v>10</v>
      </c>
      <c r="H915" s="156" t="str">
        <f t="shared" si="333"/>
        <v>16 fős egyenes kiesés</v>
      </c>
      <c r="I915" s="157" t="str">
        <f>"3"</f>
        <v>3</v>
      </c>
      <c r="J915" s="156" t="str">
        <f>"Tutor Barnabás "</f>
        <v xml:space="preserve">Tutor Barnabás </v>
      </c>
      <c r="K915" s="156" t="str">
        <f>"Derecske BUDO"</f>
        <v>Derecske BUDO</v>
      </c>
      <c r="L915" s="156" t="str">
        <f t="shared" si="328"/>
        <v>HUN</v>
      </c>
      <c r="M915" s="163">
        <v>6</v>
      </c>
      <c r="O915" s="154" t="s">
        <v>410</v>
      </c>
      <c r="P915" s="159">
        <v>46103</v>
      </c>
      <c r="Q915" s="154" t="str">
        <f t="shared" si="329"/>
        <v>Tutor Barnabás  - Derecske BUDO</v>
      </c>
      <c r="R915" s="154" t="s">
        <v>636</v>
      </c>
      <c r="S915" s="154" t="str">
        <f t="shared" si="330"/>
        <v>Derecske BUDO</v>
      </c>
      <c r="T915" s="154" t="s">
        <v>645</v>
      </c>
      <c r="U915" s="154" t="s">
        <v>798</v>
      </c>
      <c r="V915" s="154"/>
    </row>
    <row r="916" spans="1:22" s="158" customFormat="1" x14ac:dyDescent="0.3">
      <c r="A916" s="154" t="s">
        <v>777</v>
      </c>
      <c r="B916" s="155" t="s">
        <v>154</v>
      </c>
      <c r="C916" s="154">
        <v>834</v>
      </c>
      <c r="D916" s="156" t="str">
        <f t="shared" si="324"/>
        <v>Kumite</v>
      </c>
      <c r="E916" s="156" t="str">
        <f t="shared" si="331"/>
        <v>Kumite, -, 60-65 kg, Ifjúsági (15-16</v>
      </c>
      <c r="F916" s="156" t="s">
        <v>555</v>
      </c>
      <c r="G916" s="157" t="str">
        <f t="shared" si="332"/>
        <v>10</v>
      </c>
      <c r="H916" s="156" t="str">
        <f t="shared" si="333"/>
        <v>16 fős egyenes kiesés</v>
      </c>
      <c r="I916" s="157" t="str">
        <f>"5"</f>
        <v>5</v>
      </c>
      <c r="J916" s="156" t="str">
        <f>"Bagó Balázs"</f>
        <v>Bagó Balázs</v>
      </c>
      <c r="K916" s="156" t="str">
        <f>"VTSE"</f>
        <v>VTSE</v>
      </c>
      <c r="L916" s="156" t="str">
        <f t="shared" si="328"/>
        <v>HUN</v>
      </c>
      <c r="M916" s="163">
        <v>3</v>
      </c>
      <c r="O916" s="154" t="s">
        <v>410</v>
      </c>
      <c r="P916" s="159">
        <v>46103</v>
      </c>
      <c r="Q916" s="154" t="str">
        <f t="shared" si="329"/>
        <v>Bagó Balázs - VTSE</v>
      </c>
      <c r="R916" s="154" t="s">
        <v>637</v>
      </c>
      <c r="S916" s="154" t="str">
        <f t="shared" si="330"/>
        <v>VTSE</v>
      </c>
      <c r="T916" s="154" t="s">
        <v>645</v>
      </c>
      <c r="U916" s="154" t="s">
        <v>798</v>
      </c>
      <c r="V916" s="154"/>
    </row>
    <row r="917" spans="1:22" s="158" customFormat="1" x14ac:dyDescent="0.3">
      <c r="A917" s="154" t="s">
        <v>777</v>
      </c>
      <c r="B917" s="155" t="s">
        <v>154</v>
      </c>
      <c r="C917" s="154">
        <v>835</v>
      </c>
      <c r="D917" s="156" t="str">
        <f t="shared" si="324"/>
        <v>Kumite</v>
      </c>
      <c r="E917" s="156" t="str">
        <f t="shared" si="331"/>
        <v>Kumite, -, 60-65 kg, Ifjúsági (15-16</v>
      </c>
      <c r="F917" s="156" t="s">
        <v>555</v>
      </c>
      <c r="G917" s="157" t="str">
        <f t="shared" si="332"/>
        <v>10</v>
      </c>
      <c r="H917" s="156" t="str">
        <f t="shared" si="333"/>
        <v>16 fős egyenes kiesés</v>
      </c>
      <c r="I917" s="157" t="str">
        <f>"6"</f>
        <v>6</v>
      </c>
      <c r="J917" s="156" t="str">
        <f>"Molnár Bence Noel"</f>
        <v>Molnár Bence Noel</v>
      </c>
      <c r="K917" s="156" t="str">
        <f>"WARRIORS TEAM"</f>
        <v>WARRIORS TEAM</v>
      </c>
      <c r="L917" s="156" t="str">
        <f t="shared" si="328"/>
        <v>HUN</v>
      </c>
      <c r="M917" s="163">
        <v>0</v>
      </c>
      <c r="N917" s="158" t="s">
        <v>704</v>
      </c>
      <c r="O917" s="154" t="s">
        <v>410</v>
      </c>
      <c r="P917" s="159">
        <v>46103</v>
      </c>
      <c r="Q917" s="154" t="str">
        <f t="shared" si="329"/>
        <v>Molnár Bence Noel - WARRIORS TEAM</v>
      </c>
      <c r="R917" s="154" t="s">
        <v>636</v>
      </c>
      <c r="S917" s="154" t="str">
        <f t="shared" si="330"/>
        <v>WARRIORS TEAM</v>
      </c>
      <c r="T917" s="154" t="s">
        <v>645</v>
      </c>
      <c r="U917" s="154" t="s">
        <v>798</v>
      </c>
      <c r="V917" s="154"/>
    </row>
    <row r="918" spans="1:22" s="158" customFormat="1" x14ac:dyDescent="0.3">
      <c r="A918" s="154" t="s">
        <v>777</v>
      </c>
      <c r="B918" s="155" t="s">
        <v>154</v>
      </c>
      <c r="C918" s="154">
        <v>836</v>
      </c>
      <c r="D918" s="156" t="str">
        <f t="shared" si="324"/>
        <v>Kumite</v>
      </c>
      <c r="E918" s="156" t="str">
        <f t="shared" si="331"/>
        <v>Kumite, -, 60-65 kg, Ifjúsági (15-16</v>
      </c>
      <c r="F918" s="156" t="s">
        <v>555</v>
      </c>
      <c r="G918" s="157" t="str">
        <f t="shared" si="332"/>
        <v>10</v>
      </c>
      <c r="H918" s="156" t="str">
        <f t="shared" si="333"/>
        <v>16 fős egyenes kiesés</v>
      </c>
      <c r="I918" s="157" t="str">
        <f>"7-8"</f>
        <v>7-8</v>
      </c>
      <c r="J918" s="156" t="str">
        <f>"Balogh Levente"</f>
        <v>Balogh Levente</v>
      </c>
      <c r="K918" s="156" t="str">
        <f>"Wheelmaker dojo SE"</f>
        <v>Wheelmaker dojo SE</v>
      </c>
      <c r="L918" s="156" t="str">
        <f t="shared" si="328"/>
        <v>HUN</v>
      </c>
      <c r="M918" s="163">
        <v>0</v>
      </c>
      <c r="N918" s="158" t="s">
        <v>704</v>
      </c>
      <c r="O918" s="154" t="s">
        <v>410</v>
      </c>
      <c r="P918" s="159">
        <v>46103</v>
      </c>
      <c r="Q918" s="154" t="str">
        <f t="shared" si="329"/>
        <v>Balogh Levente - Wheelmaker dojo SE</v>
      </c>
      <c r="R918" s="154" t="s">
        <v>637</v>
      </c>
      <c r="S918" s="154" t="str">
        <f t="shared" si="330"/>
        <v>Wheelmaker dojo SE</v>
      </c>
      <c r="T918" s="154" t="s">
        <v>645</v>
      </c>
      <c r="U918" s="154" t="s">
        <v>798</v>
      </c>
      <c r="V918" s="154"/>
    </row>
    <row r="919" spans="1:22" s="158" customFormat="1" x14ac:dyDescent="0.3">
      <c r="A919" s="154" t="s">
        <v>777</v>
      </c>
      <c r="B919" s="155" t="s">
        <v>154</v>
      </c>
      <c r="C919" s="154">
        <v>837</v>
      </c>
      <c r="D919" s="156" t="str">
        <f t="shared" si="324"/>
        <v>Kumite</v>
      </c>
      <c r="E919" s="156" t="str">
        <f t="shared" si="331"/>
        <v>Kumite, -, 60-65 kg, Ifjúsági (15-16</v>
      </c>
      <c r="F919" s="156" t="s">
        <v>555</v>
      </c>
      <c r="G919" s="157" t="str">
        <f t="shared" si="332"/>
        <v>10</v>
      </c>
      <c r="H919" s="156" t="str">
        <f t="shared" si="333"/>
        <v>16 fős egyenes kiesés</v>
      </c>
      <c r="I919" s="157" t="str">
        <f>"7-8"</f>
        <v>7-8</v>
      </c>
      <c r="J919" s="156" t="str">
        <f>"Alkaddour Ali Áron"</f>
        <v>Alkaddour Ali Áron</v>
      </c>
      <c r="K919" s="156" t="str">
        <f>"BHMSE"</f>
        <v>BHMSE</v>
      </c>
      <c r="L919" s="156" t="str">
        <f t="shared" si="328"/>
        <v>HUN</v>
      </c>
      <c r="M919" s="163">
        <v>3</v>
      </c>
      <c r="O919" s="154" t="s">
        <v>410</v>
      </c>
      <c r="P919" s="159">
        <v>46103</v>
      </c>
      <c r="Q919" s="154" t="str">
        <f t="shared" si="329"/>
        <v>Alkaddour Ali Áron - BHMSE</v>
      </c>
      <c r="R919" s="154" t="s">
        <v>636</v>
      </c>
      <c r="S919" s="154" t="str">
        <f t="shared" si="330"/>
        <v>BHMSE</v>
      </c>
      <c r="T919" s="154" t="s">
        <v>645</v>
      </c>
      <c r="U919" s="154" t="s">
        <v>798</v>
      </c>
      <c r="V919" s="154"/>
    </row>
    <row r="920" spans="1:22" s="158" customFormat="1" x14ac:dyDescent="0.3">
      <c r="A920" s="154" t="s">
        <v>777</v>
      </c>
      <c r="B920" s="155" t="s">
        <v>154</v>
      </c>
      <c r="C920" s="154">
        <v>838</v>
      </c>
      <c r="D920" s="156" t="str">
        <f t="shared" si="324"/>
        <v>Kumite</v>
      </c>
      <c r="E920" s="156" t="str">
        <f t="shared" si="331"/>
        <v>Kumite, -, 60-65 kg, Ifjúsági (15-16</v>
      </c>
      <c r="F920" s="156" t="s">
        <v>555</v>
      </c>
      <c r="G920" s="157" t="str">
        <f t="shared" si="332"/>
        <v>10</v>
      </c>
      <c r="H920" s="156" t="str">
        <f t="shared" si="333"/>
        <v>16 fős egyenes kiesés</v>
      </c>
      <c r="I920" s="157" t="str">
        <f>"11-16"</f>
        <v>11-16</v>
      </c>
      <c r="J920" s="156" t="str">
        <f>"Fekete Szilárd"</f>
        <v>Fekete Szilárd</v>
      </c>
      <c r="K920" s="156" t="str">
        <f>"POWER SE."</f>
        <v>POWER SE.</v>
      </c>
      <c r="L920" s="156" t="str">
        <f t="shared" si="328"/>
        <v>HUN</v>
      </c>
      <c r="M920" s="163">
        <v>0</v>
      </c>
      <c r="O920" s="154" t="s">
        <v>410</v>
      </c>
      <c r="P920" s="159">
        <v>46103</v>
      </c>
      <c r="Q920" s="154" t="str">
        <f t="shared" si="329"/>
        <v>Fekete Szilárd - POWER SE.</v>
      </c>
      <c r="R920" s="154" t="s">
        <v>636</v>
      </c>
      <c r="S920" s="154" t="str">
        <f t="shared" si="330"/>
        <v>POWER SE.</v>
      </c>
      <c r="T920" s="154" t="s">
        <v>645</v>
      </c>
      <c r="U920" s="154" t="s">
        <v>798</v>
      </c>
      <c r="V920" s="154"/>
    </row>
    <row r="921" spans="1:22" s="158" customFormat="1" x14ac:dyDescent="0.3">
      <c r="A921" s="154" t="s">
        <v>777</v>
      </c>
      <c r="B921" s="155" t="s">
        <v>154</v>
      </c>
      <c r="C921" s="154">
        <v>839</v>
      </c>
      <c r="D921" s="156" t="str">
        <f t="shared" si="324"/>
        <v>Kumite</v>
      </c>
      <c r="E921" s="156" t="str">
        <f t="shared" si="331"/>
        <v>Kumite, -, 60-65 kg, Ifjúsági (15-16</v>
      </c>
      <c r="F921" s="156" t="s">
        <v>555</v>
      </c>
      <c r="G921" s="157" t="str">
        <f t="shared" si="332"/>
        <v>10</v>
      </c>
      <c r="H921" s="156" t="str">
        <f t="shared" si="333"/>
        <v>16 fős egyenes kiesés</v>
      </c>
      <c r="I921" s="157" t="str">
        <f>"11-16"</f>
        <v>11-16</v>
      </c>
      <c r="J921" s="156" t="str">
        <f>"Baranyi Tibor"</f>
        <v>Baranyi Tibor</v>
      </c>
      <c r="K921" s="156" t="str">
        <f>"POWER SE."</f>
        <v>POWER SE.</v>
      </c>
      <c r="L921" s="156" t="str">
        <f t="shared" si="328"/>
        <v>HUN</v>
      </c>
      <c r="M921" s="163">
        <v>0</v>
      </c>
      <c r="O921" s="154" t="s">
        <v>410</v>
      </c>
      <c r="P921" s="159">
        <v>46103</v>
      </c>
      <c r="Q921" s="154" t="str">
        <f t="shared" si="329"/>
        <v>Baranyi Tibor - POWER SE.</v>
      </c>
      <c r="R921" s="154" t="s">
        <v>636</v>
      </c>
      <c r="S921" s="154" t="str">
        <f t="shared" si="330"/>
        <v>POWER SE.</v>
      </c>
      <c r="T921" s="154" t="s">
        <v>645</v>
      </c>
      <c r="U921" s="154" t="s">
        <v>798</v>
      </c>
      <c r="V921" s="154"/>
    </row>
    <row r="922" spans="1:22" s="158" customFormat="1" x14ac:dyDescent="0.3">
      <c r="A922" s="154" t="s">
        <v>777</v>
      </c>
      <c r="B922" s="155" t="s">
        <v>154</v>
      </c>
      <c r="C922" s="154">
        <v>840</v>
      </c>
      <c r="D922" s="156" t="str">
        <f t="shared" si="324"/>
        <v>Kumite</v>
      </c>
      <c r="E922" s="156" t="str">
        <f>"Kumite, -, 65-70 kg, Ifjúsági (15-16"</f>
        <v>Kumite, -, 65-70 kg, Ifjúsági (15-16</v>
      </c>
      <c r="F922" s="156" t="s">
        <v>545</v>
      </c>
      <c r="G922" s="157" t="str">
        <f>"3"</f>
        <v>3</v>
      </c>
      <c r="H922" s="156" t="str">
        <f>"3 fős körmérkőzés"</f>
        <v>3 fős körmérkőzés</v>
      </c>
      <c r="I922" s="157" t="str">
        <f>"1"</f>
        <v>1</v>
      </c>
      <c r="J922" s="156" t="str">
        <f>"Dezső Norbert"</f>
        <v>Dezső Norbert</v>
      </c>
      <c r="K922" s="156" t="str">
        <f>"Magna Dojo"</f>
        <v>Magna Dojo</v>
      </c>
      <c r="L922" s="156" t="str">
        <f t="shared" si="328"/>
        <v>HUN</v>
      </c>
      <c r="M922" s="163">
        <v>6</v>
      </c>
      <c r="O922" s="154" t="s">
        <v>410</v>
      </c>
      <c r="P922" s="159">
        <v>46103</v>
      </c>
      <c r="Q922" s="154" t="str">
        <f t="shared" si="329"/>
        <v>Dezső Norbert - Magna Dojo</v>
      </c>
      <c r="R922" s="154" t="s">
        <v>636</v>
      </c>
      <c r="S922" s="154" t="str">
        <f t="shared" si="330"/>
        <v>Magna Dojo</v>
      </c>
      <c r="T922" s="154" t="s">
        <v>645</v>
      </c>
      <c r="U922" s="154" t="s">
        <v>798</v>
      </c>
      <c r="V922" s="154"/>
    </row>
    <row r="923" spans="1:22" s="158" customFormat="1" x14ac:dyDescent="0.3">
      <c r="A923" s="154" t="s">
        <v>777</v>
      </c>
      <c r="B923" s="155" t="s">
        <v>154</v>
      </c>
      <c r="C923" s="154">
        <v>841</v>
      </c>
      <c r="D923" s="156" t="str">
        <f t="shared" si="324"/>
        <v>Kumite</v>
      </c>
      <c r="E923" s="156" t="str">
        <f>"Kumite, -, 65-70 kg, Ifjúsági (15-16"</f>
        <v>Kumite, -, 65-70 kg, Ifjúsági (15-16</v>
      </c>
      <c r="F923" s="156" t="s">
        <v>545</v>
      </c>
      <c r="G923" s="157" t="str">
        <f>"3"</f>
        <v>3</v>
      </c>
      <c r="H923" s="156" t="str">
        <f>"3 fős körmérkőzés"</f>
        <v>3 fős körmérkőzés</v>
      </c>
      <c r="I923" s="157" t="str">
        <f>"2"</f>
        <v>2</v>
      </c>
      <c r="J923" s="156" t="str">
        <f>"Kurucz Gergő"</f>
        <v>Kurucz Gergő</v>
      </c>
      <c r="K923" s="156" t="str">
        <f>"Victory"</f>
        <v>Victory</v>
      </c>
      <c r="L923" s="156" t="str">
        <f t="shared" si="328"/>
        <v>HUN</v>
      </c>
      <c r="M923" s="163">
        <v>4</v>
      </c>
      <c r="O923" s="154" t="s">
        <v>410</v>
      </c>
      <c r="P923" s="159">
        <v>46103</v>
      </c>
      <c r="Q923" s="154" t="str">
        <f t="shared" si="329"/>
        <v>Kurucz Gergő - Victory</v>
      </c>
      <c r="R923" s="154" t="s">
        <v>636</v>
      </c>
      <c r="S923" s="154" t="str">
        <f t="shared" si="330"/>
        <v>Victory</v>
      </c>
      <c r="T923" s="154" t="s">
        <v>645</v>
      </c>
      <c r="U923" s="154" t="s">
        <v>798</v>
      </c>
      <c r="V923" s="154"/>
    </row>
    <row r="924" spans="1:22" s="158" customFormat="1" x14ac:dyDescent="0.3">
      <c r="A924" s="154" t="s">
        <v>777</v>
      </c>
      <c r="B924" s="155" t="s">
        <v>154</v>
      </c>
      <c r="C924" s="154">
        <v>842</v>
      </c>
      <c r="D924" s="156" t="str">
        <f t="shared" si="324"/>
        <v>Kumite</v>
      </c>
      <c r="E924" s="156" t="str">
        <f>"Kumite, -, 65-70 kg, Ifjúsági (15-16"</f>
        <v>Kumite, -, 65-70 kg, Ifjúsági (15-16</v>
      </c>
      <c r="F924" s="156" t="s">
        <v>545</v>
      </c>
      <c r="G924" s="157" t="str">
        <f>"3"</f>
        <v>3</v>
      </c>
      <c r="H924" s="156" t="str">
        <f>"3 fős körmérkőzés"</f>
        <v>3 fős körmérkőzés</v>
      </c>
      <c r="I924" s="157" t="str">
        <f>"3"</f>
        <v>3</v>
      </c>
      <c r="J924" s="156" t="str">
        <f>"Novák Balázs"</f>
        <v>Novák Balázs</v>
      </c>
      <c r="K924" s="156" t="str">
        <f>"Bendiák Dojo"</f>
        <v>Bendiák Dojo</v>
      </c>
      <c r="L924" s="156" t="str">
        <f t="shared" si="328"/>
        <v>HUN</v>
      </c>
      <c r="M924" s="163">
        <v>0</v>
      </c>
      <c r="O924" s="154" t="s">
        <v>410</v>
      </c>
      <c r="P924" s="159">
        <v>46103</v>
      </c>
      <c r="Q924" s="154" t="str">
        <f t="shared" si="329"/>
        <v>Novák Balázs - Bendiák Dojo</v>
      </c>
      <c r="R924" s="154" t="s">
        <v>636</v>
      </c>
      <c r="S924" s="154" t="str">
        <f t="shared" si="330"/>
        <v>Bendiák Dojo</v>
      </c>
      <c r="T924" s="154" t="s">
        <v>645</v>
      </c>
      <c r="U924" s="154" t="s">
        <v>798</v>
      </c>
      <c r="V924" s="154"/>
    </row>
    <row r="925" spans="1:22" s="158" customFormat="1" x14ac:dyDescent="0.3">
      <c r="A925" s="154" t="s">
        <v>777</v>
      </c>
      <c r="B925" s="155" t="s">
        <v>154</v>
      </c>
      <c r="C925" s="154">
        <v>843</v>
      </c>
      <c r="D925" s="156" t="str">
        <f t="shared" si="324"/>
        <v>Kumite</v>
      </c>
      <c r="E925" s="156" t="str">
        <f t="shared" ref="E925:E931" si="334">"Kumite, -, 70-75 kg, Ifjúsági (15-16"</f>
        <v>Kumite, -, 70-75 kg, Ifjúsági (15-16</v>
      </c>
      <c r="F925" s="156" t="s">
        <v>556</v>
      </c>
      <c r="G925" s="157" t="str">
        <f t="shared" ref="G925:G938" si="335">"7"</f>
        <v>7</v>
      </c>
      <c r="H925" s="156" t="str">
        <f t="shared" ref="H925:H938" si="336">"8 fős egyenes kiesés"</f>
        <v>8 fős egyenes kiesés</v>
      </c>
      <c r="I925" s="157" t="str">
        <f>"1"</f>
        <v>1</v>
      </c>
      <c r="J925" s="156" t="str">
        <f>"Szabó Levente"</f>
        <v>Szabó Levente</v>
      </c>
      <c r="K925" s="156" t="str">
        <f>"WARRIORS TEAM"</f>
        <v>WARRIORS TEAM</v>
      </c>
      <c r="L925" s="156" t="str">
        <f t="shared" si="328"/>
        <v>HUN</v>
      </c>
      <c r="M925" s="163">
        <v>8</v>
      </c>
      <c r="O925" s="154" t="s">
        <v>410</v>
      </c>
      <c r="P925" s="159">
        <v>46103</v>
      </c>
      <c r="Q925" s="154" t="str">
        <f t="shared" si="329"/>
        <v>Szabó Levente - WARRIORS TEAM</v>
      </c>
      <c r="R925" s="154" t="s">
        <v>636</v>
      </c>
      <c r="S925" s="154" t="str">
        <f t="shared" si="330"/>
        <v>WARRIORS TEAM</v>
      </c>
      <c r="T925" s="154" t="s">
        <v>645</v>
      </c>
      <c r="U925" s="154" t="s">
        <v>798</v>
      </c>
      <c r="V925" s="154"/>
    </row>
    <row r="926" spans="1:22" s="158" customFormat="1" x14ac:dyDescent="0.3">
      <c r="A926" s="154" t="s">
        <v>777</v>
      </c>
      <c r="B926" s="155" t="s">
        <v>154</v>
      </c>
      <c r="C926" s="154">
        <v>844</v>
      </c>
      <c r="D926" s="156" t="str">
        <f t="shared" si="324"/>
        <v>Kumite</v>
      </c>
      <c r="E926" s="156" t="str">
        <f t="shared" si="334"/>
        <v>Kumite, -, 70-75 kg, Ifjúsági (15-16</v>
      </c>
      <c r="F926" s="156" t="s">
        <v>556</v>
      </c>
      <c r="G926" s="157" t="str">
        <f t="shared" si="335"/>
        <v>7</v>
      </c>
      <c r="H926" s="156" t="str">
        <f t="shared" si="336"/>
        <v>8 fős egyenes kiesés</v>
      </c>
      <c r="I926" s="157" t="str">
        <f>"2"</f>
        <v>2</v>
      </c>
      <c r="J926" s="156" t="str">
        <f>"Csonka Máté"</f>
        <v>Csonka Máté</v>
      </c>
      <c r="K926" s="156" t="str">
        <f>"Kamikaze S"</f>
        <v>Kamikaze S</v>
      </c>
      <c r="L926" s="156" t="str">
        <f t="shared" si="328"/>
        <v>HUN</v>
      </c>
      <c r="M926" s="163">
        <v>6</v>
      </c>
      <c r="O926" s="154" t="s">
        <v>410</v>
      </c>
      <c r="P926" s="159">
        <v>46103</v>
      </c>
      <c r="Q926" s="154" t="str">
        <f t="shared" si="329"/>
        <v>Csonka Máté - Kamikaze S</v>
      </c>
      <c r="R926" s="154" t="s">
        <v>636</v>
      </c>
      <c r="S926" s="154" t="str">
        <f t="shared" si="330"/>
        <v>Kamikaze S</v>
      </c>
      <c r="T926" s="154" t="s">
        <v>645</v>
      </c>
      <c r="U926" s="154" t="s">
        <v>798</v>
      </c>
      <c r="V926" s="154"/>
    </row>
    <row r="927" spans="1:22" s="158" customFormat="1" x14ac:dyDescent="0.3">
      <c r="A927" s="154" t="s">
        <v>777</v>
      </c>
      <c r="B927" s="155" t="s">
        <v>154</v>
      </c>
      <c r="C927" s="154">
        <v>845</v>
      </c>
      <c r="D927" s="156" t="str">
        <f t="shared" si="324"/>
        <v>Kumite</v>
      </c>
      <c r="E927" s="156" t="str">
        <f t="shared" si="334"/>
        <v>Kumite, -, 70-75 kg, Ifjúsági (15-16</v>
      </c>
      <c r="F927" s="156" t="s">
        <v>556</v>
      </c>
      <c r="G927" s="157" t="str">
        <f t="shared" si="335"/>
        <v>7</v>
      </c>
      <c r="H927" s="156" t="str">
        <f t="shared" si="336"/>
        <v>8 fős egyenes kiesés</v>
      </c>
      <c r="I927" s="157" t="str">
        <f>"3"</f>
        <v>3</v>
      </c>
      <c r="J927" s="156" t="str">
        <f>"Vass Noel"</f>
        <v>Vass Noel</v>
      </c>
      <c r="K927" s="156" t="str">
        <f>"KHSE"</f>
        <v>KHSE</v>
      </c>
      <c r="L927" s="156" t="str">
        <f t="shared" si="328"/>
        <v>HUN</v>
      </c>
      <c r="M927" s="163">
        <v>4</v>
      </c>
      <c r="O927" s="154" t="s">
        <v>410</v>
      </c>
      <c r="P927" s="159">
        <v>46103</v>
      </c>
      <c r="Q927" s="154" t="str">
        <f t="shared" si="329"/>
        <v>Vass Noel - KHSE</v>
      </c>
      <c r="R927" s="154" t="s">
        <v>636</v>
      </c>
      <c r="S927" s="154" t="str">
        <f t="shared" si="330"/>
        <v>KHSE</v>
      </c>
      <c r="T927" s="154" t="s">
        <v>645</v>
      </c>
      <c r="U927" s="154" t="s">
        <v>798</v>
      </c>
      <c r="V927" s="154"/>
    </row>
    <row r="928" spans="1:22" s="158" customFormat="1" x14ac:dyDescent="0.3">
      <c r="A928" s="154" t="s">
        <v>777</v>
      </c>
      <c r="B928" s="155" t="s">
        <v>154</v>
      </c>
      <c r="C928" s="154">
        <v>846</v>
      </c>
      <c r="D928" s="156" t="str">
        <f t="shared" si="324"/>
        <v>Kumite</v>
      </c>
      <c r="E928" s="156" t="str">
        <f t="shared" si="334"/>
        <v>Kumite, -, 70-75 kg, Ifjúsági (15-16</v>
      </c>
      <c r="F928" s="156" t="s">
        <v>556</v>
      </c>
      <c r="G928" s="157" t="str">
        <f t="shared" si="335"/>
        <v>7</v>
      </c>
      <c r="H928" s="156" t="str">
        <f t="shared" si="336"/>
        <v>8 fős egyenes kiesés</v>
      </c>
      <c r="I928" s="157" t="str">
        <f>"3"</f>
        <v>3</v>
      </c>
      <c r="J928" s="156" t="str">
        <f>"Gál Milán György "</f>
        <v xml:space="preserve">Gál Milán György </v>
      </c>
      <c r="K928" s="156" t="str">
        <f>"Derecske BUDO"</f>
        <v>Derecske BUDO</v>
      </c>
      <c r="L928" s="156" t="str">
        <f t="shared" si="328"/>
        <v>HUN</v>
      </c>
      <c r="M928" s="163">
        <v>4</v>
      </c>
      <c r="O928" s="154" t="s">
        <v>410</v>
      </c>
      <c r="P928" s="159">
        <v>46103</v>
      </c>
      <c r="Q928" s="154" t="str">
        <f t="shared" si="329"/>
        <v>Gál Milán György  - Derecske BUDO</v>
      </c>
      <c r="R928" s="154" t="s">
        <v>636</v>
      </c>
      <c r="S928" s="154" t="str">
        <f t="shared" si="330"/>
        <v>Derecske BUDO</v>
      </c>
      <c r="T928" s="154" t="s">
        <v>645</v>
      </c>
      <c r="U928" s="154" t="s">
        <v>798</v>
      </c>
      <c r="V928" s="154"/>
    </row>
    <row r="929" spans="1:22" s="158" customFormat="1" x14ac:dyDescent="0.3">
      <c r="A929" s="154" t="s">
        <v>777</v>
      </c>
      <c r="B929" s="155" t="s">
        <v>154</v>
      </c>
      <c r="C929" s="154">
        <v>847</v>
      </c>
      <c r="D929" s="156" t="str">
        <f t="shared" si="324"/>
        <v>Kumite</v>
      </c>
      <c r="E929" s="156" t="str">
        <f t="shared" si="334"/>
        <v>Kumite, -, 70-75 kg, Ifjúsági (15-16</v>
      </c>
      <c r="F929" s="156" t="s">
        <v>556</v>
      </c>
      <c r="G929" s="157" t="str">
        <f t="shared" si="335"/>
        <v>7</v>
      </c>
      <c r="H929" s="156" t="str">
        <f t="shared" si="336"/>
        <v>8 fős egyenes kiesés</v>
      </c>
      <c r="I929" s="157" t="str">
        <f>"5"</f>
        <v>5</v>
      </c>
      <c r="J929" s="156" t="str">
        <f>"Németh Adrián"</f>
        <v>Németh Adrián</v>
      </c>
      <c r="K929" s="156" t="str">
        <f>"Cs.S.E."</f>
        <v>Cs.S.E.</v>
      </c>
      <c r="L929" s="156" t="str">
        <f t="shared" si="328"/>
        <v>HUN</v>
      </c>
      <c r="M929" s="163">
        <v>0</v>
      </c>
      <c r="O929" s="154" t="s">
        <v>410</v>
      </c>
      <c r="P929" s="159">
        <v>46103</v>
      </c>
      <c r="Q929" s="154" t="str">
        <f t="shared" si="329"/>
        <v>Németh Adrián - Cs.S.E.</v>
      </c>
      <c r="R929" s="154" t="s">
        <v>636</v>
      </c>
      <c r="S929" s="154" t="str">
        <f t="shared" si="330"/>
        <v>Cs.S.E.</v>
      </c>
      <c r="T929" s="154" t="s">
        <v>645</v>
      </c>
      <c r="U929" s="154" t="s">
        <v>798</v>
      </c>
      <c r="V929" s="154"/>
    </row>
    <row r="930" spans="1:22" s="158" customFormat="1" x14ac:dyDescent="0.3">
      <c r="A930" s="154" t="s">
        <v>777</v>
      </c>
      <c r="B930" s="155" t="s">
        <v>154</v>
      </c>
      <c r="C930" s="154">
        <v>848</v>
      </c>
      <c r="D930" s="156" t="str">
        <f t="shared" si="324"/>
        <v>Kumite</v>
      </c>
      <c r="E930" s="156" t="str">
        <f t="shared" si="334"/>
        <v>Kumite, -, 70-75 kg, Ifjúsági (15-16</v>
      </c>
      <c r="F930" s="156" t="s">
        <v>556</v>
      </c>
      <c r="G930" s="157" t="str">
        <f t="shared" si="335"/>
        <v>7</v>
      </c>
      <c r="H930" s="156" t="str">
        <f t="shared" si="336"/>
        <v>8 fős egyenes kiesés</v>
      </c>
      <c r="I930" s="157" t="str">
        <f>"7-8"</f>
        <v>7-8</v>
      </c>
      <c r="J930" s="156" t="str">
        <f>"Ágoston Bence"</f>
        <v>Ágoston Bence</v>
      </c>
      <c r="K930" s="156" t="str">
        <f>"KHSE"</f>
        <v>KHSE</v>
      </c>
      <c r="L930" s="156" t="str">
        <f t="shared" si="328"/>
        <v>HUN</v>
      </c>
      <c r="M930" s="163">
        <v>0</v>
      </c>
      <c r="O930" s="154" t="s">
        <v>410</v>
      </c>
      <c r="P930" s="159">
        <v>46103</v>
      </c>
      <c r="Q930" s="154" t="str">
        <f t="shared" si="329"/>
        <v>Ágoston Bence - KHSE</v>
      </c>
      <c r="R930" s="154" t="s">
        <v>636</v>
      </c>
      <c r="S930" s="154" t="str">
        <f t="shared" si="330"/>
        <v>KHSE</v>
      </c>
      <c r="T930" s="154" t="s">
        <v>645</v>
      </c>
      <c r="U930" s="154" t="s">
        <v>798</v>
      </c>
      <c r="V930" s="154"/>
    </row>
    <row r="931" spans="1:22" s="158" customFormat="1" x14ac:dyDescent="0.3">
      <c r="A931" s="154" t="s">
        <v>777</v>
      </c>
      <c r="B931" s="155" t="s">
        <v>154</v>
      </c>
      <c r="C931" s="154">
        <v>849</v>
      </c>
      <c r="D931" s="156" t="str">
        <f t="shared" si="324"/>
        <v>Kumite</v>
      </c>
      <c r="E931" s="156" t="str">
        <f t="shared" si="334"/>
        <v>Kumite, -, 70-75 kg, Ifjúsági (15-16</v>
      </c>
      <c r="F931" s="156" t="s">
        <v>556</v>
      </c>
      <c r="G931" s="157" t="str">
        <f t="shared" si="335"/>
        <v>7</v>
      </c>
      <c r="H931" s="156" t="str">
        <f t="shared" si="336"/>
        <v>8 fős egyenes kiesés</v>
      </c>
      <c r="I931" s="157" t="str">
        <f>"7-8"</f>
        <v>7-8</v>
      </c>
      <c r="J931" s="156" t="str">
        <f>"Vancsó Kornél"</f>
        <v>Vancsó Kornél</v>
      </c>
      <c r="K931" s="156" t="str">
        <f>"Bendiák Dojo"</f>
        <v>Bendiák Dojo</v>
      </c>
      <c r="L931" s="156" t="str">
        <f t="shared" si="328"/>
        <v>HUN</v>
      </c>
      <c r="M931" s="163">
        <v>0</v>
      </c>
      <c r="O931" s="154" t="s">
        <v>410</v>
      </c>
      <c r="P931" s="159">
        <v>46103</v>
      </c>
      <c r="Q931" s="154" t="str">
        <f t="shared" si="329"/>
        <v>Vancsó Kornél - Bendiák Dojo</v>
      </c>
      <c r="R931" s="154" t="s">
        <v>636</v>
      </c>
      <c r="S931" s="154" t="str">
        <f t="shared" si="330"/>
        <v>Bendiák Dojo</v>
      </c>
      <c r="T931" s="154" t="s">
        <v>645</v>
      </c>
      <c r="U931" s="154" t="s">
        <v>798</v>
      </c>
      <c r="V931" s="154"/>
    </row>
    <row r="932" spans="1:22" s="158" customFormat="1" x14ac:dyDescent="0.3">
      <c r="A932" s="154" t="s">
        <v>777</v>
      </c>
      <c r="B932" s="155" t="s">
        <v>154</v>
      </c>
      <c r="C932" s="154">
        <v>850</v>
      </c>
      <c r="D932" s="156" t="str">
        <f t="shared" si="324"/>
        <v>Kumite</v>
      </c>
      <c r="E932" s="156" t="str">
        <f t="shared" ref="E932:E938" si="337">"Kumite, -, 75-999 kg, Ifjúsági (15-16"</f>
        <v>Kumite, -, 75-999 kg, Ifjúsági (15-16</v>
      </c>
      <c r="F932" s="156" t="s">
        <v>547</v>
      </c>
      <c r="G932" s="157" t="str">
        <f t="shared" si="335"/>
        <v>7</v>
      </c>
      <c r="H932" s="156" t="str">
        <f t="shared" si="336"/>
        <v>8 fős egyenes kiesés</v>
      </c>
      <c r="I932" s="157" t="str">
        <f>"1"</f>
        <v>1</v>
      </c>
      <c r="J932" s="156" t="str">
        <f>"Garamszegi Zente"</f>
        <v>Garamszegi Zente</v>
      </c>
      <c r="K932" s="156" t="str">
        <f>"WARRIORS TEAM"</f>
        <v>WARRIORS TEAM</v>
      </c>
      <c r="L932" s="156" t="str">
        <f t="shared" si="328"/>
        <v>HUN</v>
      </c>
      <c r="M932" s="163">
        <v>8</v>
      </c>
      <c r="O932" s="154" t="s">
        <v>410</v>
      </c>
      <c r="P932" s="159">
        <v>46103</v>
      </c>
      <c r="Q932" s="154" t="str">
        <f t="shared" si="329"/>
        <v>Garamszegi Zente - WARRIORS TEAM</v>
      </c>
      <c r="R932" s="154" t="s">
        <v>636</v>
      </c>
      <c r="S932" s="154" t="str">
        <f t="shared" si="330"/>
        <v>WARRIORS TEAM</v>
      </c>
      <c r="T932" s="154" t="s">
        <v>645</v>
      </c>
      <c r="U932" s="154" t="s">
        <v>798</v>
      </c>
      <c r="V932" s="154"/>
    </row>
    <row r="933" spans="1:22" s="158" customFormat="1" x14ac:dyDescent="0.3">
      <c r="A933" s="154" t="s">
        <v>777</v>
      </c>
      <c r="B933" s="155" t="s">
        <v>154</v>
      </c>
      <c r="C933" s="154">
        <v>851</v>
      </c>
      <c r="D933" s="156" t="str">
        <f t="shared" si="324"/>
        <v>Kumite</v>
      </c>
      <c r="E933" s="156" t="str">
        <f t="shared" si="337"/>
        <v>Kumite, -, 75-999 kg, Ifjúsági (15-16</v>
      </c>
      <c r="F933" s="156" t="s">
        <v>547</v>
      </c>
      <c r="G933" s="157" t="str">
        <f t="shared" si="335"/>
        <v>7</v>
      </c>
      <c r="H933" s="156" t="str">
        <f t="shared" si="336"/>
        <v>8 fős egyenes kiesés</v>
      </c>
      <c r="I933" s="157" t="str">
        <f>"2"</f>
        <v>2</v>
      </c>
      <c r="J933" s="156" t="str">
        <f>"Szalai Brendon"</f>
        <v>Szalai Brendon</v>
      </c>
      <c r="K933" s="156" t="str">
        <f>"Nintai KKSE"</f>
        <v>Nintai KKSE</v>
      </c>
      <c r="L933" s="156" t="str">
        <f t="shared" si="328"/>
        <v>HUN</v>
      </c>
      <c r="M933" s="163">
        <v>6</v>
      </c>
      <c r="O933" s="154" t="s">
        <v>410</v>
      </c>
      <c r="P933" s="159">
        <v>46103</v>
      </c>
      <c r="Q933" s="154" t="str">
        <f t="shared" si="329"/>
        <v>Szalai Brendon - Nintai KKSE</v>
      </c>
      <c r="R933" s="154" t="s">
        <v>637</v>
      </c>
      <c r="S933" s="154" t="str">
        <f t="shared" si="330"/>
        <v>Nintai KKSE</v>
      </c>
      <c r="T933" s="154" t="s">
        <v>645</v>
      </c>
      <c r="U933" s="154" t="s">
        <v>798</v>
      </c>
      <c r="V933" s="154"/>
    </row>
    <row r="934" spans="1:22" s="158" customFormat="1" x14ac:dyDescent="0.3">
      <c r="A934" s="154" t="s">
        <v>777</v>
      </c>
      <c r="B934" s="155" t="s">
        <v>154</v>
      </c>
      <c r="C934" s="154">
        <v>852</v>
      </c>
      <c r="D934" s="156" t="str">
        <f t="shared" si="324"/>
        <v>Kumite</v>
      </c>
      <c r="E934" s="156" t="str">
        <f t="shared" si="337"/>
        <v>Kumite, -, 75-999 kg, Ifjúsági (15-16</v>
      </c>
      <c r="F934" s="156" t="s">
        <v>547</v>
      </c>
      <c r="G934" s="157" t="str">
        <f t="shared" si="335"/>
        <v>7</v>
      </c>
      <c r="H934" s="156" t="str">
        <f t="shared" si="336"/>
        <v>8 fős egyenes kiesés</v>
      </c>
      <c r="I934" s="157" t="str">
        <f>"3"</f>
        <v>3</v>
      </c>
      <c r="J934" s="156" t="str">
        <f>"Novák Máté"</f>
        <v>Novák Máté</v>
      </c>
      <c r="K934" s="156" t="str">
        <f>"Bendiák Dojo"</f>
        <v>Bendiák Dojo</v>
      </c>
      <c r="L934" s="156" t="str">
        <f t="shared" si="328"/>
        <v>HUN</v>
      </c>
      <c r="M934" s="163">
        <v>4</v>
      </c>
      <c r="O934" s="154" t="s">
        <v>410</v>
      </c>
      <c r="P934" s="159">
        <v>46103</v>
      </c>
      <c r="Q934" s="154" t="str">
        <f t="shared" si="329"/>
        <v>Novák Máté - Bendiák Dojo</v>
      </c>
      <c r="R934" s="154" t="s">
        <v>636</v>
      </c>
      <c r="S934" s="154" t="str">
        <f t="shared" si="330"/>
        <v>Bendiák Dojo</v>
      </c>
      <c r="T934" s="154" t="s">
        <v>645</v>
      </c>
      <c r="U934" s="154" t="s">
        <v>798</v>
      </c>
      <c r="V934" s="154"/>
    </row>
    <row r="935" spans="1:22" s="158" customFormat="1" x14ac:dyDescent="0.3">
      <c r="A935" s="154" t="s">
        <v>777</v>
      </c>
      <c r="B935" s="155" t="s">
        <v>154</v>
      </c>
      <c r="C935" s="154">
        <v>853</v>
      </c>
      <c r="D935" s="156" t="str">
        <f t="shared" si="324"/>
        <v>Kumite</v>
      </c>
      <c r="E935" s="156" t="str">
        <f t="shared" si="337"/>
        <v>Kumite, -, 75-999 kg, Ifjúsági (15-16</v>
      </c>
      <c r="F935" s="156" t="s">
        <v>547</v>
      </c>
      <c r="G935" s="157" t="str">
        <f t="shared" si="335"/>
        <v>7</v>
      </c>
      <c r="H935" s="156" t="str">
        <f t="shared" si="336"/>
        <v>8 fős egyenes kiesés</v>
      </c>
      <c r="I935" s="157" t="str">
        <f>"3"</f>
        <v>3</v>
      </c>
      <c r="J935" s="156" t="str">
        <f>"Vida Péter"</f>
        <v>Vida Péter</v>
      </c>
      <c r="K935" s="156" t="str">
        <f>"Buke Reikon HRSE"</f>
        <v>Buke Reikon HRSE</v>
      </c>
      <c r="L935" s="156" t="str">
        <f t="shared" si="328"/>
        <v>HUN</v>
      </c>
      <c r="M935" s="163">
        <v>4</v>
      </c>
      <c r="O935" s="154" t="s">
        <v>410</v>
      </c>
      <c r="P935" s="159">
        <v>46103</v>
      </c>
      <c r="Q935" s="154" t="str">
        <f t="shared" si="329"/>
        <v>Vida Péter - Buke Reikon HRSE</v>
      </c>
      <c r="R935" s="154" t="s">
        <v>636</v>
      </c>
      <c r="S935" s="154" t="str">
        <f t="shared" si="330"/>
        <v>Buke Reikon HRSE</v>
      </c>
      <c r="T935" s="154" t="s">
        <v>645</v>
      </c>
      <c r="U935" s="154" t="s">
        <v>798</v>
      </c>
      <c r="V935" s="154"/>
    </row>
    <row r="936" spans="1:22" s="158" customFormat="1" x14ac:dyDescent="0.3">
      <c r="A936" s="154" t="s">
        <v>777</v>
      </c>
      <c r="B936" s="155" t="s">
        <v>154</v>
      </c>
      <c r="C936" s="154">
        <v>854</v>
      </c>
      <c r="D936" s="156" t="str">
        <f t="shared" si="324"/>
        <v>Kumite</v>
      </c>
      <c r="E936" s="156" t="str">
        <f t="shared" si="337"/>
        <v>Kumite, -, 75-999 kg, Ifjúsági (15-16</v>
      </c>
      <c r="F936" s="156" t="s">
        <v>547</v>
      </c>
      <c r="G936" s="157" t="str">
        <f t="shared" si="335"/>
        <v>7</v>
      </c>
      <c r="H936" s="156" t="str">
        <f t="shared" si="336"/>
        <v>8 fős egyenes kiesés</v>
      </c>
      <c r="I936" s="157" t="str">
        <f>"5"</f>
        <v>5</v>
      </c>
      <c r="J936" s="156" t="str">
        <f>"Vörös Tibor"</f>
        <v>Vörös Tibor</v>
      </c>
      <c r="K936" s="156" t="str">
        <f>"RDKKSE"</f>
        <v>RDKKSE</v>
      </c>
      <c r="L936" s="156" t="str">
        <f t="shared" si="328"/>
        <v>HUN</v>
      </c>
      <c r="M936" s="163">
        <v>0</v>
      </c>
      <c r="O936" s="154" t="s">
        <v>410</v>
      </c>
      <c r="P936" s="159">
        <v>46103</v>
      </c>
      <c r="Q936" s="154" t="str">
        <f t="shared" si="329"/>
        <v>Vörös Tibor - RDKKSE</v>
      </c>
      <c r="R936" s="154" t="s">
        <v>636</v>
      </c>
      <c r="S936" s="154" t="str">
        <f t="shared" si="330"/>
        <v>RDKKSE</v>
      </c>
      <c r="T936" s="154" t="s">
        <v>645</v>
      </c>
      <c r="U936" s="154" t="s">
        <v>798</v>
      </c>
      <c r="V936" s="154"/>
    </row>
    <row r="937" spans="1:22" s="158" customFormat="1" x14ac:dyDescent="0.3">
      <c r="A937" s="154" t="s">
        <v>777</v>
      </c>
      <c r="B937" s="155" t="s">
        <v>154</v>
      </c>
      <c r="C937" s="154">
        <v>855</v>
      </c>
      <c r="D937" s="156" t="str">
        <f t="shared" si="324"/>
        <v>Kumite</v>
      </c>
      <c r="E937" s="156" t="str">
        <f t="shared" si="337"/>
        <v>Kumite, -, 75-999 kg, Ifjúsági (15-16</v>
      </c>
      <c r="F937" s="156" t="s">
        <v>547</v>
      </c>
      <c r="G937" s="157" t="str">
        <f t="shared" si="335"/>
        <v>7</v>
      </c>
      <c r="H937" s="156" t="str">
        <f t="shared" si="336"/>
        <v>8 fős egyenes kiesés</v>
      </c>
      <c r="I937" s="157" t="str">
        <f>"7-8"</f>
        <v>7-8</v>
      </c>
      <c r="J937" s="156" t="str">
        <f>"Nagy Gábor András"</f>
        <v>Nagy Gábor András</v>
      </c>
      <c r="K937" s="156" t="str">
        <f>"POWER SE."</f>
        <v>POWER SE.</v>
      </c>
      <c r="L937" s="156" t="str">
        <f t="shared" si="328"/>
        <v>HUN</v>
      </c>
      <c r="M937" s="163">
        <v>0</v>
      </c>
      <c r="O937" s="154" t="s">
        <v>410</v>
      </c>
      <c r="P937" s="159">
        <v>46103</v>
      </c>
      <c r="Q937" s="154" t="str">
        <f t="shared" si="329"/>
        <v>Nagy Gábor András - POWER SE.</v>
      </c>
      <c r="R937" s="154" t="s">
        <v>636</v>
      </c>
      <c r="S937" s="154" t="str">
        <f t="shared" si="330"/>
        <v>POWER SE.</v>
      </c>
      <c r="T937" s="154" t="s">
        <v>645</v>
      </c>
      <c r="U937" s="154" t="s">
        <v>798</v>
      </c>
      <c r="V937" s="154"/>
    </row>
    <row r="938" spans="1:22" s="158" customFormat="1" x14ac:dyDescent="0.3">
      <c r="A938" s="154" t="s">
        <v>777</v>
      </c>
      <c r="B938" s="155" t="s">
        <v>154</v>
      </c>
      <c r="C938" s="154">
        <v>856</v>
      </c>
      <c r="D938" s="156" t="str">
        <f t="shared" si="324"/>
        <v>Kumite</v>
      </c>
      <c r="E938" s="156" t="str">
        <f t="shared" si="337"/>
        <v>Kumite, -, 75-999 kg, Ifjúsági (15-16</v>
      </c>
      <c r="F938" s="156" t="s">
        <v>547</v>
      </c>
      <c r="G938" s="157" t="str">
        <f t="shared" si="335"/>
        <v>7</v>
      </c>
      <c r="H938" s="156" t="str">
        <f t="shared" si="336"/>
        <v>8 fős egyenes kiesés</v>
      </c>
      <c r="I938" s="157" t="str">
        <f>"7-8"</f>
        <v>7-8</v>
      </c>
      <c r="J938" s="156" t="str">
        <f>"Szabó Lóránt"</f>
        <v>Szabó Lóránt</v>
      </c>
      <c r="K938" s="156" t="str">
        <f>"Kamikaze S"</f>
        <v>Kamikaze S</v>
      </c>
      <c r="L938" s="156" t="str">
        <f t="shared" si="328"/>
        <v>HUN</v>
      </c>
      <c r="M938" s="163">
        <v>0</v>
      </c>
      <c r="O938" s="154" t="s">
        <v>410</v>
      </c>
      <c r="P938" s="159">
        <v>46103</v>
      </c>
      <c r="Q938" s="154" t="str">
        <f t="shared" si="329"/>
        <v>Szabó Lóránt - Kamikaze S</v>
      </c>
      <c r="R938" s="154" t="s">
        <v>636</v>
      </c>
      <c r="S938" s="154" t="str">
        <f t="shared" si="330"/>
        <v>Kamikaze S</v>
      </c>
      <c r="T938" s="154" t="s">
        <v>645</v>
      </c>
      <c r="U938" s="154" t="s">
        <v>798</v>
      </c>
      <c r="V938" s="154"/>
    </row>
    <row r="939" spans="1:22" s="158" customFormat="1" x14ac:dyDescent="0.3">
      <c r="A939" s="154" t="s">
        <v>777</v>
      </c>
      <c r="B939" s="155" t="s">
        <v>154</v>
      </c>
      <c r="C939" s="154">
        <v>857</v>
      </c>
      <c r="D939" s="156" t="str">
        <f t="shared" ref="D939:D951" si="338">"Kata"</f>
        <v>Kata</v>
      </c>
      <c r="E939" s="156" t="str">
        <f t="shared" ref="E939:E951" si="339">"Kata, -, 0-160 kg, Ifjúsági (15-16"</f>
        <v>Kata, -, 0-160 kg, Ifjúsági (15-16</v>
      </c>
      <c r="F939" s="156" t="s">
        <v>548</v>
      </c>
      <c r="G939" s="157" t="str">
        <f t="shared" ref="G939:G951" si="340">"13"</f>
        <v>13</v>
      </c>
      <c r="H939" s="156" t="str">
        <f t="shared" ref="H939:H951" si="341">"16 fős egyenes kiesés + 3. hely"</f>
        <v>16 fős egyenes kiesés + 3. hely</v>
      </c>
      <c r="I939" s="157" t="str">
        <f>"1"</f>
        <v>1</v>
      </c>
      <c r="J939" s="156" t="str">
        <f>"Berényi Imre Márk"</f>
        <v>Berényi Imre Márk</v>
      </c>
      <c r="K939" s="156" t="str">
        <f>"Shogun"</f>
        <v>Shogun</v>
      </c>
      <c r="L939" s="156" t="str">
        <f t="shared" si="328"/>
        <v>HUN</v>
      </c>
      <c r="M939" s="163">
        <v>8</v>
      </c>
      <c r="N939" s="158" t="s">
        <v>813</v>
      </c>
      <c r="O939" s="154" t="s">
        <v>410</v>
      </c>
      <c r="P939" s="159">
        <v>46103</v>
      </c>
      <c r="Q939" s="154" t="str">
        <f t="shared" si="329"/>
        <v>Berényi Imre Márk - Shogun</v>
      </c>
      <c r="R939" s="154" t="s">
        <v>636</v>
      </c>
      <c r="S939" s="154" t="str">
        <f t="shared" si="330"/>
        <v>Shogun</v>
      </c>
      <c r="T939" s="154" t="s">
        <v>645</v>
      </c>
      <c r="U939" s="154" t="s">
        <v>798</v>
      </c>
      <c r="V939" s="154"/>
    </row>
    <row r="940" spans="1:22" s="158" customFormat="1" x14ac:dyDescent="0.3">
      <c r="A940" s="154" t="s">
        <v>777</v>
      </c>
      <c r="B940" s="155" t="s">
        <v>154</v>
      </c>
      <c r="C940" s="154">
        <v>858</v>
      </c>
      <c r="D940" s="156" t="str">
        <f t="shared" si="338"/>
        <v>Kata</v>
      </c>
      <c r="E940" s="156" t="str">
        <f t="shared" si="339"/>
        <v>Kata, -, 0-160 kg, Ifjúsági (15-16</v>
      </c>
      <c r="F940" s="156" t="s">
        <v>548</v>
      </c>
      <c r="G940" s="157" t="str">
        <f t="shared" si="340"/>
        <v>13</v>
      </c>
      <c r="H940" s="156" t="str">
        <f t="shared" si="341"/>
        <v>16 fős egyenes kiesés + 3. hely</v>
      </c>
      <c r="I940" s="157" t="str">
        <f>"2"</f>
        <v>2</v>
      </c>
      <c r="J940" s="156" t="str">
        <f>"Lóránt Varga Milán"</f>
        <v>Lóránt Varga Milán</v>
      </c>
      <c r="K940" s="156" t="str">
        <f>"Shogun"</f>
        <v>Shogun</v>
      </c>
      <c r="L940" s="156" t="str">
        <f t="shared" si="328"/>
        <v>HUN</v>
      </c>
      <c r="M940" s="163">
        <v>6</v>
      </c>
      <c r="N940" s="158" t="s">
        <v>813</v>
      </c>
      <c r="O940" s="154" t="s">
        <v>410</v>
      </c>
      <c r="P940" s="159">
        <v>46103</v>
      </c>
      <c r="Q940" s="154" t="str">
        <f t="shared" si="329"/>
        <v>Lóránt Varga Milán - Shogun</v>
      </c>
      <c r="R940" s="154" t="s">
        <v>636</v>
      </c>
      <c r="S940" s="154" t="str">
        <f t="shared" si="330"/>
        <v>Shogun</v>
      </c>
      <c r="T940" s="154" t="s">
        <v>645</v>
      </c>
      <c r="U940" s="154" t="s">
        <v>798</v>
      </c>
      <c r="V940" s="154"/>
    </row>
    <row r="941" spans="1:22" s="158" customFormat="1" x14ac:dyDescent="0.3">
      <c r="A941" s="154" t="s">
        <v>777</v>
      </c>
      <c r="B941" s="155" t="s">
        <v>154</v>
      </c>
      <c r="C941" s="154">
        <v>859</v>
      </c>
      <c r="D941" s="156" t="str">
        <f t="shared" si="338"/>
        <v>Kata</v>
      </c>
      <c r="E941" s="156" t="str">
        <f t="shared" si="339"/>
        <v>Kata, -, 0-160 kg, Ifjúsági (15-16</v>
      </c>
      <c r="F941" s="156" t="s">
        <v>548</v>
      </c>
      <c r="G941" s="157" t="str">
        <f t="shared" si="340"/>
        <v>13</v>
      </c>
      <c r="H941" s="156" t="str">
        <f t="shared" si="341"/>
        <v>16 fős egyenes kiesés + 3. hely</v>
      </c>
      <c r="I941" s="157" t="str">
        <f>"3"</f>
        <v>3</v>
      </c>
      <c r="J941" s="156" t="str">
        <f>"Németh Adrián"</f>
        <v>Németh Adrián</v>
      </c>
      <c r="K941" s="156" t="str">
        <f>"Cs.S.E."</f>
        <v>Cs.S.E.</v>
      </c>
      <c r="L941" s="156" t="str">
        <f t="shared" si="328"/>
        <v>HUN</v>
      </c>
      <c r="M941" s="163">
        <v>4</v>
      </c>
      <c r="N941" s="158" t="s">
        <v>813</v>
      </c>
      <c r="O941" s="154" t="s">
        <v>410</v>
      </c>
      <c r="P941" s="159">
        <v>46103</v>
      </c>
      <c r="Q941" s="154" t="str">
        <f t="shared" si="329"/>
        <v>Németh Adrián - Cs.S.E.</v>
      </c>
      <c r="R941" s="154" t="s">
        <v>636</v>
      </c>
      <c r="S941" s="154" t="str">
        <f t="shared" si="330"/>
        <v>Cs.S.E.</v>
      </c>
      <c r="T941" s="154" t="s">
        <v>645</v>
      </c>
      <c r="U941" s="154" t="s">
        <v>798</v>
      </c>
      <c r="V941" s="154"/>
    </row>
    <row r="942" spans="1:22" s="158" customFormat="1" x14ac:dyDescent="0.3">
      <c r="A942" s="154" t="s">
        <v>777</v>
      </c>
      <c r="B942" s="155" t="s">
        <v>154</v>
      </c>
      <c r="C942" s="154">
        <v>860</v>
      </c>
      <c r="D942" s="156" t="str">
        <f t="shared" si="338"/>
        <v>Kata</v>
      </c>
      <c r="E942" s="156" t="str">
        <f t="shared" si="339"/>
        <v>Kata, -, 0-160 kg, Ifjúsági (15-16</v>
      </c>
      <c r="F942" s="156" t="s">
        <v>548</v>
      </c>
      <c r="G942" s="157" t="str">
        <f t="shared" si="340"/>
        <v>13</v>
      </c>
      <c r="H942" s="156" t="str">
        <f t="shared" si="341"/>
        <v>16 fős egyenes kiesés + 3. hely</v>
      </c>
      <c r="I942" s="157" t="str">
        <f>"4"</f>
        <v>4</v>
      </c>
      <c r="J942" s="156" t="str">
        <f>"Szalontai Levente"</f>
        <v>Szalontai Levente</v>
      </c>
      <c r="K942" s="156" t="str">
        <f>"KSE Tarján"</f>
        <v>KSE Tarján</v>
      </c>
      <c r="L942" s="156" t="str">
        <f t="shared" si="328"/>
        <v>HUN</v>
      </c>
      <c r="M942" s="163">
        <v>3</v>
      </c>
      <c r="N942" s="158" t="s">
        <v>813</v>
      </c>
      <c r="O942" s="154" t="s">
        <v>410</v>
      </c>
      <c r="P942" s="159">
        <v>46103</v>
      </c>
      <c r="Q942" s="154" t="str">
        <f t="shared" si="329"/>
        <v>Szalontai Levente - KSE Tarján</v>
      </c>
      <c r="R942" s="154" t="s">
        <v>636</v>
      </c>
      <c r="S942" s="154" t="str">
        <f t="shared" si="330"/>
        <v>KSE Tarján</v>
      </c>
      <c r="T942" s="154" t="s">
        <v>645</v>
      </c>
      <c r="U942" s="154" t="s">
        <v>798</v>
      </c>
      <c r="V942" s="154"/>
    </row>
    <row r="943" spans="1:22" s="158" customFormat="1" x14ac:dyDescent="0.3">
      <c r="A943" s="154" t="s">
        <v>777</v>
      </c>
      <c r="B943" s="155" t="s">
        <v>154</v>
      </c>
      <c r="C943" s="154">
        <v>861</v>
      </c>
      <c r="D943" s="156" t="str">
        <f t="shared" si="338"/>
        <v>Kata</v>
      </c>
      <c r="E943" s="156" t="str">
        <f t="shared" si="339"/>
        <v>Kata, -, 0-160 kg, Ifjúsági (15-16</v>
      </c>
      <c r="F943" s="156" t="s">
        <v>548</v>
      </c>
      <c r="G943" s="157" t="str">
        <f t="shared" si="340"/>
        <v>13</v>
      </c>
      <c r="H943" s="156" t="str">
        <f t="shared" si="341"/>
        <v>16 fős egyenes kiesés + 3. hely</v>
      </c>
      <c r="I943" s="157" t="str">
        <f>"5"</f>
        <v>5</v>
      </c>
      <c r="J943" s="156" t="str">
        <f>"MOLNÁR MARCELL"</f>
        <v>MOLNÁR MARCELL</v>
      </c>
      <c r="K943" s="156" t="str">
        <f>"Victory"</f>
        <v>Victory</v>
      </c>
      <c r="L943" s="156" t="str">
        <f t="shared" si="328"/>
        <v>HUN</v>
      </c>
      <c r="M943" s="163">
        <v>2</v>
      </c>
      <c r="N943" s="158" t="s">
        <v>813</v>
      </c>
      <c r="O943" s="154" t="s">
        <v>410</v>
      </c>
      <c r="P943" s="159">
        <v>46103</v>
      </c>
      <c r="Q943" s="154" t="str">
        <f t="shared" si="329"/>
        <v>MOLNÁR MARCELL - Victory</v>
      </c>
      <c r="R943" s="154" t="s">
        <v>636</v>
      </c>
      <c r="S943" s="154" t="str">
        <f t="shared" si="330"/>
        <v>Victory</v>
      </c>
      <c r="T943" s="154" t="s">
        <v>645</v>
      </c>
      <c r="U943" s="154" t="s">
        <v>798</v>
      </c>
      <c r="V943" s="154"/>
    </row>
    <row r="944" spans="1:22" s="158" customFormat="1" x14ac:dyDescent="0.3">
      <c r="A944" s="154" t="s">
        <v>777</v>
      </c>
      <c r="B944" s="155" t="s">
        <v>154</v>
      </c>
      <c r="C944" s="154">
        <v>862</v>
      </c>
      <c r="D944" s="156" t="str">
        <f t="shared" si="338"/>
        <v>Kata</v>
      </c>
      <c r="E944" s="156" t="str">
        <f t="shared" si="339"/>
        <v>Kata, -, 0-160 kg, Ifjúsági (15-16</v>
      </c>
      <c r="F944" s="156" t="s">
        <v>548</v>
      </c>
      <c r="G944" s="157" t="str">
        <f t="shared" si="340"/>
        <v>13</v>
      </c>
      <c r="H944" s="156" t="str">
        <f t="shared" si="341"/>
        <v>16 fős egyenes kiesés + 3. hely</v>
      </c>
      <c r="I944" s="157" t="str">
        <f>"6"</f>
        <v>6</v>
      </c>
      <c r="J944" s="156" t="str">
        <f>"Novák Balázs"</f>
        <v>Novák Balázs</v>
      </c>
      <c r="K944" s="156" t="str">
        <f>"Bendiák Dojo"</f>
        <v>Bendiák Dojo</v>
      </c>
      <c r="L944" s="156" t="str">
        <f t="shared" si="328"/>
        <v>HUN</v>
      </c>
      <c r="M944" s="163">
        <v>2</v>
      </c>
      <c r="N944" s="158" t="s">
        <v>813</v>
      </c>
      <c r="O944" s="154" t="s">
        <v>410</v>
      </c>
      <c r="P944" s="159">
        <v>46103</v>
      </c>
      <c r="Q944" s="154" t="str">
        <f t="shared" si="329"/>
        <v>Novák Balázs - Bendiák Dojo</v>
      </c>
      <c r="R944" s="154" t="s">
        <v>636</v>
      </c>
      <c r="S944" s="154" t="str">
        <f t="shared" si="330"/>
        <v>Bendiák Dojo</v>
      </c>
      <c r="T944" s="154" t="s">
        <v>645</v>
      </c>
      <c r="U944" s="154" t="s">
        <v>798</v>
      </c>
      <c r="V944" s="154"/>
    </row>
    <row r="945" spans="1:22" s="158" customFormat="1" x14ac:dyDescent="0.3">
      <c r="A945" s="154" t="s">
        <v>777</v>
      </c>
      <c r="B945" s="155" t="s">
        <v>154</v>
      </c>
      <c r="C945" s="154">
        <v>863</v>
      </c>
      <c r="D945" s="156" t="str">
        <f t="shared" si="338"/>
        <v>Kata</v>
      </c>
      <c r="E945" s="156" t="str">
        <f t="shared" si="339"/>
        <v>Kata, -, 0-160 kg, Ifjúsági (15-16</v>
      </c>
      <c r="F945" s="156" t="s">
        <v>548</v>
      </c>
      <c r="G945" s="157" t="str">
        <f t="shared" si="340"/>
        <v>13</v>
      </c>
      <c r="H945" s="156" t="str">
        <f t="shared" si="341"/>
        <v>16 fős egyenes kiesés + 3. hely</v>
      </c>
      <c r="I945" s="157" t="str">
        <f>"7-8"</f>
        <v>7-8</v>
      </c>
      <c r="J945" s="156" t="str">
        <f>"Ungvári Levente"</f>
        <v>Ungvári Levente</v>
      </c>
      <c r="K945" s="156" t="str">
        <f>"Shogun"</f>
        <v>Shogun</v>
      </c>
      <c r="L945" s="156" t="str">
        <f t="shared" si="328"/>
        <v>HUN</v>
      </c>
      <c r="M945" s="163">
        <v>2</v>
      </c>
      <c r="N945" s="158" t="s">
        <v>813</v>
      </c>
      <c r="O945" s="154" t="s">
        <v>410</v>
      </c>
      <c r="P945" s="159">
        <v>46103</v>
      </c>
      <c r="Q945" s="154" t="str">
        <f t="shared" si="329"/>
        <v>Ungvári Levente - Shogun</v>
      </c>
      <c r="R945" s="154" t="s">
        <v>636</v>
      </c>
      <c r="S945" s="154" t="str">
        <f t="shared" si="330"/>
        <v>Shogun</v>
      </c>
      <c r="T945" s="154" t="s">
        <v>645</v>
      </c>
      <c r="U945" s="154" t="s">
        <v>798</v>
      </c>
      <c r="V945" s="154"/>
    </row>
    <row r="946" spans="1:22" s="158" customFormat="1" x14ac:dyDescent="0.3">
      <c r="A946" s="154" t="s">
        <v>777</v>
      </c>
      <c r="B946" s="155" t="s">
        <v>154</v>
      </c>
      <c r="C946" s="154">
        <v>864</v>
      </c>
      <c r="D946" s="156" t="str">
        <f t="shared" si="338"/>
        <v>Kata</v>
      </c>
      <c r="E946" s="156" t="str">
        <f t="shared" si="339"/>
        <v>Kata, -, 0-160 kg, Ifjúsági (15-16</v>
      </c>
      <c r="F946" s="156" t="s">
        <v>548</v>
      </c>
      <c r="G946" s="157" t="str">
        <f t="shared" si="340"/>
        <v>13</v>
      </c>
      <c r="H946" s="156" t="str">
        <f t="shared" si="341"/>
        <v>16 fős egyenes kiesés + 3. hely</v>
      </c>
      <c r="I946" s="157" t="str">
        <f>"7-8"</f>
        <v>7-8</v>
      </c>
      <c r="J946" s="156" t="str">
        <f>"Novák Máté"</f>
        <v>Novák Máté</v>
      </c>
      <c r="K946" s="156" t="str">
        <f>"Bendiák Dojo"</f>
        <v>Bendiák Dojo</v>
      </c>
      <c r="L946" s="156" t="str">
        <f t="shared" si="328"/>
        <v>HUN</v>
      </c>
      <c r="M946" s="163">
        <v>2</v>
      </c>
      <c r="N946" s="158" t="s">
        <v>813</v>
      </c>
      <c r="O946" s="154" t="s">
        <v>410</v>
      </c>
      <c r="P946" s="159">
        <v>46103</v>
      </c>
      <c r="Q946" s="154" t="str">
        <f t="shared" si="329"/>
        <v>Novák Máté - Bendiák Dojo</v>
      </c>
      <c r="R946" s="154" t="s">
        <v>636</v>
      </c>
      <c r="S946" s="154" t="str">
        <f t="shared" si="330"/>
        <v>Bendiák Dojo</v>
      </c>
      <c r="T946" s="154" t="s">
        <v>645</v>
      </c>
      <c r="U946" s="154" t="s">
        <v>798</v>
      </c>
      <c r="V946" s="154"/>
    </row>
    <row r="947" spans="1:22" s="158" customFormat="1" x14ac:dyDescent="0.3">
      <c r="A947" s="154" t="s">
        <v>777</v>
      </c>
      <c r="B947" s="155" t="s">
        <v>154</v>
      </c>
      <c r="C947" s="154">
        <v>865</v>
      </c>
      <c r="D947" s="156" t="str">
        <f t="shared" si="338"/>
        <v>Kata</v>
      </c>
      <c r="E947" s="156" t="str">
        <f t="shared" si="339"/>
        <v>Kata, -, 0-160 kg, Ifjúsági (15-16</v>
      </c>
      <c r="F947" s="156" t="s">
        <v>548</v>
      </c>
      <c r="G947" s="157" t="str">
        <f t="shared" si="340"/>
        <v>13</v>
      </c>
      <c r="H947" s="156" t="str">
        <f t="shared" si="341"/>
        <v>16 fős egyenes kiesés + 3. hely</v>
      </c>
      <c r="I947" s="157" t="str">
        <f>"11-16"</f>
        <v>11-16</v>
      </c>
      <c r="J947" s="156" t="str">
        <f>"Lukács Filip"</f>
        <v>Lukács Filip</v>
      </c>
      <c r="K947" s="156" t="str">
        <f>"BHMSE"</f>
        <v>BHMSE</v>
      </c>
      <c r="L947" s="156" t="str">
        <f t="shared" si="328"/>
        <v>HUN</v>
      </c>
      <c r="M947" s="163">
        <v>0</v>
      </c>
      <c r="N947" s="158" t="s">
        <v>813</v>
      </c>
      <c r="O947" s="154" t="s">
        <v>410</v>
      </c>
      <c r="P947" s="159">
        <v>46103</v>
      </c>
      <c r="Q947" s="154" t="str">
        <f t="shared" si="329"/>
        <v>Lukács Filip - BHMSE</v>
      </c>
      <c r="R947" s="154" t="s">
        <v>636</v>
      </c>
      <c r="S947" s="154" t="str">
        <f t="shared" si="330"/>
        <v>BHMSE</v>
      </c>
      <c r="T947" s="154" t="s">
        <v>645</v>
      </c>
      <c r="U947" s="154" t="s">
        <v>798</v>
      </c>
      <c r="V947" s="154"/>
    </row>
    <row r="948" spans="1:22" s="158" customFormat="1" x14ac:dyDescent="0.3">
      <c r="A948" s="154" t="s">
        <v>777</v>
      </c>
      <c r="B948" s="155" t="s">
        <v>154</v>
      </c>
      <c r="C948" s="154">
        <v>866</v>
      </c>
      <c r="D948" s="156" t="str">
        <f t="shared" si="338"/>
        <v>Kata</v>
      </c>
      <c r="E948" s="156" t="str">
        <f t="shared" si="339"/>
        <v>Kata, -, 0-160 kg, Ifjúsági (15-16</v>
      </c>
      <c r="F948" s="156" t="s">
        <v>548</v>
      </c>
      <c r="G948" s="157" t="str">
        <f t="shared" si="340"/>
        <v>13</v>
      </c>
      <c r="H948" s="156" t="str">
        <f t="shared" si="341"/>
        <v>16 fős egyenes kiesés + 3. hely</v>
      </c>
      <c r="I948" s="157" t="str">
        <f>"11-16"</f>
        <v>11-16</v>
      </c>
      <c r="J948" s="156" t="str">
        <f>"Baranyai Áron"</f>
        <v>Baranyai Áron</v>
      </c>
      <c r="K948" s="156" t="str">
        <f>"BHMSE"</f>
        <v>BHMSE</v>
      </c>
      <c r="L948" s="156" t="str">
        <f t="shared" si="328"/>
        <v>HUN</v>
      </c>
      <c r="M948" s="163">
        <v>0</v>
      </c>
      <c r="N948" s="158" t="s">
        <v>813</v>
      </c>
      <c r="O948" s="154" t="s">
        <v>410</v>
      </c>
      <c r="P948" s="159">
        <v>46103</v>
      </c>
      <c r="Q948" s="154" t="str">
        <f t="shared" si="329"/>
        <v>Baranyai Áron - BHMSE</v>
      </c>
      <c r="R948" s="154" t="s">
        <v>636</v>
      </c>
      <c r="S948" s="154" t="str">
        <f t="shared" si="330"/>
        <v>BHMSE</v>
      </c>
      <c r="T948" s="154" t="s">
        <v>645</v>
      </c>
      <c r="U948" s="154" t="s">
        <v>798</v>
      </c>
      <c r="V948" s="154"/>
    </row>
    <row r="949" spans="1:22" s="158" customFormat="1" x14ac:dyDescent="0.3">
      <c r="A949" s="154" t="s">
        <v>777</v>
      </c>
      <c r="B949" s="155" t="s">
        <v>154</v>
      </c>
      <c r="C949" s="154">
        <v>867</v>
      </c>
      <c r="D949" s="156" t="str">
        <f t="shared" si="338"/>
        <v>Kata</v>
      </c>
      <c r="E949" s="156" t="str">
        <f t="shared" si="339"/>
        <v>Kata, -, 0-160 kg, Ifjúsági (15-16</v>
      </c>
      <c r="F949" s="156" t="s">
        <v>548</v>
      </c>
      <c r="G949" s="157" t="str">
        <f t="shared" si="340"/>
        <v>13</v>
      </c>
      <c r="H949" s="156" t="str">
        <f t="shared" si="341"/>
        <v>16 fős egyenes kiesés + 3. hely</v>
      </c>
      <c r="I949" s="157" t="str">
        <f>"11-16"</f>
        <v>11-16</v>
      </c>
      <c r="J949" s="156" t="str">
        <f>"Gyarmati Viktor"</f>
        <v>Gyarmati Viktor</v>
      </c>
      <c r="K949" s="156" t="str">
        <f>"BHMSE"</f>
        <v>BHMSE</v>
      </c>
      <c r="L949" s="156" t="str">
        <f t="shared" si="328"/>
        <v>HUN</v>
      </c>
      <c r="M949" s="163">
        <v>0</v>
      </c>
      <c r="N949" s="158" t="s">
        <v>813</v>
      </c>
      <c r="O949" s="154" t="s">
        <v>410</v>
      </c>
      <c r="P949" s="159">
        <v>46103</v>
      </c>
      <c r="Q949" s="154" t="str">
        <f t="shared" si="329"/>
        <v>Gyarmati Viktor - BHMSE</v>
      </c>
      <c r="R949" s="154" t="s">
        <v>636</v>
      </c>
      <c r="S949" s="154" t="str">
        <f t="shared" si="330"/>
        <v>BHMSE</v>
      </c>
      <c r="T949" s="154" t="s">
        <v>645</v>
      </c>
      <c r="U949" s="154" t="s">
        <v>798</v>
      </c>
      <c r="V949" s="154"/>
    </row>
    <row r="950" spans="1:22" s="158" customFormat="1" x14ac:dyDescent="0.3">
      <c r="A950" s="154" t="s">
        <v>777</v>
      </c>
      <c r="B950" s="155" t="s">
        <v>154</v>
      </c>
      <c r="C950" s="154">
        <v>868</v>
      </c>
      <c r="D950" s="156" t="str">
        <f t="shared" si="338"/>
        <v>Kata</v>
      </c>
      <c r="E950" s="156" t="str">
        <f t="shared" si="339"/>
        <v>Kata, -, 0-160 kg, Ifjúsági (15-16</v>
      </c>
      <c r="F950" s="156" t="s">
        <v>548</v>
      </c>
      <c r="G950" s="157" t="str">
        <f t="shared" si="340"/>
        <v>13</v>
      </c>
      <c r="H950" s="156" t="str">
        <f t="shared" si="341"/>
        <v>16 fős egyenes kiesés + 3. hely</v>
      </c>
      <c r="I950" s="157" t="str">
        <f>"11-16"</f>
        <v>11-16</v>
      </c>
      <c r="J950" s="156" t="str">
        <f>"Varga Bálint Norbert"</f>
        <v>Varga Bálint Norbert</v>
      </c>
      <c r="K950" s="156" t="str">
        <f>"ARSC"</f>
        <v>ARSC</v>
      </c>
      <c r="L950" s="156" t="str">
        <f t="shared" si="328"/>
        <v>HUN</v>
      </c>
      <c r="M950" s="163">
        <v>0</v>
      </c>
      <c r="N950" s="158" t="s">
        <v>813</v>
      </c>
      <c r="O950" s="154" t="s">
        <v>410</v>
      </c>
      <c r="P950" s="159">
        <v>46103</v>
      </c>
      <c r="Q950" s="154" t="str">
        <f t="shared" si="329"/>
        <v>Varga Bálint Norbert - ARSC</v>
      </c>
      <c r="R950" s="154" t="s">
        <v>636</v>
      </c>
      <c r="S950" s="154" t="str">
        <f t="shared" si="330"/>
        <v>ARSC</v>
      </c>
      <c r="T950" s="154" t="s">
        <v>645</v>
      </c>
      <c r="U950" s="154" t="s">
        <v>798</v>
      </c>
      <c r="V950" s="154"/>
    </row>
    <row r="951" spans="1:22" s="158" customFormat="1" x14ac:dyDescent="0.3">
      <c r="A951" s="154" t="s">
        <v>777</v>
      </c>
      <c r="B951" s="155" t="s">
        <v>154</v>
      </c>
      <c r="C951" s="154">
        <v>869</v>
      </c>
      <c r="D951" s="156" t="str">
        <f t="shared" si="338"/>
        <v>Kata</v>
      </c>
      <c r="E951" s="156" t="str">
        <f t="shared" si="339"/>
        <v>Kata, -, 0-160 kg, Ifjúsági (15-16</v>
      </c>
      <c r="F951" s="156" t="s">
        <v>548</v>
      </c>
      <c r="G951" s="157" t="str">
        <f t="shared" si="340"/>
        <v>13</v>
      </c>
      <c r="H951" s="156" t="str">
        <f t="shared" si="341"/>
        <v>16 fős egyenes kiesés + 3. hely</v>
      </c>
      <c r="I951" s="157" t="str">
        <f>"11-16"</f>
        <v>11-16</v>
      </c>
      <c r="J951" s="156" t="str">
        <f>"Banka Boldizsár"</f>
        <v>Banka Boldizsár</v>
      </c>
      <c r="K951" s="156" t="str">
        <f>"KYO Fighter SE"</f>
        <v>KYO Fighter SE</v>
      </c>
      <c r="L951" s="156" t="str">
        <f t="shared" si="328"/>
        <v>HUN</v>
      </c>
      <c r="M951" s="163">
        <v>0</v>
      </c>
      <c r="N951" s="158" t="s">
        <v>813</v>
      </c>
      <c r="O951" s="154" t="s">
        <v>410</v>
      </c>
      <c r="P951" s="159">
        <v>46103</v>
      </c>
      <c r="Q951" s="154" t="str">
        <f t="shared" si="329"/>
        <v>Banka Boldizsár - KYO Fighter SE</v>
      </c>
      <c r="R951" s="154" t="s">
        <v>636</v>
      </c>
      <c r="S951" s="154" t="str">
        <f t="shared" si="330"/>
        <v>KYO Fighter SE</v>
      </c>
      <c r="T951" s="154" t="s">
        <v>645</v>
      </c>
      <c r="U951" s="154" t="s">
        <v>798</v>
      </c>
      <c r="V951" s="154"/>
    </row>
    <row r="952" spans="1:22" s="158" customFormat="1" x14ac:dyDescent="0.3">
      <c r="A952" s="154" t="s">
        <v>777</v>
      </c>
      <c r="B952" s="155" t="s">
        <v>154</v>
      </c>
      <c r="C952" s="154">
        <v>870</v>
      </c>
      <c r="D952" s="156" t="str">
        <f t="shared" ref="D952:D978" si="342">"Kumite"</f>
        <v>Kumite</v>
      </c>
      <c r="E952" s="156" t="str">
        <f>"Kumite, -, 0-50 kg, Ifjúsági (15-16"</f>
        <v>Kumite, -, 0-50 kg, Ifjúsági (15-16</v>
      </c>
      <c r="F952" s="156" t="s">
        <v>546</v>
      </c>
      <c r="G952" s="157" t="str">
        <f>"5"</f>
        <v>5</v>
      </c>
      <c r="H952" s="156" t="str">
        <f>"5 fős körmérkőzés"</f>
        <v>5 fős körmérkőzés</v>
      </c>
      <c r="I952" s="157" t="str">
        <f>"1"</f>
        <v>1</v>
      </c>
      <c r="J952" s="156" t="str">
        <f>"Böcskey Emese "</f>
        <v xml:space="preserve">Böcskey Emese </v>
      </c>
      <c r="K952" s="156" t="str">
        <f>"Nagy Sándor Dojo"</f>
        <v>Nagy Sándor Dojo</v>
      </c>
      <c r="L952" s="156" t="str">
        <f t="shared" si="328"/>
        <v>HUN</v>
      </c>
      <c r="M952" s="163">
        <v>10</v>
      </c>
      <c r="O952" s="154" t="s">
        <v>410</v>
      </c>
      <c r="P952" s="159">
        <v>46103</v>
      </c>
      <c r="Q952" s="154" t="str">
        <f t="shared" si="329"/>
        <v>Böcskey Emese  - Nagy Sándor Dojo</v>
      </c>
      <c r="R952" s="154" t="s">
        <v>637</v>
      </c>
      <c r="S952" s="154" t="str">
        <f t="shared" si="330"/>
        <v>Nagy Sándor Dojo</v>
      </c>
      <c r="T952" s="154" t="s">
        <v>645</v>
      </c>
      <c r="U952" s="154" t="s">
        <v>798</v>
      </c>
      <c r="V952" s="154"/>
    </row>
    <row r="953" spans="1:22" s="158" customFormat="1" x14ac:dyDescent="0.3">
      <c r="A953" s="154" t="s">
        <v>777</v>
      </c>
      <c r="B953" s="155" t="s">
        <v>154</v>
      </c>
      <c r="C953" s="154">
        <v>871</v>
      </c>
      <c r="D953" s="156" t="str">
        <f t="shared" si="342"/>
        <v>Kumite</v>
      </c>
      <c r="E953" s="156" t="str">
        <f>"Kumite, -, 0-50 kg, Ifjúsági (15-16"</f>
        <v>Kumite, -, 0-50 kg, Ifjúsági (15-16</v>
      </c>
      <c r="F953" s="156" t="s">
        <v>546</v>
      </c>
      <c r="G953" s="157" t="str">
        <f>"5"</f>
        <v>5</v>
      </c>
      <c r="H953" s="156" t="str">
        <f>"5 fős körmérkőzés"</f>
        <v>5 fős körmérkőzés</v>
      </c>
      <c r="I953" s="157" t="str">
        <f>"2"</f>
        <v>2</v>
      </c>
      <c r="J953" s="156" t="str">
        <f>"Sülyi Luca"</f>
        <v>Sülyi Luca</v>
      </c>
      <c r="K953" s="156" t="str">
        <f>"Főnix Dojo"</f>
        <v>Főnix Dojo</v>
      </c>
      <c r="L953" s="156" t="str">
        <f t="shared" si="328"/>
        <v>HUN</v>
      </c>
      <c r="M953" s="163">
        <v>8</v>
      </c>
      <c r="O953" s="154" t="s">
        <v>410</v>
      </c>
      <c r="P953" s="159">
        <v>46103</v>
      </c>
      <c r="Q953" s="154" t="str">
        <f t="shared" si="329"/>
        <v>Sülyi Luca - Főnix Dojo</v>
      </c>
      <c r="R953" s="154" t="s">
        <v>636</v>
      </c>
      <c r="S953" s="154" t="str">
        <f t="shared" si="330"/>
        <v>Főnix Dojo</v>
      </c>
      <c r="T953" s="154" t="s">
        <v>645</v>
      </c>
      <c r="U953" s="154" t="s">
        <v>798</v>
      </c>
      <c r="V953" s="154"/>
    </row>
    <row r="954" spans="1:22" s="158" customFormat="1" x14ac:dyDescent="0.3">
      <c r="A954" s="154" t="s">
        <v>777</v>
      </c>
      <c r="B954" s="155" t="s">
        <v>154</v>
      </c>
      <c r="C954" s="154">
        <v>872</v>
      </c>
      <c r="D954" s="156" t="str">
        <f t="shared" si="342"/>
        <v>Kumite</v>
      </c>
      <c r="E954" s="156" t="str">
        <f>"Kumite, -, 0-50 kg, Ifjúsági (15-16"</f>
        <v>Kumite, -, 0-50 kg, Ifjúsági (15-16</v>
      </c>
      <c r="F954" s="156" t="s">
        <v>546</v>
      </c>
      <c r="G954" s="157" t="str">
        <f>"5"</f>
        <v>5</v>
      </c>
      <c r="H954" s="156" t="str">
        <f>"5 fős körmérkőzés"</f>
        <v>5 fős körmérkőzés</v>
      </c>
      <c r="I954" s="157" t="str">
        <f>"3"</f>
        <v>3</v>
      </c>
      <c r="J954" s="156" t="str">
        <f>"Aranyosi Nikolett"</f>
        <v>Aranyosi Nikolett</v>
      </c>
      <c r="K954" s="156" t="str">
        <f>"KSE Tarján"</f>
        <v>KSE Tarján</v>
      </c>
      <c r="L954" s="156" t="str">
        <f t="shared" si="328"/>
        <v>HUN</v>
      </c>
      <c r="M954" s="163">
        <v>6</v>
      </c>
      <c r="O954" s="154" t="s">
        <v>410</v>
      </c>
      <c r="P954" s="159">
        <v>46103</v>
      </c>
      <c r="Q954" s="154" t="str">
        <f t="shared" si="329"/>
        <v>Aranyosi Nikolett - KSE Tarján</v>
      </c>
      <c r="R954" s="154" t="s">
        <v>636</v>
      </c>
      <c r="S954" s="154" t="str">
        <f t="shared" si="330"/>
        <v>KSE Tarján</v>
      </c>
      <c r="T954" s="154" t="s">
        <v>645</v>
      </c>
      <c r="U954" s="154" t="s">
        <v>798</v>
      </c>
      <c r="V954" s="154"/>
    </row>
    <row r="955" spans="1:22" s="158" customFormat="1" x14ac:dyDescent="0.3">
      <c r="A955" s="154" t="s">
        <v>777</v>
      </c>
      <c r="B955" s="155" t="s">
        <v>154</v>
      </c>
      <c r="C955" s="154">
        <v>873</v>
      </c>
      <c r="D955" s="156" t="str">
        <f t="shared" si="342"/>
        <v>Kumite</v>
      </c>
      <c r="E955" s="156" t="str">
        <f>"Kumite, -, 0-50 kg, Ifjúsági (15-16"</f>
        <v>Kumite, -, 0-50 kg, Ifjúsági (15-16</v>
      </c>
      <c r="F955" s="156" t="s">
        <v>546</v>
      </c>
      <c r="G955" s="157" t="str">
        <f>"5"</f>
        <v>5</v>
      </c>
      <c r="H955" s="156" t="str">
        <f>"5 fős körmérkőzés"</f>
        <v>5 fős körmérkőzés</v>
      </c>
      <c r="I955" s="157" t="str">
        <f>"4"</f>
        <v>4</v>
      </c>
      <c r="J955" s="156" t="str">
        <f>"Forgács Lili"</f>
        <v>Forgács Lili</v>
      </c>
      <c r="K955" s="156" t="str">
        <f>"Borza Dojo"</f>
        <v>Borza Dojo</v>
      </c>
      <c r="L955" s="156" t="str">
        <f t="shared" si="328"/>
        <v>HUN</v>
      </c>
      <c r="M955" s="163">
        <v>4</v>
      </c>
      <c r="O955" s="154" t="s">
        <v>410</v>
      </c>
      <c r="P955" s="159">
        <v>46103</v>
      </c>
      <c r="Q955" s="154" t="str">
        <f t="shared" si="329"/>
        <v>Forgács Lili - Borza Dojo</v>
      </c>
      <c r="R955" s="154" t="s">
        <v>637</v>
      </c>
      <c r="S955" s="154" t="str">
        <f t="shared" si="330"/>
        <v>Borza Dojo</v>
      </c>
      <c r="T955" s="154" t="s">
        <v>645</v>
      </c>
      <c r="U955" s="154" t="s">
        <v>798</v>
      </c>
      <c r="V955" s="154"/>
    </row>
    <row r="956" spans="1:22" s="158" customFormat="1" x14ac:dyDescent="0.3">
      <c r="A956" s="154" t="s">
        <v>777</v>
      </c>
      <c r="B956" s="155" t="s">
        <v>154</v>
      </c>
      <c r="C956" s="154">
        <v>874</v>
      </c>
      <c r="D956" s="156" t="str">
        <f t="shared" si="342"/>
        <v>Kumite</v>
      </c>
      <c r="E956" s="156" t="str">
        <f>"Kumite, -, 0-50 kg, Ifjúsági (15-16"</f>
        <v>Kumite, -, 0-50 kg, Ifjúsági (15-16</v>
      </c>
      <c r="F956" s="156" t="s">
        <v>546</v>
      </c>
      <c r="G956" s="157" t="str">
        <f>"5"</f>
        <v>5</v>
      </c>
      <c r="H956" s="156" t="str">
        <f>"5 fős körmérkőzés"</f>
        <v>5 fős körmérkőzés</v>
      </c>
      <c r="I956" s="157" t="str">
        <f>"5"</f>
        <v>5</v>
      </c>
      <c r="J956" s="156" t="str">
        <f>"Szabó Hanna"</f>
        <v>Szabó Hanna</v>
      </c>
      <c r="K956" s="156" t="str">
        <f>"Hajdúszoboszló"</f>
        <v>Hajdúszoboszló</v>
      </c>
      <c r="L956" s="156" t="str">
        <f t="shared" si="328"/>
        <v>HUN</v>
      </c>
      <c r="M956" s="163">
        <v>0</v>
      </c>
      <c r="O956" s="154" t="s">
        <v>410</v>
      </c>
      <c r="P956" s="159">
        <v>46103</v>
      </c>
      <c r="Q956" s="154" t="str">
        <f t="shared" si="329"/>
        <v>Szabó Hanna - Hajdúszoboszló</v>
      </c>
      <c r="R956" s="154" t="s">
        <v>636</v>
      </c>
      <c r="S956" s="154" t="str">
        <f t="shared" si="330"/>
        <v>Hajdúszoboszló</v>
      </c>
      <c r="T956" s="154" t="s">
        <v>645</v>
      </c>
      <c r="U956" s="154" t="s">
        <v>798</v>
      </c>
      <c r="V956" s="154"/>
    </row>
    <row r="957" spans="1:22" s="158" customFormat="1" x14ac:dyDescent="0.3">
      <c r="A957" s="154" t="s">
        <v>777</v>
      </c>
      <c r="B957" s="155" t="s">
        <v>154</v>
      </c>
      <c r="C957" s="154">
        <v>875</v>
      </c>
      <c r="D957" s="156" t="str">
        <f t="shared" si="342"/>
        <v>Kumite</v>
      </c>
      <c r="E957" s="156" t="str">
        <f t="shared" ref="E957:E962" si="343">"Kumite, -, 50-55 kg, Ifjúsági (15-16"</f>
        <v>Kumite, -, 50-55 kg, Ifjúsági (15-16</v>
      </c>
      <c r="F957" s="156" t="s">
        <v>550</v>
      </c>
      <c r="G957" s="157" t="str">
        <f t="shared" ref="G957:G968" si="344">"6"</f>
        <v>6</v>
      </c>
      <c r="H957" s="156" t="str">
        <f t="shared" ref="H957:H968" si="345">"6 fős vegyes"</f>
        <v>6 fős vegyes</v>
      </c>
      <c r="I957" s="157" t="str">
        <f>"1"</f>
        <v>1</v>
      </c>
      <c r="J957" s="156" t="str">
        <f>"Furó Liliána"</f>
        <v>Furó Liliána</v>
      </c>
      <c r="K957" s="156" t="str">
        <f>"KHSE"</f>
        <v>KHSE</v>
      </c>
      <c r="L957" s="156" t="str">
        <f t="shared" si="328"/>
        <v>HUN</v>
      </c>
      <c r="M957" s="163">
        <v>8</v>
      </c>
      <c r="O957" s="154" t="s">
        <v>410</v>
      </c>
      <c r="P957" s="159">
        <v>46103</v>
      </c>
      <c r="Q957" s="154" t="str">
        <f t="shared" si="329"/>
        <v>Furó Liliána - KHSE</v>
      </c>
      <c r="R957" s="154" t="s">
        <v>636</v>
      </c>
      <c r="S957" s="154" t="str">
        <f t="shared" si="330"/>
        <v>KHSE</v>
      </c>
      <c r="T957" s="154" t="s">
        <v>645</v>
      </c>
      <c r="U957" s="154" t="s">
        <v>798</v>
      </c>
      <c r="V957" s="154"/>
    </row>
    <row r="958" spans="1:22" s="158" customFormat="1" x14ac:dyDescent="0.3">
      <c r="A958" s="154" t="s">
        <v>777</v>
      </c>
      <c r="B958" s="155" t="s">
        <v>154</v>
      </c>
      <c r="C958" s="154">
        <v>876</v>
      </c>
      <c r="D958" s="156" t="str">
        <f t="shared" si="342"/>
        <v>Kumite</v>
      </c>
      <c r="E958" s="156" t="str">
        <f t="shared" si="343"/>
        <v>Kumite, -, 50-55 kg, Ifjúsági (15-16</v>
      </c>
      <c r="F958" s="156" t="s">
        <v>550</v>
      </c>
      <c r="G958" s="157" t="str">
        <f t="shared" si="344"/>
        <v>6</v>
      </c>
      <c r="H958" s="156" t="str">
        <f t="shared" si="345"/>
        <v>6 fős vegyes</v>
      </c>
      <c r="I958" s="157" t="str">
        <f>"2"</f>
        <v>2</v>
      </c>
      <c r="J958" s="156" t="str">
        <f>"Kiss Boglárka"</f>
        <v>Kiss Boglárka</v>
      </c>
      <c r="K958" s="156" t="str">
        <f>"Derecske BUDO"</f>
        <v>Derecske BUDO</v>
      </c>
      <c r="L958" s="156" t="str">
        <f t="shared" si="328"/>
        <v>HUN</v>
      </c>
      <c r="M958" s="163">
        <v>6</v>
      </c>
      <c r="O958" s="154" t="s">
        <v>410</v>
      </c>
      <c r="P958" s="159">
        <v>46103</v>
      </c>
      <c r="Q958" s="154" t="str">
        <f t="shared" si="329"/>
        <v>Kiss Boglárka - Derecske BUDO</v>
      </c>
      <c r="R958" s="154" t="s">
        <v>636</v>
      </c>
      <c r="S958" s="154" t="str">
        <f t="shared" si="330"/>
        <v>Derecske BUDO</v>
      </c>
      <c r="T958" s="154" t="s">
        <v>645</v>
      </c>
      <c r="U958" s="154" t="s">
        <v>798</v>
      </c>
      <c r="V958" s="154"/>
    </row>
    <row r="959" spans="1:22" s="158" customFormat="1" x14ac:dyDescent="0.3">
      <c r="A959" s="154" t="s">
        <v>777</v>
      </c>
      <c r="B959" s="155" t="s">
        <v>154</v>
      </c>
      <c r="C959" s="154">
        <v>877</v>
      </c>
      <c r="D959" s="156" t="str">
        <f t="shared" si="342"/>
        <v>Kumite</v>
      </c>
      <c r="E959" s="156" t="str">
        <f t="shared" si="343"/>
        <v>Kumite, -, 50-55 kg, Ifjúsági (15-16</v>
      </c>
      <c r="F959" s="156" t="s">
        <v>550</v>
      </c>
      <c r="G959" s="157" t="str">
        <f t="shared" si="344"/>
        <v>6</v>
      </c>
      <c r="H959" s="156" t="str">
        <f t="shared" si="345"/>
        <v>6 fős vegyes</v>
      </c>
      <c r="I959" s="157" t="str">
        <f>"3"</f>
        <v>3</v>
      </c>
      <c r="J959" s="156" t="str">
        <f>"Serfőző Lia Zoé"</f>
        <v>Serfőző Lia Zoé</v>
      </c>
      <c r="K959" s="156" t="str">
        <f>"Castrum"</f>
        <v>Castrum</v>
      </c>
      <c r="L959" s="156" t="str">
        <f t="shared" si="328"/>
        <v>HUN</v>
      </c>
      <c r="M959" s="163">
        <v>4</v>
      </c>
      <c r="O959" s="154" t="s">
        <v>410</v>
      </c>
      <c r="P959" s="159">
        <v>46103</v>
      </c>
      <c r="Q959" s="154" t="str">
        <f t="shared" si="329"/>
        <v>Serfőző Lia Zoé - Castrum</v>
      </c>
      <c r="R959" s="154" t="s">
        <v>636</v>
      </c>
      <c r="S959" s="154" t="str">
        <f t="shared" si="330"/>
        <v>Castrum</v>
      </c>
      <c r="T959" s="154" t="s">
        <v>645</v>
      </c>
      <c r="U959" s="154" t="s">
        <v>798</v>
      </c>
      <c r="V959" s="154"/>
    </row>
    <row r="960" spans="1:22" s="158" customFormat="1" x14ac:dyDescent="0.3">
      <c r="A960" s="154" t="s">
        <v>777</v>
      </c>
      <c r="B960" s="155" t="s">
        <v>154</v>
      </c>
      <c r="C960" s="154">
        <v>878</v>
      </c>
      <c r="D960" s="156" t="str">
        <f t="shared" si="342"/>
        <v>Kumite</v>
      </c>
      <c r="E960" s="156" t="str">
        <f t="shared" si="343"/>
        <v>Kumite, -, 50-55 kg, Ifjúsági (15-16</v>
      </c>
      <c r="F960" s="156" t="s">
        <v>550</v>
      </c>
      <c r="G960" s="157" t="str">
        <f t="shared" si="344"/>
        <v>6</v>
      </c>
      <c r="H960" s="156" t="str">
        <f t="shared" si="345"/>
        <v>6 fős vegyes</v>
      </c>
      <c r="I960" s="157" t="str">
        <f>"4"</f>
        <v>4</v>
      </c>
      <c r="J960" s="156" t="str">
        <f>"Ható Amanda"</f>
        <v>Ható Amanda</v>
      </c>
      <c r="K960" s="156" t="str">
        <f>"Rakurai"</f>
        <v>Rakurai</v>
      </c>
      <c r="L960" s="156" t="str">
        <f t="shared" si="328"/>
        <v>HUN</v>
      </c>
      <c r="M960" s="163">
        <v>0</v>
      </c>
      <c r="O960" s="154" t="s">
        <v>410</v>
      </c>
      <c r="P960" s="159">
        <v>46103</v>
      </c>
      <c r="Q960" s="154" t="str">
        <f t="shared" si="329"/>
        <v>Ható Amanda - Rakurai</v>
      </c>
      <c r="R960" s="154" t="s">
        <v>636</v>
      </c>
      <c r="S960" s="154" t="str">
        <f t="shared" si="330"/>
        <v>Rakurai</v>
      </c>
      <c r="T960" s="154" t="s">
        <v>645</v>
      </c>
      <c r="U960" s="154" t="s">
        <v>798</v>
      </c>
      <c r="V960" s="154"/>
    </row>
    <row r="961" spans="1:22" s="158" customFormat="1" x14ac:dyDescent="0.3">
      <c r="A961" s="154" t="s">
        <v>777</v>
      </c>
      <c r="B961" s="155" t="s">
        <v>154</v>
      </c>
      <c r="C961" s="154">
        <v>879</v>
      </c>
      <c r="D961" s="156" t="str">
        <f t="shared" si="342"/>
        <v>Kumite</v>
      </c>
      <c r="E961" s="156" t="str">
        <f t="shared" si="343"/>
        <v>Kumite, -, 50-55 kg, Ifjúsági (15-16</v>
      </c>
      <c r="F961" s="156" t="s">
        <v>550</v>
      </c>
      <c r="G961" s="157" t="str">
        <f t="shared" si="344"/>
        <v>6</v>
      </c>
      <c r="H961" s="156" t="str">
        <f t="shared" si="345"/>
        <v>6 fős vegyes</v>
      </c>
      <c r="I961" s="157" t="str">
        <f>"5"</f>
        <v>5</v>
      </c>
      <c r="J961" s="156" t="str">
        <f>"Bognár Judit"</f>
        <v>Bognár Judit</v>
      </c>
      <c r="K961" s="156" t="str">
        <f>"Castrum"</f>
        <v>Castrum</v>
      </c>
      <c r="L961" s="156" t="str">
        <f t="shared" si="328"/>
        <v>HUN</v>
      </c>
      <c r="M961" s="163">
        <v>0</v>
      </c>
      <c r="O961" s="154" t="s">
        <v>410</v>
      </c>
      <c r="P961" s="159">
        <v>46103</v>
      </c>
      <c r="Q961" s="154" t="str">
        <f t="shared" si="329"/>
        <v>Bognár Judit - Castrum</v>
      </c>
      <c r="R961" s="154" t="s">
        <v>636</v>
      </c>
      <c r="S961" s="154" t="str">
        <f t="shared" si="330"/>
        <v>Castrum</v>
      </c>
      <c r="T961" s="154" t="s">
        <v>645</v>
      </c>
      <c r="U961" s="154" t="s">
        <v>798</v>
      </c>
      <c r="V961" s="154"/>
    </row>
    <row r="962" spans="1:22" s="158" customFormat="1" x14ac:dyDescent="0.3">
      <c r="A962" s="154" t="s">
        <v>777</v>
      </c>
      <c r="B962" s="155" t="s">
        <v>154</v>
      </c>
      <c r="C962" s="154">
        <v>880</v>
      </c>
      <c r="D962" s="156" t="str">
        <f t="shared" si="342"/>
        <v>Kumite</v>
      </c>
      <c r="E962" s="156" t="str">
        <f t="shared" si="343"/>
        <v>Kumite, -, 50-55 kg, Ifjúsági (15-16</v>
      </c>
      <c r="F962" s="156" t="s">
        <v>550</v>
      </c>
      <c r="G962" s="157" t="str">
        <f t="shared" si="344"/>
        <v>6</v>
      </c>
      <c r="H962" s="156" t="str">
        <f t="shared" si="345"/>
        <v>6 fős vegyes</v>
      </c>
      <c r="I962" s="157" t="str">
        <f>"6"</f>
        <v>6</v>
      </c>
      <c r="J962" s="156" t="str">
        <f>"Karap Anna"</f>
        <v>Karap Anna</v>
      </c>
      <c r="K962" s="156" t="str">
        <f>"Shogun"</f>
        <v>Shogun</v>
      </c>
      <c r="L962" s="156" t="str">
        <f t="shared" si="328"/>
        <v>HUN</v>
      </c>
      <c r="M962" s="163">
        <v>0</v>
      </c>
      <c r="O962" s="154" t="s">
        <v>410</v>
      </c>
      <c r="P962" s="159">
        <v>46103</v>
      </c>
      <c r="Q962" s="154" t="str">
        <f t="shared" si="329"/>
        <v>Karap Anna - Shogun</v>
      </c>
      <c r="R962" s="154" t="s">
        <v>636</v>
      </c>
      <c r="S962" s="154" t="str">
        <f t="shared" si="330"/>
        <v>Shogun</v>
      </c>
      <c r="T962" s="154" t="s">
        <v>645</v>
      </c>
      <c r="U962" s="154" t="s">
        <v>798</v>
      </c>
      <c r="V962" s="154"/>
    </row>
    <row r="963" spans="1:22" s="158" customFormat="1" x14ac:dyDescent="0.3">
      <c r="A963" s="154" t="s">
        <v>777</v>
      </c>
      <c r="B963" s="155" t="s">
        <v>154</v>
      </c>
      <c r="C963" s="154">
        <v>881</v>
      </c>
      <c r="D963" s="156" t="str">
        <f t="shared" si="342"/>
        <v>Kumite</v>
      </c>
      <c r="E963" s="156" t="str">
        <f t="shared" ref="E963:E968" si="346">"Kumite, -, 55-60 kg, Ifjúsági (15-16"</f>
        <v>Kumite, -, 55-60 kg, Ifjúsági (15-16</v>
      </c>
      <c r="F963" s="156" t="s">
        <v>551</v>
      </c>
      <c r="G963" s="157" t="str">
        <f t="shared" si="344"/>
        <v>6</v>
      </c>
      <c r="H963" s="156" t="str">
        <f t="shared" si="345"/>
        <v>6 fős vegyes</v>
      </c>
      <c r="I963" s="157" t="str">
        <f>"1"</f>
        <v>1</v>
      </c>
      <c r="J963" s="156" t="str">
        <f>"Zsin Zsófia"</f>
        <v>Zsin Zsófia</v>
      </c>
      <c r="K963" s="156" t="str">
        <f>"BHMSE"</f>
        <v>BHMSE</v>
      </c>
      <c r="L963" s="156" t="str">
        <f t="shared" si="328"/>
        <v>HUN</v>
      </c>
      <c r="M963" s="163">
        <v>8</v>
      </c>
      <c r="O963" s="154" t="s">
        <v>410</v>
      </c>
      <c r="P963" s="159">
        <v>46103</v>
      </c>
      <c r="Q963" s="154" t="str">
        <f t="shared" si="329"/>
        <v>Zsin Zsófia - BHMSE</v>
      </c>
      <c r="R963" s="154" t="s">
        <v>636</v>
      </c>
      <c r="S963" s="154" t="str">
        <f t="shared" si="330"/>
        <v>BHMSE</v>
      </c>
      <c r="T963" s="154" t="s">
        <v>645</v>
      </c>
      <c r="U963" s="154" t="s">
        <v>798</v>
      </c>
      <c r="V963" s="154"/>
    </row>
    <row r="964" spans="1:22" s="158" customFormat="1" x14ac:dyDescent="0.3">
      <c r="A964" s="154" t="s">
        <v>777</v>
      </c>
      <c r="B964" s="155" t="s">
        <v>154</v>
      </c>
      <c r="C964" s="154">
        <v>882</v>
      </c>
      <c r="D964" s="156" t="str">
        <f t="shared" si="342"/>
        <v>Kumite</v>
      </c>
      <c r="E964" s="156" t="str">
        <f t="shared" si="346"/>
        <v>Kumite, -, 55-60 kg, Ifjúsági (15-16</v>
      </c>
      <c r="F964" s="156" t="s">
        <v>551</v>
      </c>
      <c r="G964" s="157" t="str">
        <f t="shared" si="344"/>
        <v>6</v>
      </c>
      <c r="H964" s="156" t="str">
        <f t="shared" si="345"/>
        <v>6 fős vegyes</v>
      </c>
      <c r="I964" s="157" t="str">
        <f>"2"</f>
        <v>2</v>
      </c>
      <c r="J964" s="156" t="str">
        <f>"Demeter Zsófia"</f>
        <v>Demeter Zsófia</v>
      </c>
      <c r="K964" s="156" t="str">
        <f>"WARRIORS TEAM"</f>
        <v>WARRIORS TEAM</v>
      </c>
      <c r="L964" s="156" t="str">
        <f t="shared" ref="L964:L1030" si="347">"HUN"</f>
        <v>HUN</v>
      </c>
      <c r="M964" s="163">
        <v>6</v>
      </c>
      <c r="O964" s="154" t="s">
        <v>410</v>
      </c>
      <c r="P964" s="159">
        <v>46103</v>
      </c>
      <c r="Q964" s="154" t="str">
        <f t="shared" ref="Q964:Q1030" si="348">J964&amp;" - "&amp;K964</f>
        <v>Demeter Zsófia - WARRIORS TEAM</v>
      </c>
      <c r="R964" s="154" t="s">
        <v>636</v>
      </c>
      <c r="S964" s="154" t="str">
        <f t="shared" ref="S964:S1030" si="349">K964</f>
        <v>WARRIORS TEAM</v>
      </c>
      <c r="T964" s="154" t="s">
        <v>645</v>
      </c>
      <c r="U964" s="154" t="s">
        <v>798</v>
      </c>
      <c r="V964" s="154"/>
    </row>
    <row r="965" spans="1:22" s="158" customFormat="1" x14ac:dyDescent="0.3">
      <c r="A965" s="154" t="s">
        <v>777</v>
      </c>
      <c r="B965" s="155" t="s">
        <v>154</v>
      </c>
      <c r="C965" s="154">
        <v>883</v>
      </c>
      <c r="D965" s="156" t="str">
        <f t="shared" si="342"/>
        <v>Kumite</v>
      </c>
      <c r="E965" s="156" t="str">
        <f t="shared" si="346"/>
        <v>Kumite, -, 55-60 kg, Ifjúsági (15-16</v>
      </c>
      <c r="F965" s="156" t="s">
        <v>551</v>
      </c>
      <c r="G965" s="157" t="str">
        <f t="shared" si="344"/>
        <v>6</v>
      </c>
      <c r="H965" s="156" t="str">
        <f t="shared" si="345"/>
        <v>6 fős vegyes</v>
      </c>
      <c r="I965" s="157" t="str">
        <f>"3"</f>
        <v>3</v>
      </c>
      <c r="J965" s="156" t="str">
        <f>"Lukács Éva"</f>
        <v>Lukács Éva</v>
      </c>
      <c r="K965" s="156" t="str">
        <f>"VTSE"</f>
        <v>VTSE</v>
      </c>
      <c r="L965" s="156" t="str">
        <f t="shared" si="347"/>
        <v>HUN</v>
      </c>
      <c r="M965" s="163">
        <v>4</v>
      </c>
      <c r="O965" s="154" t="s">
        <v>410</v>
      </c>
      <c r="P965" s="159">
        <v>46103</v>
      </c>
      <c r="Q965" s="154" t="str">
        <f t="shared" si="348"/>
        <v>Lukács Éva - VTSE</v>
      </c>
      <c r="R965" s="154" t="s">
        <v>637</v>
      </c>
      <c r="S965" s="154" t="str">
        <f t="shared" si="349"/>
        <v>VTSE</v>
      </c>
      <c r="T965" s="154" t="s">
        <v>645</v>
      </c>
      <c r="U965" s="154" t="s">
        <v>798</v>
      </c>
      <c r="V965" s="154"/>
    </row>
    <row r="966" spans="1:22" s="158" customFormat="1" x14ac:dyDescent="0.3">
      <c r="A966" s="154" t="s">
        <v>777</v>
      </c>
      <c r="B966" s="155" t="s">
        <v>154</v>
      </c>
      <c r="C966" s="154">
        <v>884</v>
      </c>
      <c r="D966" s="156" t="str">
        <f t="shared" si="342"/>
        <v>Kumite</v>
      </c>
      <c r="E966" s="156" t="str">
        <f t="shared" si="346"/>
        <v>Kumite, -, 55-60 kg, Ifjúsági (15-16</v>
      </c>
      <c r="F966" s="156" t="s">
        <v>551</v>
      </c>
      <c r="G966" s="157" t="str">
        <f t="shared" si="344"/>
        <v>6</v>
      </c>
      <c r="H966" s="156" t="str">
        <f t="shared" si="345"/>
        <v>6 fős vegyes</v>
      </c>
      <c r="I966" s="157" t="str">
        <f>"4"</f>
        <v>4</v>
      </c>
      <c r="J966" s="156" t="str">
        <f>"Magyar Viktória"</f>
        <v>Magyar Viktória</v>
      </c>
      <c r="K966" s="156" t="str">
        <f>"KYO Fighter SE"</f>
        <v>KYO Fighter SE</v>
      </c>
      <c r="L966" s="156" t="str">
        <f t="shared" si="347"/>
        <v>HUN</v>
      </c>
      <c r="M966" s="163">
        <v>0</v>
      </c>
      <c r="O966" s="154" t="s">
        <v>410</v>
      </c>
      <c r="P966" s="159">
        <v>46103</v>
      </c>
      <c r="Q966" s="154" t="str">
        <f t="shared" si="348"/>
        <v>Magyar Viktória - KYO Fighter SE</v>
      </c>
      <c r="R966" s="154" t="s">
        <v>636</v>
      </c>
      <c r="S966" s="154" t="str">
        <f t="shared" si="349"/>
        <v>KYO Fighter SE</v>
      </c>
      <c r="T966" s="154" t="s">
        <v>645</v>
      </c>
      <c r="U966" s="154" t="s">
        <v>798</v>
      </c>
      <c r="V966" s="154"/>
    </row>
    <row r="967" spans="1:22" s="158" customFormat="1" x14ac:dyDescent="0.3">
      <c r="A967" s="154" t="s">
        <v>777</v>
      </c>
      <c r="B967" s="155" t="s">
        <v>154</v>
      </c>
      <c r="C967" s="154">
        <v>885</v>
      </c>
      <c r="D967" s="156" t="str">
        <f t="shared" si="342"/>
        <v>Kumite</v>
      </c>
      <c r="E967" s="156" t="str">
        <f t="shared" si="346"/>
        <v>Kumite, -, 55-60 kg, Ifjúsági (15-16</v>
      </c>
      <c r="F967" s="156" t="s">
        <v>551</v>
      </c>
      <c r="G967" s="157" t="str">
        <f t="shared" si="344"/>
        <v>6</v>
      </c>
      <c r="H967" s="156" t="str">
        <f t="shared" si="345"/>
        <v>6 fős vegyes</v>
      </c>
      <c r="I967" s="157" t="str">
        <f>"5"</f>
        <v>5</v>
      </c>
      <c r="J967" s="156" t="str">
        <f>"Hanics Luca"</f>
        <v>Hanics Luca</v>
      </c>
      <c r="K967" s="156" t="str">
        <f>"Főnix Dojo"</f>
        <v>Főnix Dojo</v>
      </c>
      <c r="L967" s="156" t="str">
        <f t="shared" si="347"/>
        <v>HUN</v>
      </c>
      <c r="M967" s="163">
        <v>0</v>
      </c>
      <c r="O967" s="154" t="s">
        <v>410</v>
      </c>
      <c r="P967" s="159">
        <v>46103</v>
      </c>
      <c r="Q967" s="154" t="str">
        <f t="shared" si="348"/>
        <v>Hanics Luca - Főnix Dojo</v>
      </c>
      <c r="R967" s="154" t="s">
        <v>636</v>
      </c>
      <c r="S967" s="154" t="str">
        <f t="shared" si="349"/>
        <v>Főnix Dojo</v>
      </c>
      <c r="T967" s="154" t="s">
        <v>645</v>
      </c>
      <c r="U967" s="154" t="s">
        <v>798</v>
      </c>
      <c r="V967" s="154"/>
    </row>
    <row r="968" spans="1:22" s="158" customFormat="1" x14ac:dyDescent="0.3">
      <c r="A968" s="154" t="s">
        <v>777</v>
      </c>
      <c r="B968" s="155" t="s">
        <v>154</v>
      </c>
      <c r="C968" s="154">
        <v>886</v>
      </c>
      <c r="D968" s="156" t="str">
        <f t="shared" si="342"/>
        <v>Kumite</v>
      </c>
      <c r="E968" s="156" t="str">
        <f t="shared" si="346"/>
        <v>Kumite, -, 55-60 kg, Ifjúsági (15-16</v>
      </c>
      <c r="F968" s="156" t="s">
        <v>551</v>
      </c>
      <c r="G968" s="157" t="str">
        <f t="shared" si="344"/>
        <v>6</v>
      </c>
      <c r="H968" s="156" t="str">
        <f t="shared" si="345"/>
        <v>6 fős vegyes</v>
      </c>
      <c r="I968" s="157" t="str">
        <f>"6"</f>
        <v>6</v>
      </c>
      <c r="J968" s="156" t="str">
        <f>"Timár Alíz"</f>
        <v>Timár Alíz</v>
      </c>
      <c r="K968" s="156" t="str">
        <f>"BHMSE"</f>
        <v>BHMSE</v>
      </c>
      <c r="L968" s="156" t="str">
        <f t="shared" si="347"/>
        <v>HUN</v>
      </c>
      <c r="M968" s="163">
        <v>0</v>
      </c>
      <c r="O968" s="154" t="s">
        <v>410</v>
      </c>
      <c r="P968" s="159">
        <v>46103</v>
      </c>
      <c r="Q968" s="154" t="str">
        <f t="shared" si="348"/>
        <v>Timár Alíz - BHMSE</v>
      </c>
      <c r="R968" s="154" t="s">
        <v>636</v>
      </c>
      <c r="S968" s="154" t="str">
        <f t="shared" si="349"/>
        <v>BHMSE</v>
      </c>
      <c r="T968" s="154" t="s">
        <v>645</v>
      </c>
      <c r="U968" s="154" t="s">
        <v>798</v>
      </c>
      <c r="V968" s="154"/>
    </row>
    <row r="969" spans="1:22" s="158" customFormat="1" x14ac:dyDescent="0.3">
      <c r="A969" s="154" t="s">
        <v>777</v>
      </c>
      <c r="B969" s="155" t="s">
        <v>154</v>
      </c>
      <c r="C969" s="154">
        <v>887</v>
      </c>
      <c r="D969" s="156" t="str">
        <f t="shared" si="342"/>
        <v>Kumite</v>
      </c>
      <c r="E969" s="156" t="str">
        <f>"Kumite, -, 60-65 kg, Ifjúsági (15-16"</f>
        <v>Kumite, -, 60-65 kg, Ifjúsági (15-16</v>
      </c>
      <c r="F969" s="156" t="s">
        <v>552</v>
      </c>
      <c r="G969" s="157" t="str">
        <f t="shared" ref="G969:G978" si="350">"5"</f>
        <v>5</v>
      </c>
      <c r="H969" s="156" t="str">
        <f t="shared" ref="H969:H978" si="351">"5 fős körmérkőzés"</f>
        <v>5 fős körmérkőzés</v>
      </c>
      <c r="I969" s="157" t="str">
        <f>"1"</f>
        <v>1</v>
      </c>
      <c r="J969" s="156" t="str">
        <f>"Pénzes Zsófia"</f>
        <v>Pénzes Zsófia</v>
      </c>
      <c r="K969" s="156" t="str">
        <f>"KHSE"</f>
        <v>KHSE</v>
      </c>
      <c r="L969" s="156" t="str">
        <f t="shared" si="347"/>
        <v>HUN</v>
      </c>
      <c r="M969" s="163">
        <v>10</v>
      </c>
      <c r="O969" s="154" t="s">
        <v>410</v>
      </c>
      <c r="P969" s="159">
        <v>46103</v>
      </c>
      <c r="Q969" s="154" t="str">
        <f t="shared" si="348"/>
        <v>Pénzes Zsófia - KHSE</v>
      </c>
      <c r="R969" s="154" t="s">
        <v>636</v>
      </c>
      <c r="S969" s="154" t="str">
        <f t="shared" si="349"/>
        <v>KHSE</v>
      </c>
      <c r="T969" s="154" t="s">
        <v>645</v>
      </c>
      <c r="U969" s="154" t="s">
        <v>798</v>
      </c>
      <c r="V969" s="154"/>
    </row>
    <row r="970" spans="1:22" s="158" customFormat="1" x14ac:dyDescent="0.3">
      <c r="A970" s="154" t="s">
        <v>777</v>
      </c>
      <c r="B970" s="155" t="s">
        <v>154</v>
      </c>
      <c r="C970" s="154">
        <v>888</v>
      </c>
      <c r="D970" s="156" t="str">
        <f t="shared" si="342"/>
        <v>Kumite</v>
      </c>
      <c r="E970" s="156" t="str">
        <f>"Kumite, -, 60-65 kg, Ifjúsági (15-16"</f>
        <v>Kumite, -, 60-65 kg, Ifjúsági (15-16</v>
      </c>
      <c r="F970" s="156" t="s">
        <v>552</v>
      </c>
      <c r="G970" s="157" t="str">
        <f t="shared" si="350"/>
        <v>5</v>
      </c>
      <c r="H970" s="156" t="str">
        <f t="shared" si="351"/>
        <v>5 fős körmérkőzés</v>
      </c>
      <c r="I970" s="157" t="str">
        <f>"2"</f>
        <v>2</v>
      </c>
      <c r="J970" s="156" t="str">
        <f>"Albert Szilvia Cintia"</f>
        <v>Albert Szilvia Cintia</v>
      </c>
      <c r="K970" s="156" t="str">
        <f>"Derecske BUDO"</f>
        <v>Derecske BUDO</v>
      </c>
      <c r="L970" s="156" t="str">
        <f t="shared" si="347"/>
        <v>HUN</v>
      </c>
      <c r="M970" s="163">
        <v>8</v>
      </c>
      <c r="O970" s="154" t="s">
        <v>410</v>
      </c>
      <c r="P970" s="159">
        <v>46103</v>
      </c>
      <c r="Q970" s="154" t="str">
        <f t="shared" si="348"/>
        <v>Albert Szilvia Cintia - Derecske BUDO</v>
      </c>
      <c r="R970" s="154" t="s">
        <v>636</v>
      </c>
      <c r="S970" s="154" t="str">
        <f t="shared" si="349"/>
        <v>Derecske BUDO</v>
      </c>
      <c r="T970" s="154" t="s">
        <v>645</v>
      </c>
      <c r="U970" s="154" t="s">
        <v>798</v>
      </c>
      <c r="V970" s="154"/>
    </row>
    <row r="971" spans="1:22" s="158" customFormat="1" x14ac:dyDescent="0.3">
      <c r="A971" s="154" t="s">
        <v>777</v>
      </c>
      <c r="B971" s="155" t="s">
        <v>154</v>
      </c>
      <c r="C971" s="154">
        <v>889</v>
      </c>
      <c r="D971" s="156" t="str">
        <f t="shared" si="342"/>
        <v>Kumite</v>
      </c>
      <c r="E971" s="156" t="str">
        <f>"Kumite, -, 60-65 kg, Ifjúsági (15-16"</f>
        <v>Kumite, -, 60-65 kg, Ifjúsági (15-16</v>
      </c>
      <c r="F971" s="156" t="s">
        <v>552</v>
      </c>
      <c r="G971" s="157" t="str">
        <f t="shared" si="350"/>
        <v>5</v>
      </c>
      <c r="H971" s="156" t="str">
        <f t="shared" si="351"/>
        <v>5 fős körmérkőzés</v>
      </c>
      <c r="I971" s="157" t="str">
        <f>"3"</f>
        <v>3</v>
      </c>
      <c r="J971" s="156" t="str">
        <f>"Barna Emese Nikolett"</f>
        <v>Barna Emese Nikolett</v>
      </c>
      <c r="K971" s="156" t="str">
        <f>"Bendiák Dojo"</f>
        <v>Bendiák Dojo</v>
      </c>
      <c r="L971" s="156" t="str">
        <f t="shared" si="347"/>
        <v>HUN</v>
      </c>
      <c r="M971" s="163">
        <v>6</v>
      </c>
      <c r="O971" s="154" t="s">
        <v>410</v>
      </c>
      <c r="P971" s="159">
        <v>46103</v>
      </c>
      <c r="Q971" s="154" t="str">
        <f t="shared" si="348"/>
        <v>Barna Emese Nikolett - Bendiák Dojo</v>
      </c>
      <c r="R971" s="154" t="s">
        <v>636</v>
      </c>
      <c r="S971" s="154" t="str">
        <f t="shared" si="349"/>
        <v>Bendiák Dojo</v>
      </c>
      <c r="T971" s="154" t="s">
        <v>645</v>
      </c>
      <c r="U971" s="154" t="s">
        <v>798</v>
      </c>
      <c r="V971" s="154"/>
    </row>
    <row r="972" spans="1:22" s="158" customFormat="1" x14ac:dyDescent="0.3">
      <c r="A972" s="154" t="s">
        <v>777</v>
      </c>
      <c r="B972" s="155" t="s">
        <v>154</v>
      </c>
      <c r="C972" s="154">
        <v>890</v>
      </c>
      <c r="D972" s="156" t="str">
        <f t="shared" si="342"/>
        <v>Kumite</v>
      </c>
      <c r="E972" s="156" t="str">
        <f>"Kumite, -, 60-65 kg, Ifjúsági (15-16"</f>
        <v>Kumite, -, 60-65 kg, Ifjúsági (15-16</v>
      </c>
      <c r="F972" s="156" t="s">
        <v>552</v>
      </c>
      <c r="G972" s="157" t="str">
        <f t="shared" si="350"/>
        <v>5</v>
      </c>
      <c r="H972" s="156" t="str">
        <f t="shared" si="351"/>
        <v>5 fős körmérkőzés</v>
      </c>
      <c r="I972" s="157" t="str">
        <f>"4"</f>
        <v>4</v>
      </c>
      <c r="J972" s="156" t="str">
        <f>"Harsányi Tímea"</f>
        <v>Harsányi Tímea</v>
      </c>
      <c r="K972" s="156" t="str">
        <f>"Kelemen-Team"</f>
        <v>Kelemen-Team</v>
      </c>
      <c r="L972" s="156" t="str">
        <f t="shared" si="347"/>
        <v>HUN</v>
      </c>
      <c r="M972" s="163">
        <v>4</v>
      </c>
      <c r="O972" s="154" t="s">
        <v>410</v>
      </c>
      <c r="P972" s="159">
        <v>46103</v>
      </c>
      <c r="Q972" s="154" t="str">
        <f t="shared" si="348"/>
        <v>Harsányi Tímea - Kelemen-Team</v>
      </c>
      <c r="R972" s="154" t="s">
        <v>636</v>
      </c>
      <c r="S972" s="154" t="str">
        <f t="shared" si="349"/>
        <v>Kelemen-Team</v>
      </c>
      <c r="T972" s="154" t="s">
        <v>645</v>
      </c>
      <c r="U972" s="154" t="s">
        <v>798</v>
      </c>
      <c r="V972" s="154"/>
    </row>
    <row r="973" spans="1:22" s="158" customFormat="1" x14ac:dyDescent="0.3">
      <c r="A973" s="154" t="s">
        <v>777</v>
      </c>
      <c r="B973" s="155" t="s">
        <v>154</v>
      </c>
      <c r="C973" s="154">
        <v>891</v>
      </c>
      <c r="D973" s="156" t="str">
        <f t="shared" si="342"/>
        <v>Kumite</v>
      </c>
      <c r="E973" s="156" t="str">
        <f>"Kumite, -, 60-65 kg, Ifjúsági (15-16"</f>
        <v>Kumite, -, 60-65 kg, Ifjúsági (15-16</v>
      </c>
      <c r="F973" s="156" t="s">
        <v>552</v>
      </c>
      <c r="G973" s="157" t="str">
        <f t="shared" si="350"/>
        <v>5</v>
      </c>
      <c r="H973" s="156" t="str">
        <f t="shared" si="351"/>
        <v>5 fős körmérkőzés</v>
      </c>
      <c r="I973" s="157" t="str">
        <f>"5"</f>
        <v>5</v>
      </c>
      <c r="J973" s="156" t="str">
        <f>"Bognár Boglárka"</f>
        <v>Bognár Boglárka</v>
      </c>
      <c r="K973" s="156" t="str">
        <f>"Rakurai"</f>
        <v>Rakurai</v>
      </c>
      <c r="L973" s="156" t="str">
        <f t="shared" si="347"/>
        <v>HUN</v>
      </c>
      <c r="M973" s="163">
        <v>0</v>
      </c>
      <c r="O973" s="154" t="s">
        <v>410</v>
      </c>
      <c r="P973" s="159">
        <v>46103</v>
      </c>
      <c r="Q973" s="154" t="str">
        <f t="shared" si="348"/>
        <v>Bognár Boglárka - Rakurai</v>
      </c>
      <c r="R973" s="154" t="s">
        <v>636</v>
      </c>
      <c r="S973" s="154" t="str">
        <f t="shared" si="349"/>
        <v>Rakurai</v>
      </c>
      <c r="T973" s="154" t="s">
        <v>645</v>
      </c>
      <c r="U973" s="154" t="s">
        <v>798</v>
      </c>
      <c r="V973" s="154"/>
    </row>
    <row r="974" spans="1:22" s="158" customFormat="1" x14ac:dyDescent="0.3">
      <c r="A974" s="154" t="s">
        <v>777</v>
      </c>
      <c r="B974" s="155" t="s">
        <v>154</v>
      </c>
      <c r="C974" s="154">
        <v>892</v>
      </c>
      <c r="D974" s="156" t="str">
        <f t="shared" si="342"/>
        <v>Kumite</v>
      </c>
      <c r="E974" s="156" t="str">
        <f>"Kumite, -, 65-200 kg, Ifjúsági (15-16"</f>
        <v>Kumite, -, 65-200 kg, Ifjúsági (15-16</v>
      </c>
      <c r="F974" s="156" t="s">
        <v>553</v>
      </c>
      <c r="G974" s="157" t="str">
        <f t="shared" si="350"/>
        <v>5</v>
      </c>
      <c r="H974" s="156" t="str">
        <f t="shared" si="351"/>
        <v>5 fős körmérkőzés</v>
      </c>
      <c r="I974" s="157" t="str">
        <f>"1"</f>
        <v>1</v>
      </c>
      <c r="J974" s="156" t="str">
        <f>"Csonka Kata"</f>
        <v>Csonka Kata</v>
      </c>
      <c r="K974" s="156" t="str">
        <f>"Kamikaze S"</f>
        <v>Kamikaze S</v>
      </c>
      <c r="L974" s="156" t="str">
        <f t="shared" si="347"/>
        <v>HUN</v>
      </c>
      <c r="M974" s="163">
        <v>10</v>
      </c>
      <c r="O974" s="154" t="s">
        <v>410</v>
      </c>
      <c r="P974" s="159">
        <v>46103</v>
      </c>
      <c r="Q974" s="154" t="str">
        <f t="shared" si="348"/>
        <v>Csonka Kata - Kamikaze S</v>
      </c>
      <c r="R974" s="154" t="s">
        <v>636</v>
      </c>
      <c r="S974" s="154" t="str">
        <f t="shared" si="349"/>
        <v>Kamikaze S</v>
      </c>
      <c r="T974" s="154" t="s">
        <v>645</v>
      </c>
      <c r="U974" s="154" t="s">
        <v>798</v>
      </c>
      <c r="V974" s="154"/>
    </row>
    <row r="975" spans="1:22" s="158" customFormat="1" x14ac:dyDescent="0.3">
      <c r="A975" s="154" t="s">
        <v>777</v>
      </c>
      <c r="B975" s="155" t="s">
        <v>154</v>
      </c>
      <c r="C975" s="154">
        <v>893</v>
      </c>
      <c r="D975" s="156" t="str">
        <f t="shared" si="342"/>
        <v>Kumite</v>
      </c>
      <c r="E975" s="156" t="str">
        <f>"Kumite, -, 65-200 kg, Ifjúsági (15-16"</f>
        <v>Kumite, -, 65-200 kg, Ifjúsági (15-16</v>
      </c>
      <c r="F975" s="156" t="s">
        <v>553</v>
      </c>
      <c r="G975" s="157" t="str">
        <f t="shared" si="350"/>
        <v>5</v>
      </c>
      <c r="H975" s="156" t="str">
        <f t="shared" si="351"/>
        <v>5 fős körmérkőzés</v>
      </c>
      <c r="I975" s="157" t="str">
        <f>"2"</f>
        <v>2</v>
      </c>
      <c r="J975" s="156" t="str">
        <f>"Soós Flóra"</f>
        <v>Soós Flóra</v>
      </c>
      <c r="K975" s="156" t="str">
        <f>"Nagykátai Bushido SE"</f>
        <v>Nagykátai Bushido SE</v>
      </c>
      <c r="L975" s="156" t="str">
        <f t="shared" si="347"/>
        <v>HUN</v>
      </c>
      <c r="M975" s="163">
        <v>8</v>
      </c>
      <c r="O975" s="154" t="s">
        <v>410</v>
      </c>
      <c r="P975" s="159">
        <v>46103</v>
      </c>
      <c r="Q975" s="154" t="str">
        <f t="shared" si="348"/>
        <v>Soós Flóra - Nagykátai Bushido SE</v>
      </c>
      <c r="R975" s="154" t="s">
        <v>636</v>
      </c>
      <c r="S975" s="154" t="str">
        <f t="shared" si="349"/>
        <v>Nagykátai Bushido SE</v>
      </c>
      <c r="T975" s="154" t="s">
        <v>645</v>
      </c>
      <c r="U975" s="154" t="s">
        <v>798</v>
      </c>
      <c r="V975" s="154"/>
    </row>
    <row r="976" spans="1:22" s="158" customFormat="1" x14ac:dyDescent="0.3">
      <c r="A976" s="154" t="s">
        <v>777</v>
      </c>
      <c r="B976" s="155" t="s">
        <v>154</v>
      </c>
      <c r="C976" s="154">
        <v>894</v>
      </c>
      <c r="D976" s="156" t="str">
        <f t="shared" si="342"/>
        <v>Kumite</v>
      </c>
      <c r="E976" s="156" t="str">
        <f>"Kumite, -, 65-200 kg, Ifjúsági (15-16"</f>
        <v>Kumite, -, 65-200 kg, Ifjúsági (15-16</v>
      </c>
      <c r="F976" s="156" t="s">
        <v>553</v>
      </c>
      <c r="G976" s="157" t="str">
        <f t="shared" si="350"/>
        <v>5</v>
      </c>
      <c r="H976" s="156" t="str">
        <f t="shared" si="351"/>
        <v>5 fős körmérkőzés</v>
      </c>
      <c r="I976" s="157" t="str">
        <f>"3"</f>
        <v>3</v>
      </c>
      <c r="J976" s="156" t="str">
        <f>"Bartha Zsuzsanna"</f>
        <v>Bartha Zsuzsanna</v>
      </c>
      <c r="K976" s="156" t="str">
        <f>"BHMSE"</f>
        <v>BHMSE</v>
      </c>
      <c r="L976" s="156" t="str">
        <f t="shared" si="347"/>
        <v>HUN</v>
      </c>
      <c r="M976" s="163">
        <v>6</v>
      </c>
      <c r="O976" s="154" t="s">
        <v>410</v>
      </c>
      <c r="P976" s="159">
        <v>46103</v>
      </c>
      <c r="Q976" s="154" t="str">
        <f t="shared" si="348"/>
        <v>Bartha Zsuzsanna - BHMSE</v>
      </c>
      <c r="R976" s="154" t="s">
        <v>636</v>
      </c>
      <c r="S976" s="154" t="str">
        <f t="shared" si="349"/>
        <v>BHMSE</v>
      </c>
      <c r="T976" s="154" t="s">
        <v>645</v>
      </c>
      <c r="U976" s="154" t="s">
        <v>798</v>
      </c>
      <c r="V976" s="154"/>
    </row>
    <row r="977" spans="1:22" s="158" customFormat="1" x14ac:dyDescent="0.3">
      <c r="A977" s="154" t="s">
        <v>777</v>
      </c>
      <c r="B977" s="155" t="s">
        <v>154</v>
      </c>
      <c r="C977" s="154">
        <v>895</v>
      </c>
      <c r="D977" s="156" t="str">
        <f t="shared" si="342"/>
        <v>Kumite</v>
      </c>
      <c r="E977" s="156" t="str">
        <f>"Kumite, -, 65-200 kg, Ifjúsági (15-16"</f>
        <v>Kumite, -, 65-200 kg, Ifjúsági (15-16</v>
      </c>
      <c r="F977" s="156" t="s">
        <v>553</v>
      </c>
      <c r="G977" s="157" t="str">
        <f t="shared" si="350"/>
        <v>5</v>
      </c>
      <c r="H977" s="156" t="str">
        <f t="shared" si="351"/>
        <v>5 fős körmérkőzés</v>
      </c>
      <c r="I977" s="157" t="str">
        <f>"4"</f>
        <v>4</v>
      </c>
      <c r="J977" s="156" t="str">
        <f>"Komondi Veronika Nilla"</f>
        <v>Komondi Veronika Nilla</v>
      </c>
      <c r="K977" s="156" t="str">
        <f>"Keszth.KKK"</f>
        <v>Keszth.KKK</v>
      </c>
      <c r="L977" s="156" t="str">
        <f t="shared" si="347"/>
        <v>HUN</v>
      </c>
      <c r="M977" s="163">
        <v>4</v>
      </c>
      <c r="O977" s="154" t="s">
        <v>410</v>
      </c>
      <c r="P977" s="159">
        <v>46103</v>
      </c>
      <c r="Q977" s="154" t="str">
        <f t="shared" si="348"/>
        <v>Komondi Veronika Nilla - Keszth.KKK</v>
      </c>
      <c r="R977" s="154" t="s">
        <v>636</v>
      </c>
      <c r="S977" s="154" t="str">
        <f t="shared" si="349"/>
        <v>Keszth.KKK</v>
      </c>
      <c r="T977" s="154" t="s">
        <v>645</v>
      </c>
      <c r="U977" s="154" t="s">
        <v>798</v>
      </c>
      <c r="V977" s="154"/>
    </row>
    <row r="978" spans="1:22" s="158" customFormat="1" x14ac:dyDescent="0.3">
      <c r="A978" s="154" t="s">
        <v>777</v>
      </c>
      <c r="B978" s="155" t="s">
        <v>154</v>
      </c>
      <c r="C978" s="154">
        <v>896</v>
      </c>
      <c r="D978" s="156" t="str">
        <f t="shared" si="342"/>
        <v>Kumite</v>
      </c>
      <c r="E978" s="156" t="str">
        <f>"Kumite, -, 65-200 kg, Ifjúsági (15-16"</f>
        <v>Kumite, -, 65-200 kg, Ifjúsági (15-16</v>
      </c>
      <c r="F978" s="156" t="s">
        <v>553</v>
      </c>
      <c r="G978" s="157" t="str">
        <f t="shared" si="350"/>
        <v>5</v>
      </c>
      <c r="H978" s="156" t="str">
        <f t="shared" si="351"/>
        <v>5 fős körmérkőzés</v>
      </c>
      <c r="I978" s="157" t="str">
        <f>"5"</f>
        <v>5</v>
      </c>
      <c r="J978" s="156" t="str">
        <f>"Szalai Kitti"</f>
        <v>Szalai Kitti</v>
      </c>
      <c r="K978" s="156" t="str">
        <f>"Griff SE"</f>
        <v>Griff SE</v>
      </c>
      <c r="L978" s="156" t="str">
        <f t="shared" si="347"/>
        <v>HUN</v>
      </c>
      <c r="M978" s="163">
        <v>0</v>
      </c>
      <c r="O978" s="154" t="s">
        <v>410</v>
      </c>
      <c r="P978" s="159">
        <v>46103</v>
      </c>
      <c r="Q978" s="154" t="str">
        <f t="shared" si="348"/>
        <v>Szalai Kitti - Griff SE</v>
      </c>
      <c r="R978" s="154" t="s">
        <v>636</v>
      </c>
      <c r="S978" s="154" t="str">
        <f t="shared" si="349"/>
        <v>Griff SE</v>
      </c>
      <c r="T978" s="154" t="s">
        <v>645</v>
      </c>
      <c r="U978" s="154" t="s">
        <v>798</v>
      </c>
      <c r="V978" s="154"/>
    </row>
    <row r="979" spans="1:22" s="158" customFormat="1" x14ac:dyDescent="0.3">
      <c r="A979" s="154" t="s">
        <v>777</v>
      </c>
      <c r="B979" s="155" t="s">
        <v>154</v>
      </c>
      <c r="C979" s="154">
        <v>897</v>
      </c>
      <c r="D979" s="156" t="str">
        <f t="shared" ref="D979:D989" si="352">"Kata"</f>
        <v>Kata</v>
      </c>
      <c r="E979" s="156" t="str">
        <f t="shared" ref="E979:E989" si="353">"Kata, -, 0-160 kg, Ifjúsági (15-16"</f>
        <v>Kata, -, 0-160 kg, Ifjúsági (15-16</v>
      </c>
      <c r="F979" s="156" t="s">
        <v>549</v>
      </c>
      <c r="G979" s="157" t="str">
        <f t="shared" ref="G979:G989" si="354">"11"</f>
        <v>11</v>
      </c>
      <c r="H979" s="156" t="str">
        <f t="shared" ref="H979:H989" si="355">"16 fős egyenes kiesés + 3. hely"</f>
        <v>16 fős egyenes kiesés + 3. hely</v>
      </c>
      <c r="I979" s="157" t="str">
        <f>"1"</f>
        <v>1</v>
      </c>
      <c r="J979" s="156" t="str">
        <f>"Uszkai Flóra"</f>
        <v>Uszkai Flóra</v>
      </c>
      <c r="K979" s="156" t="str">
        <f>"Shogun"</f>
        <v>Shogun</v>
      </c>
      <c r="L979" s="156" t="str">
        <f t="shared" si="347"/>
        <v>HUN</v>
      </c>
      <c r="M979" s="163">
        <v>8</v>
      </c>
      <c r="N979" s="158" t="s">
        <v>814</v>
      </c>
      <c r="O979" s="154" t="s">
        <v>410</v>
      </c>
      <c r="P979" s="159">
        <v>46103</v>
      </c>
      <c r="Q979" s="154" t="str">
        <f t="shared" si="348"/>
        <v>Uszkai Flóra - Shogun</v>
      </c>
      <c r="R979" s="154" t="s">
        <v>636</v>
      </c>
      <c r="S979" s="154" t="str">
        <f t="shared" si="349"/>
        <v>Shogun</v>
      </c>
      <c r="T979" s="154" t="s">
        <v>645</v>
      </c>
      <c r="U979" s="154" t="s">
        <v>798</v>
      </c>
      <c r="V979" s="154"/>
    </row>
    <row r="980" spans="1:22" s="158" customFormat="1" x14ac:dyDescent="0.3">
      <c r="A980" s="154" t="s">
        <v>777</v>
      </c>
      <c r="B980" s="155" t="s">
        <v>154</v>
      </c>
      <c r="C980" s="154">
        <v>898</v>
      </c>
      <c r="D980" s="156" t="str">
        <f t="shared" si="352"/>
        <v>Kata</v>
      </c>
      <c r="E980" s="156" t="str">
        <f t="shared" si="353"/>
        <v>Kata, -, 0-160 kg, Ifjúsági (15-16</v>
      </c>
      <c r="F980" s="156" t="s">
        <v>549</v>
      </c>
      <c r="G980" s="157" t="str">
        <f t="shared" si="354"/>
        <v>11</v>
      </c>
      <c r="H980" s="156" t="str">
        <f t="shared" si="355"/>
        <v>16 fős egyenes kiesés + 3. hely</v>
      </c>
      <c r="I980" s="157" t="str">
        <f>"2"</f>
        <v>2</v>
      </c>
      <c r="J980" s="156" t="str">
        <f>"Kovács Anna"</f>
        <v>Kovács Anna</v>
      </c>
      <c r="K980" s="156" t="str">
        <f>"Kisvárda KKDOSC"</f>
        <v>Kisvárda KKDOSC</v>
      </c>
      <c r="L980" s="156" t="str">
        <f t="shared" si="347"/>
        <v>HUN</v>
      </c>
      <c r="M980" s="163">
        <v>6</v>
      </c>
      <c r="N980" s="158" t="s">
        <v>814</v>
      </c>
      <c r="O980" s="154" t="s">
        <v>410</v>
      </c>
      <c r="P980" s="159">
        <v>46103</v>
      </c>
      <c r="Q980" s="154" t="str">
        <f t="shared" si="348"/>
        <v>Kovács Anna - Kisvárda KKDOSC</v>
      </c>
      <c r="R980" s="154" t="s">
        <v>636</v>
      </c>
      <c r="S980" s="154" t="str">
        <f t="shared" si="349"/>
        <v>Kisvárda KKDOSC</v>
      </c>
      <c r="T980" s="154" t="s">
        <v>645</v>
      </c>
      <c r="U980" s="154" t="s">
        <v>798</v>
      </c>
      <c r="V980" s="154"/>
    </row>
    <row r="981" spans="1:22" s="158" customFormat="1" x14ac:dyDescent="0.3">
      <c r="A981" s="154" t="s">
        <v>777</v>
      </c>
      <c r="B981" s="155" t="s">
        <v>154</v>
      </c>
      <c r="C981" s="154">
        <v>899</v>
      </c>
      <c r="D981" s="156" t="str">
        <f t="shared" si="352"/>
        <v>Kata</v>
      </c>
      <c r="E981" s="156" t="str">
        <f t="shared" si="353"/>
        <v>Kata, -, 0-160 kg, Ifjúsági (15-16</v>
      </c>
      <c r="F981" s="156" t="s">
        <v>549</v>
      </c>
      <c r="G981" s="157" t="str">
        <f t="shared" si="354"/>
        <v>11</v>
      </c>
      <c r="H981" s="156" t="str">
        <f t="shared" si="355"/>
        <v>16 fős egyenes kiesés + 3. hely</v>
      </c>
      <c r="I981" s="157" t="str">
        <f>"3"</f>
        <v>3</v>
      </c>
      <c r="J981" s="156" t="str">
        <f>"Böcskey Emese "</f>
        <v xml:space="preserve">Böcskey Emese </v>
      </c>
      <c r="K981" s="156" t="str">
        <f>"Nagy Sándor Dojo"</f>
        <v>Nagy Sándor Dojo</v>
      </c>
      <c r="L981" s="156" t="str">
        <f t="shared" si="347"/>
        <v>HUN</v>
      </c>
      <c r="M981" s="163">
        <v>4</v>
      </c>
      <c r="N981" s="158" t="s">
        <v>814</v>
      </c>
      <c r="O981" s="154" t="s">
        <v>410</v>
      </c>
      <c r="P981" s="159">
        <v>46103</v>
      </c>
      <c r="Q981" s="154" t="str">
        <f t="shared" si="348"/>
        <v>Böcskey Emese  - Nagy Sándor Dojo</v>
      </c>
      <c r="R981" s="154" t="s">
        <v>637</v>
      </c>
      <c r="S981" s="154" t="str">
        <f t="shared" si="349"/>
        <v>Nagy Sándor Dojo</v>
      </c>
      <c r="T981" s="154" t="s">
        <v>645</v>
      </c>
      <c r="U981" s="154" t="s">
        <v>798</v>
      </c>
      <c r="V981" s="154"/>
    </row>
    <row r="982" spans="1:22" s="158" customFormat="1" x14ac:dyDescent="0.3">
      <c r="A982" s="154" t="s">
        <v>777</v>
      </c>
      <c r="B982" s="155" t="s">
        <v>154</v>
      </c>
      <c r="C982" s="154">
        <v>900</v>
      </c>
      <c r="D982" s="156" t="str">
        <f t="shared" si="352"/>
        <v>Kata</v>
      </c>
      <c r="E982" s="156" t="str">
        <f t="shared" si="353"/>
        <v>Kata, -, 0-160 kg, Ifjúsági (15-16</v>
      </c>
      <c r="F982" s="156" t="s">
        <v>549</v>
      </c>
      <c r="G982" s="157" t="str">
        <f t="shared" si="354"/>
        <v>11</v>
      </c>
      <c r="H982" s="156" t="str">
        <f t="shared" si="355"/>
        <v>16 fős egyenes kiesés + 3. hely</v>
      </c>
      <c r="I982" s="157" t="str">
        <f>"4"</f>
        <v>4</v>
      </c>
      <c r="J982" s="156" t="str">
        <f>"Nagy Hanna Míra"</f>
        <v>Nagy Hanna Míra</v>
      </c>
      <c r="K982" s="156" t="str">
        <f>"Genbu dojo"</f>
        <v>Genbu dojo</v>
      </c>
      <c r="L982" s="156" t="str">
        <f t="shared" si="347"/>
        <v>HUN</v>
      </c>
      <c r="M982" s="163">
        <v>3</v>
      </c>
      <c r="N982" s="158" t="s">
        <v>814</v>
      </c>
      <c r="O982" s="154" t="s">
        <v>410</v>
      </c>
      <c r="P982" s="159">
        <v>46103</v>
      </c>
      <c r="Q982" s="154" t="str">
        <f t="shared" si="348"/>
        <v>Nagy Hanna Míra - Genbu dojo</v>
      </c>
      <c r="R982" s="154" t="s">
        <v>637</v>
      </c>
      <c r="S982" s="154" t="str">
        <f t="shared" si="349"/>
        <v>Genbu dojo</v>
      </c>
      <c r="T982" s="154" t="s">
        <v>645</v>
      </c>
      <c r="U982" s="154" t="s">
        <v>798</v>
      </c>
      <c r="V982" s="154"/>
    </row>
    <row r="983" spans="1:22" s="158" customFormat="1" x14ac:dyDescent="0.3">
      <c r="A983" s="154" t="s">
        <v>777</v>
      </c>
      <c r="B983" s="155" t="s">
        <v>154</v>
      </c>
      <c r="C983" s="154">
        <v>901</v>
      </c>
      <c r="D983" s="156" t="str">
        <f t="shared" si="352"/>
        <v>Kata</v>
      </c>
      <c r="E983" s="156" t="str">
        <f t="shared" si="353"/>
        <v>Kata, -, 0-160 kg, Ifjúsági (15-16</v>
      </c>
      <c r="F983" s="156" t="s">
        <v>549</v>
      </c>
      <c r="G983" s="157" t="str">
        <f t="shared" si="354"/>
        <v>11</v>
      </c>
      <c r="H983" s="156" t="str">
        <f t="shared" si="355"/>
        <v>16 fős egyenes kiesés + 3. hely</v>
      </c>
      <c r="I983" s="157" t="str">
        <f>"5"</f>
        <v>5</v>
      </c>
      <c r="J983" s="156" t="str">
        <f>"Aranyosi Nikolett"</f>
        <v>Aranyosi Nikolett</v>
      </c>
      <c r="K983" s="156" t="str">
        <f>"KSE Tarján"</f>
        <v>KSE Tarján</v>
      </c>
      <c r="L983" s="156" t="str">
        <f t="shared" si="347"/>
        <v>HUN</v>
      </c>
      <c r="M983" s="163">
        <v>2</v>
      </c>
      <c r="N983" s="158" t="s">
        <v>814</v>
      </c>
      <c r="O983" s="154" t="s">
        <v>410</v>
      </c>
      <c r="P983" s="159">
        <v>46103</v>
      </c>
      <c r="Q983" s="154" t="str">
        <f t="shared" si="348"/>
        <v>Aranyosi Nikolett - KSE Tarján</v>
      </c>
      <c r="R983" s="154" t="s">
        <v>636</v>
      </c>
      <c r="S983" s="154" t="str">
        <f t="shared" si="349"/>
        <v>KSE Tarján</v>
      </c>
      <c r="T983" s="154" t="s">
        <v>645</v>
      </c>
      <c r="U983" s="154" t="s">
        <v>798</v>
      </c>
      <c r="V983" s="154"/>
    </row>
    <row r="984" spans="1:22" s="158" customFormat="1" x14ac:dyDescent="0.3">
      <c r="A984" s="154" t="s">
        <v>777</v>
      </c>
      <c r="B984" s="155" t="s">
        <v>154</v>
      </c>
      <c r="C984" s="154">
        <v>902</v>
      </c>
      <c r="D984" s="156" t="str">
        <f t="shared" si="352"/>
        <v>Kata</v>
      </c>
      <c r="E984" s="156" t="str">
        <f t="shared" si="353"/>
        <v>Kata, -, 0-160 kg, Ifjúsági (15-16</v>
      </c>
      <c r="F984" s="156" t="s">
        <v>549</v>
      </c>
      <c r="G984" s="157" t="str">
        <f t="shared" si="354"/>
        <v>11</v>
      </c>
      <c r="H984" s="156" t="str">
        <f t="shared" si="355"/>
        <v>16 fős egyenes kiesés + 3. hely</v>
      </c>
      <c r="I984" s="157" t="str">
        <f>"6"</f>
        <v>6</v>
      </c>
      <c r="J984" s="156" t="str">
        <f>"Czakó Natália"</f>
        <v>Czakó Natália</v>
      </c>
      <c r="K984" s="156" t="str">
        <f>"Nagykátai Bushido SE"</f>
        <v>Nagykátai Bushido SE</v>
      </c>
      <c r="L984" s="156" t="str">
        <f t="shared" si="347"/>
        <v>HUN</v>
      </c>
      <c r="M984" s="163">
        <v>2</v>
      </c>
      <c r="N984" s="158" t="s">
        <v>814</v>
      </c>
      <c r="O984" s="154" t="s">
        <v>410</v>
      </c>
      <c r="P984" s="159">
        <v>46103</v>
      </c>
      <c r="Q984" s="154" t="str">
        <f t="shared" si="348"/>
        <v>Czakó Natália - Nagykátai Bushido SE</v>
      </c>
      <c r="R984" s="154" t="s">
        <v>636</v>
      </c>
      <c r="S984" s="154" t="str">
        <f t="shared" si="349"/>
        <v>Nagykátai Bushido SE</v>
      </c>
      <c r="T984" s="154" t="s">
        <v>645</v>
      </c>
      <c r="U984" s="154" t="s">
        <v>798</v>
      </c>
      <c r="V984" s="154"/>
    </row>
    <row r="985" spans="1:22" s="158" customFormat="1" x14ac:dyDescent="0.3">
      <c r="A985" s="154" t="s">
        <v>777</v>
      </c>
      <c r="B985" s="155" t="s">
        <v>154</v>
      </c>
      <c r="C985" s="154">
        <v>904</v>
      </c>
      <c r="D985" s="156" t="str">
        <f t="shared" si="352"/>
        <v>Kata</v>
      </c>
      <c r="E985" s="156" t="str">
        <f t="shared" si="353"/>
        <v>Kata, -, 0-160 kg, Ifjúsági (15-16</v>
      </c>
      <c r="F985" s="156" t="s">
        <v>549</v>
      </c>
      <c r="G985" s="157" t="str">
        <f t="shared" si="354"/>
        <v>11</v>
      </c>
      <c r="H985" s="156" t="str">
        <f t="shared" si="355"/>
        <v>16 fős egyenes kiesés + 3. hely</v>
      </c>
      <c r="I985" s="157">
        <v>7</v>
      </c>
      <c r="J985" s="156" t="str">
        <f>"Karap Anna"</f>
        <v>Karap Anna</v>
      </c>
      <c r="K985" s="156" t="str">
        <f>"Shogun"</f>
        <v>Shogun</v>
      </c>
      <c r="L985" s="156" t="str">
        <f t="shared" si="347"/>
        <v>HUN</v>
      </c>
      <c r="M985" s="163">
        <v>2</v>
      </c>
      <c r="N985" s="158" t="s">
        <v>814</v>
      </c>
      <c r="O985" s="154" t="s">
        <v>410</v>
      </c>
      <c r="P985" s="159">
        <v>46103</v>
      </c>
      <c r="Q985" s="154" t="str">
        <f>J985&amp;" - "&amp;K985</f>
        <v>Karap Anna - Shogun</v>
      </c>
      <c r="R985" s="154" t="s">
        <v>636</v>
      </c>
      <c r="S985" s="154" t="str">
        <f>K985</f>
        <v>Shogun</v>
      </c>
      <c r="T985" s="154" t="s">
        <v>645</v>
      </c>
      <c r="U985" s="154" t="s">
        <v>798</v>
      </c>
      <c r="V985" s="154"/>
    </row>
    <row r="986" spans="1:22" s="158" customFormat="1" x14ac:dyDescent="0.3">
      <c r="A986" s="154" t="s">
        <v>777</v>
      </c>
      <c r="B986" s="155" t="s">
        <v>154</v>
      </c>
      <c r="C986" s="154">
        <v>903</v>
      </c>
      <c r="D986" s="156" t="str">
        <f t="shared" si="352"/>
        <v>Kata</v>
      </c>
      <c r="E986" s="156" t="str">
        <f t="shared" si="353"/>
        <v>Kata, -, 0-160 kg, Ifjúsági (15-16</v>
      </c>
      <c r="F986" s="156" t="s">
        <v>549</v>
      </c>
      <c r="G986" s="157" t="str">
        <f t="shared" si="354"/>
        <v>11</v>
      </c>
      <c r="H986" s="156" t="str">
        <f t="shared" si="355"/>
        <v>16 fős egyenes kiesés + 3. hely</v>
      </c>
      <c r="I986" s="157">
        <v>8</v>
      </c>
      <c r="J986" s="156" t="str">
        <f>"Sülyi Luca"</f>
        <v>Sülyi Luca</v>
      </c>
      <c r="K986" s="156" t="str">
        <f>"Főnix Dojo"</f>
        <v>Főnix Dojo</v>
      </c>
      <c r="L986" s="156" t="str">
        <f t="shared" si="347"/>
        <v>HUN</v>
      </c>
      <c r="M986" s="163">
        <v>0</v>
      </c>
      <c r="N986" s="158" t="s">
        <v>814</v>
      </c>
      <c r="O986" s="154" t="s">
        <v>410</v>
      </c>
      <c r="P986" s="159">
        <v>46103</v>
      </c>
      <c r="Q986" s="154" t="str">
        <f t="shared" si="348"/>
        <v>Sülyi Luca - Főnix Dojo</v>
      </c>
      <c r="R986" s="154" t="s">
        <v>636</v>
      </c>
      <c r="S986" s="154" t="str">
        <f t="shared" si="349"/>
        <v>Főnix Dojo</v>
      </c>
      <c r="T986" s="154" t="s">
        <v>645</v>
      </c>
      <c r="U986" s="154" t="s">
        <v>798</v>
      </c>
      <c r="V986" s="154"/>
    </row>
    <row r="987" spans="1:22" s="158" customFormat="1" x14ac:dyDescent="0.3">
      <c r="A987" s="154" t="s">
        <v>777</v>
      </c>
      <c r="B987" s="155" t="s">
        <v>154</v>
      </c>
      <c r="C987" s="154">
        <v>905</v>
      </c>
      <c r="D987" s="156" t="str">
        <f t="shared" si="352"/>
        <v>Kata</v>
      </c>
      <c r="E987" s="156" t="str">
        <f t="shared" si="353"/>
        <v>Kata, -, 0-160 kg, Ifjúsági (15-16</v>
      </c>
      <c r="F987" s="156" t="s">
        <v>549</v>
      </c>
      <c r="G987" s="157" t="str">
        <f t="shared" si="354"/>
        <v>11</v>
      </c>
      <c r="H987" s="156" t="str">
        <f t="shared" si="355"/>
        <v>16 fős egyenes kiesés + 3. hely</v>
      </c>
      <c r="I987" s="157" t="str">
        <f>"11-16"</f>
        <v>11-16</v>
      </c>
      <c r="J987" s="156" t="str">
        <f>"Princz Anna"</f>
        <v>Princz Anna</v>
      </c>
      <c r="K987" s="156" t="str">
        <f>"ARSC"</f>
        <v>ARSC</v>
      </c>
      <c r="L987" s="156" t="str">
        <f t="shared" si="347"/>
        <v>HUN</v>
      </c>
      <c r="M987" s="163">
        <v>0</v>
      </c>
      <c r="N987" s="158" t="s">
        <v>814</v>
      </c>
      <c r="O987" s="154" t="s">
        <v>410</v>
      </c>
      <c r="P987" s="159">
        <v>46103</v>
      </c>
      <c r="Q987" s="154" t="str">
        <f t="shared" si="348"/>
        <v>Princz Anna - ARSC</v>
      </c>
      <c r="R987" s="154" t="s">
        <v>636</v>
      </c>
      <c r="S987" s="154" t="str">
        <f t="shared" si="349"/>
        <v>ARSC</v>
      </c>
      <c r="T987" s="154" t="s">
        <v>645</v>
      </c>
      <c r="U987" s="154" t="s">
        <v>798</v>
      </c>
      <c r="V987" s="154"/>
    </row>
    <row r="988" spans="1:22" s="158" customFormat="1" x14ac:dyDescent="0.3">
      <c r="A988" s="154" t="s">
        <v>777</v>
      </c>
      <c r="B988" s="155" t="s">
        <v>154</v>
      </c>
      <c r="C988" s="154">
        <v>906</v>
      </c>
      <c r="D988" s="156" t="str">
        <f t="shared" si="352"/>
        <v>Kata</v>
      </c>
      <c r="E988" s="156" t="str">
        <f t="shared" si="353"/>
        <v>Kata, -, 0-160 kg, Ifjúsági (15-16</v>
      </c>
      <c r="F988" s="156" t="s">
        <v>549</v>
      </c>
      <c r="G988" s="157" t="str">
        <f t="shared" si="354"/>
        <v>11</v>
      </c>
      <c r="H988" s="156" t="str">
        <f t="shared" si="355"/>
        <v>16 fős egyenes kiesés + 3. hely</v>
      </c>
      <c r="I988" s="157" t="str">
        <f>"11-16"</f>
        <v>11-16</v>
      </c>
      <c r="J988" s="156" t="str">
        <f>"Timár Alíz"</f>
        <v>Timár Alíz</v>
      </c>
      <c r="K988" s="156" t="str">
        <f>"BHMSE"</f>
        <v>BHMSE</v>
      </c>
      <c r="L988" s="156" t="str">
        <f t="shared" si="347"/>
        <v>HUN</v>
      </c>
      <c r="M988" s="163">
        <v>0</v>
      </c>
      <c r="N988" s="158" t="s">
        <v>814</v>
      </c>
      <c r="O988" s="154" t="s">
        <v>410</v>
      </c>
      <c r="P988" s="159">
        <v>46103</v>
      </c>
      <c r="Q988" s="154" t="str">
        <f t="shared" si="348"/>
        <v>Timár Alíz - BHMSE</v>
      </c>
      <c r="R988" s="154" t="s">
        <v>636</v>
      </c>
      <c r="S988" s="154" t="str">
        <f t="shared" si="349"/>
        <v>BHMSE</v>
      </c>
      <c r="T988" s="154" t="s">
        <v>645</v>
      </c>
      <c r="U988" s="154" t="s">
        <v>798</v>
      </c>
      <c r="V988" s="154"/>
    </row>
    <row r="989" spans="1:22" s="158" customFormat="1" x14ac:dyDescent="0.3">
      <c r="A989" s="154" t="s">
        <v>777</v>
      </c>
      <c r="B989" s="155" t="s">
        <v>154</v>
      </c>
      <c r="C989" s="154">
        <v>907</v>
      </c>
      <c r="D989" s="156" t="str">
        <f t="shared" si="352"/>
        <v>Kata</v>
      </c>
      <c r="E989" s="156" t="str">
        <f t="shared" si="353"/>
        <v>Kata, -, 0-160 kg, Ifjúsági (15-16</v>
      </c>
      <c r="F989" s="156" t="s">
        <v>549</v>
      </c>
      <c r="G989" s="157" t="str">
        <f t="shared" si="354"/>
        <v>11</v>
      </c>
      <c r="H989" s="156" t="str">
        <f t="shared" si="355"/>
        <v>16 fős egyenes kiesés + 3. hely</v>
      </c>
      <c r="I989" s="157" t="str">
        <f>"11-16"</f>
        <v>11-16</v>
      </c>
      <c r="J989" s="156" t="str">
        <f>"Berényi Lina Boróka"</f>
        <v>Berényi Lina Boróka</v>
      </c>
      <c r="K989" s="156" t="str">
        <f>"Kagami"</f>
        <v>Kagami</v>
      </c>
      <c r="L989" s="156" t="str">
        <f t="shared" si="347"/>
        <v>HUN</v>
      </c>
      <c r="M989" s="163">
        <v>0</v>
      </c>
      <c r="N989" s="158" t="s">
        <v>814</v>
      </c>
      <c r="O989" s="154" t="s">
        <v>410</v>
      </c>
      <c r="P989" s="159">
        <v>46103</v>
      </c>
      <c r="Q989" s="154" t="str">
        <f t="shared" si="348"/>
        <v>Berényi Lina Boróka - Kagami</v>
      </c>
      <c r="R989" s="154" t="s">
        <v>636</v>
      </c>
      <c r="S989" s="154" t="str">
        <f t="shared" si="349"/>
        <v>Kagami</v>
      </c>
      <c r="T989" s="154" t="s">
        <v>645</v>
      </c>
      <c r="U989" s="154" t="s">
        <v>798</v>
      </c>
      <c r="V989" s="154"/>
    </row>
    <row r="990" spans="1:22" s="158" customFormat="1" x14ac:dyDescent="0.3">
      <c r="A990" s="154" t="s">
        <v>777</v>
      </c>
      <c r="B990" s="155" t="s">
        <v>154</v>
      </c>
      <c r="C990" s="154">
        <v>908</v>
      </c>
      <c r="D990" s="156" t="str">
        <f t="shared" ref="D990:D1024" si="356">"Kumite"</f>
        <v>Kumite</v>
      </c>
      <c r="E990" s="156" t="str">
        <f>"Kumite, -, 0-60 kg, Junior DOL (17-19"</f>
        <v>Kumite, -, 0-60 kg, Junior DOL (17-19</v>
      </c>
      <c r="F990" s="156" t="s">
        <v>496</v>
      </c>
      <c r="G990" s="157" t="str">
        <f>"3"</f>
        <v>3</v>
      </c>
      <c r="H990" s="156" t="str">
        <f>"3 fős körmérkőzés"</f>
        <v>3 fős körmérkőzés</v>
      </c>
      <c r="I990" s="157" t="str">
        <f>"1"</f>
        <v>1</v>
      </c>
      <c r="J990" s="156" t="str">
        <f>"Nagy Péter"</f>
        <v>Nagy Péter</v>
      </c>
      <c r="K990" s="156" t="str">
        <f>"KHSE"</f>
        <v>KHSE</v>
      </c>
      <c r="L990" s="156" t="str">
        <f t="shared" si="347"/>
        <v>HUN</v>
      </c>
      <c r="M990" s="163">
        <v>6</v>
      </c>
      <c r="O990" s="154" t="s">
        <v>410</v>
      </c>
      <c r="P990" s="159">
        <v>46103</v>
      </c>
      <c r="Q990" s="154" t="str">
        <f t="shared" si="348"/>
        <v>Nagy Péter - KHSE</v>
      </c>
      <c r="R990" s="154" t="s">
        <v>636</v>
      </c>
      <c r="S990" s="154" t="str">
        <f t="shared" si="349"/>
        <v>KHSE</v>
      </c>
      <c r="T990" s="154" t="s">
        <v>645</v>
      </c>
      <c r="U990" s="154" t="s">
        <v>799</v>
      </c>
      <c r="V990" s="154"/>
    </row>
    <row r="991" spans="1:22" s="158" customFormat="1" x14ac:dyDescent="0.3">
      <c r="A991" s="154" t="s">
        <v>777</v>
      </c>
      <c r="B991" s="155" t="s">
        <v>154</v>
      </c>
      <c r="C991" s="154">
        <v>909</v>
      </c>
      <c r="D991" s="156" t="str">
        <f t="shared" si="356"/>
        <v>Kumite</v>
      </c>
      <c r="E991" s="156" t="str">
        <f>"Kumite, -, 0-60 kg, Junior DOL (17-19"</f>
        <v>Kumite, -, 0-60 kg, Junior DOL (17-19</v>
      </c>
      <c r="F991" s="156" t="s">
        <v>496</v>
      </c>
      <c r="G991" s="157" t="str">
        <f>"3"</f>
        <v>3</v>
      </c>
      <c r="H991" s="156" t="str">
        <f>"3 fős körmérkőzés"</f>
        <v>3 fős körmérkőzés</v>
      </c>
      <c r="I991" s="157" t="str">
        <f>"2"</f>
        <v>2</v>
      </c>
      <c r="J991" s="156" t="str">
        <f>"Rimóczi Alex Benedek"</f>
        <v>Rimóczi Alex Benedek</v>
      </c>
      <c r="K991" s="156" t="str">
        <f>"Nozomu Dojo"</f>
        <v>Nozomu Dojo</v>
      </c>
      <c r="L991" s="156" t="str">
        <f t="shared" si="347"/>
        <v>HUN</v>
      </c>
      <c r="M991" s="163">
        <v>4</v>
      </c>
      <c r="O991" s="154" t="s">
        <v>410</v>
      </c>
      <c r="P991" s="159">
        <v>46103</v>
      </c>
      <c r="Q991" s="154" t="str">
        <f t="shared" si="348"/>
        <v>Rimóczi Alex Benedek - Nozomu Dojo</v>
      </c>
      <c r="R991" s="154" t="s">
        <v>636</v>
      </c>
      <c r="S991" s="154" t="str">
        <f t="shared" si="349"/>
        <v>Nozomu Dojo</v>
      </c>
      <c r="T991" s="154" t="s">
        <v>645</v>
      </c>
      <c r="U991" s="154" t="s">
        <v>799</v>
      </c>
      <c r="V991" s="154"/>
    </row>
    <row r="992" spans="1:22" s="158" customFormat="1" x14ac:dyDescent="0.3">
      <c r="A992" s="154" t="s">
        <v>777</v>
      </c>
      <c r="B992" s="155" t="s">
        <v>154</v>
      </c>
      <c r="C992" s="154">
        <v>910</v>
      </c>
      <c r="D992" s="156" t="str">
        <f t="shared" si="356"/>
        <v>Kumite</v>
      </c>
      <c r="E992" s="156" t="str">
        <f>"Kumite, -, 0-60 kg, Junior DOL (17-19"</f>
        <v>Kumite, -, 0-60 kg, Junior DOL (17-19</v>
      </c>
      <c r="F992" s="156" t="s">
        <v>496</v>
      </c>
      <c r="G992" s="157" t="str">
        <f>"3"</f>
        <v>3</v>
      </c>
      <c r="H992" s="156" t="str">
        <f>"3 fős körmérkőzés"</f>
        <v>3 fős körmérkőzés</v>
      </c>
      <c r="I992" s="157" t="str">
        <f>"3"</f>
        <v>3</v>
      </c>
      <c r="J992" s="156" t="str">
        <f>"Bíró Krisztián"</f>
        <v>Bíró Krisztián</v>
      </c>
      <c r="K992" s="156" t="str">
        <f>"Főnix Dojo"</f>
        <v>Főnix Dojo</v>
      </c>
      <c r="L992" s="156" t="str">
        <f t="shared" si="347"/>
        <v>HUN</v>
      </c>
      <c r="M992" s="163">
        <v>0</v>
      </c>
      <c r="O992" s="154" t="s">
        <v>410</v>
      </c>
      <c r="P992" s="159">
        <v>46103</v>
      </c>
      <c r="Q992" s="154" t="str">
        <f t="shared" si="348"/>
        <v>Bíró Krisztián - Főnix Dojo</v>
      </c>
      <c r="R992" s="154" t="s">
        <v>636</v>
      </c>
      <c r="S992" s="154" t="str">
        <f t="shared" si="349"/>
        <v>Főnix Dojo</v>
      </c>
      <c r="T992" s="154" t="s">
        <v>645</v>
      </c>
      <c r="U992" s="154" t="s">
        <v>799</v>
      </c>
      <c r="V992" s="154"/>
    </row>
    <row r="993" spans="1:22" s="158" customFormat="1" x14ac:dyDescent="0.3">
      <c r="A993" s="154" t="s">
        <v>777</v>
      </c>
      <c r="B993" s="155" t="s">
        <v>154</v>
      </c>
      <c r="C993" s="154">
        <v>911</v>
      </c>
      <c r="D993" s="156" t="str">
        <f t="shared" si="356"/>
        <v>Kumite</v>
      </c>
      <c r="E993" s="156" t="str">
        <f t="shared" ref="E993:E999" si="357">"Kumite, -, 60-65 kg, Junior DOL (17-19"</f>
        <v>Kumite, -, 60-65 kg, Junior DOL (17-19</v>
      </c>
      <c r="F993" s="156" t="s">
        <v>497</v>
      </c>
      <c r="G993" s="157" t="str">
        <f t="shared" ref="G993:G999" si="358">"7"</f>
        <v>7</v>
      </c>
      <c r="H993" s="156" t="str">
        <f t="shared" ref="H993:H999" si="359">"8 fős egyenes kiesés + 3. hely"</f>
        <v>8 fős egyenes kiesés + 3. hely</v>
      </c>
      <c r="I993" s="157" t="str">
        <f>"1"</f>
        <v>1</v>
      </c>
      <c r="J993" s="156" t="str">
        <f>"Szabó Ákos Roland"</f>
        <v>Szabó Ákos Roland</v>
      </c>
      <c r="K993" s="156" t="str">
        <f>"KHSE"</f>
        <v>KHSE</v>
      </c>
      <c r="L993" s="156" t="str">
        <f t="shared" si="347"/>
        <v>HUN</v>
      </c>
      <c r="M993" s="163">
        <v>8</v>
      </c>
      <c r="O993" s="154" t="s">
        <v>410</v>
      </c>
      <c r="P993" s="159">
        <v>46103</v>
      </c>
      <c r="Q993" s="154" t="str">
        <f t="shared" si="348"/>
        <v>Szabó Ákos Roland - KHSE</v>
      </c>
      <c r="R993" s="154" t="s">
        <v>636</v>
      </c>
      <c r="S993" s="154" t="str">
        <f t="shared" si="349"/>
        <v>KHSE</v>
      </c>
      <c r="T993" s="154" t="s">
        <v>645</v>
      </c>
      <c r="U993" s="154" t="s">
        <v>799</v>
      </c>
      <c r="V993" s="154"/>
    </row>
    <row r="994" spans="1:22" s="158" customFormat="1" x14ac:dyDescent="0.3">
      <c r="A994" s="154" t="s">
        <v>777</v>
      </c>
      <c r="B994" s="155" t="s">
        <v>154</v>
      </c>
      <c r="C994" s="154">
        <v>912</v>
      </c>
      <c r="D994" s="156" t="str">
        <f t="shared" si="356"/>
        <v>Kumite</v>
      </c>
      <c r="E994" s="156" t="str">
        <f t="shared" si="357"/>
        <v>Kumite, -, 60-65 kg, Junior DOL (17-19</v>
      </c>
      <c r="F994" s="156" t="s">
        <v>497</v>
      </c>
      <c r="G994" s="157" t="str">
        <f t="shared" si="358"/>
        <v>7</v>
      </c>
      <c r="H994" s="156" t="str">
        <f t="shared" si="359"/>
        <v>8 fős egyenes kiesés + 3. hely</v>
      </c>
      <c r="I994" s="157" t="str">
        <f>"2"</f>
        <v>2</v>
      </c>
      <c r="J994" s="156" t="str">
        <f>"Bacskai Bence"</f>
        <v>Bacskai Bence</v>
      </c>
      <c r="K994" s="156" t="str">
        <f>"KHSE"</f>
        <v>KHSE</v>
      </c>
      <c r="L994" s="156" t="str">
        <f t="shared" si="347"/>
        <v>HUN</v>
      </c>
      <c r="M994" s="163">
        <v>6</v>
      </c>
      <c r="O994" s="154" t="s">
        <v>410</v>
      </c>
      <c r="P994" s="159">
        <v>46103</v>
      </c>
      <c r="Q994" s="154" t="str">
        <f t="shared" si="348"/>
        <v>Bacskai Bence - KHSE</v>
      </c>
      <c r="R994" s="154" t="s">
        <v>636</v>
      </c>
      <c r="S994" s="154" t="str">
        <f t="shared" si="349"/>
        <v>KHSE</v>
      </c>
      <c r="T994" s="154" t="s">
        <v>645</v>
      </c>
      <c r="U994" s="154" t="s">
        <v>799</v>
      </c>
      <c r="V994" s="154"/>
    </row>
    <row r="995" spans="1:22" s="158" customFormat="1" x14ac:dyDescent="0.3">
      <c r="A995" s="154" t="s">
        <v>777</v>
      </c>
      <c r="B995" s="155" t="s">
        <v>154</v>
      </c>
      <c r="C995" s="154">
        <v>913</v>
      </c>
      <c r="D995" s="156" t="str">
        <f t="shared" si="356"/>
        <v>Kumite</v>
      </c>
      <c r="E995" s="156" t="str">
        <f t="shared" si="357"/>
        <v>Kumite, -, 60-65 kg, Junior DOL (17-19</v>
      </c>
      <c r="F995" s="156" t="s">
        <v>497</v>
      </c>
      <c r="G995" s="157" t="str">
        <f t="shared" si="358"/>
        <v>7</v>
      </c>
      <c r="H995" s="156" t="str">
        <f t="shared" si="359"/>
        <v>8 fős egyenes kiesés + 3. hely</v>
      </c>
      <c r="I995" s="157" t="str">
        <f>"3"</f>
        <v>3</v>
      </c>
      <c r="J995" s="156" t="str">
        <f>"Danka Hunor"</f>
        <v>Danka Hunor</v>
      </c>
      <c r="K995" s="156" t="str">
        <f>"Nagykátai Bushido SE"</f>
        <v>Nagykátai Bushido SE</v>
      </c>
      <c r="L995" s="156" t="str">
        <f t="shared" si="347"/>
        <v>HUN</v>
      </c>
      <c r="M995" s="163">
        <v>4</v>
      </c>
      <c r="O995" s="154" t="s">
        <v>410</v>
      </c>
      <c r="P995" s="159">
        <v>46103</v>
      </c>
      <c r="Q995" s="154" t="str">
        <f t="shared" si="348"/>
        <v>Danka Hunor - Nagykátai Bushido SE</v>
      </c>
      <c r="R995" s="154" t="s">
        <v>636</v>
      </c>
      <c r="S995" s="154" t="str">
        <f t="shared" si="349"/>
        <v>Nagykátai Bushido SE</v>
      </c>
      <c r="T995" s="154" t="s">
        <v>645</v>
      </c>
      <c r="U995" s="154" t="s">
        <v>799</v>
      </c>
      <c r="V995" s="154"/>
    </row>
    <row r="996" spans="1:22" s="158" customFormat="1" x14ac:dyDescent="0.3">
      <c r="A996" s="154" t="s">
        <v>777</v>
      </c>
      <c r="B996" s="155" t="s">
        <v>154</v>
      </c>
      <c r="C996" s="154">
        <v>914</v>
      </c>
      <c r="D996" s="156" t="str">
        <f t="shared" si="356"/>
        <v>Kumite</v>
      </c>
      <c r="E996" s="156" t="str">
        <f t="shared" si="357"/>
        <v>Kumite, -, 60-65 kg, Junior DOL (17-19</v>
      </c>
      <c r="F996" s="156" t="s">
        <v>497</v>
      </c>
      <c r="G996" s="157" t="str">
        <f t="shared" si="358"/>
        <v>7</v>
      </c>
      <c r="H996" s="156" t="str">
        <f t="shared" si="359"/>
        <v>8 fős egyenes kiesés + 3. hely</v>
      </c>
      <c r="I996" s="157" t="str">
        <f>"4"</f>
        <v>4</v>
      </c>
      <c r="J996" s="156" t="str">
        <f>"Vincze Balázs"</f>
        <v>Vincze Balázs</v>
      </c>
      <c r="K996" s="156" t="str">
        <f>"TADASHII "</f>
        <v xml:space="preserve">TADASHII </v>
      </c>
      <c r="L996" s="156" t="str">
        <f t="shared" si="347"/>
        <v>HUN</v>
      </c>
      <c r="M996" s="163">
        <v>4</v>
      </c>
      <c r="O996" s="154" t="s">
        <v>410</v>
      </c>
      <c r="P996" s="159">
        <v>46103</v>
      </c>
      <c r="Q996" s="154" t="str">
        <f t="shared" si="348"/>
        <v xml:space="preserve">Vincze Balázs - TADASHII </v>
      </c>
      <c r="R996" s="154" t="s">
        <v>637</v>
      </c>
      <c r="S996" s="154" t="str">
        <f t="shared" si="349"/>
        <v xml:space="preserve">TADASHII </v>
      </c>
      <c r="T996" s="154" t="s">
        <v>645</v>
      </c>
      <c r="U996" s="154" t="s">
        <v>799</v>
      </c>
      <c r="V996" s="154"/>
    </row>
    <row r="997" spans="1:22" s="158" customFormat="1" x14ac:dyDescent="0.3">
      <c r="A997" s="154" t="s">
        <v>777</v>
      </c>
      <c r="B997" s="155" t="s">
        <v>154</v>
      </c>
      <c r="C997" s="154">
        <v>915</v>
      </c>
      <c r="D997" s="156" t="str">
        <f t="shared" si="356"/>
        <v>Kumite</v>
      </c>
      <c r="E997" s="156" t="str">
        <f t="shared" si="357"/>
        <v>Kumite, -, 60-65 kg, Junior DOL (17-19</v>
      </c>
      <c r="F997" s="156" t="s">
        <v>497</v>
      </c>
      <c r="G997" s="157" t="str">
        <f t="shared" si="358"/>
        <v>7</v>
      </c>
      <c r="H997" s="156" t="str">
        <f t="shared" si="359"/>
        <v>8 fős egyenes kiesés + 3. hely</v>
      </c>
      <c r="I997" s="157" t="str">
        <f>"5"</f>
        <v>5</v>
      </c>
      <c r="J997" s="156" t="str">
        <f>"Varga Tamás"</f>
        <v>Varga Tamás</v>
      </c>
      <c r="K997" s="156" t="str">
        <f>"Goukai KSE"</f>
        <v>Goukai KSE</v>
      </c>
      <c r="L997" s="156" t="str">
        <f t="shared" si="347"/>
        <v>HUN</v>
      </c>
      <c r="M997" s="163">
        <v>0</v>
      </c>
      <c r="O997" s="154" t="s">
        <v>410</v>
      </c>
      <c r="P997" s="159">
        <v>46103</v>
      </c>
      <c r="Q997" s="154" t="str">
        <f t="shared" si="348"/>
        <v>Varga Tamás - Goukai KSE</v>
      </c>
      <c r="R997" s="154" t="s">
        <v>636</v>
      </c>
      <c r="S997" s="154" t="str">
        <f t="shared" si="349"/>
        <v>Goukai KSE</v>
      </c>
      <c r="T997" s="154" t="s">
        <v>645</v>
      </c>
      <c r="U997" s="154" t="s">
        <v>799</v>
      </c>
      <c r="V997" s="154"/>
    </row>
    <row r="998" spans="1:22" s="158" customFormat="1" x14ac:dyDescent="0.3">
      <c r="A998" s="154" t="s">
        <v>777</v>
      </c>
      <c r="B998" s="155" t="s">
        <v>154</v>
      </c>
      <c r="C998" s="154">
        <v>916</v>
      </c>
      <c r="D998" s="156" t="str">
        <f t="shared" si="356"/>
        <v>Kumite</v>
      </c>
      <c r="E998" s="156" t="str">
        <f t="shared" si="357"/>
        <v>Kumite, -, 60-65 kg, Junior DOL (17-19</v>
      </c>
      <c r="F998" s="156" t="s">
        <v>497</v>
      </c>
      <c r="G998" s="157" t="str">
        <f t="shared" si="358"/>
        <v>7</v>
      </c>
      <c r="H998" s="156" t="str">
        <f t="shared" si="359"/>
        <v>8 fős egyenes kiesés + 3. hely</v>
      </c>
      <c r="I998" s="157" t="str">
        <f>"7-8"</f>
        <v>7-8</v>
      </c>
      <c r="J998" s="156" t="str">
        <f>"Balogh András Barnabás"</f>
        <v>Balogh András Barnabás</v>
      </c>
      <c r="K998" s="156" t="str">
        <f>"Ippon KKSE"</f>
        <v>Ippon KKSE</v>
      </c>
      <c r="L998" s="156" t="str">
        <f t="shared" si="347"/>
        <v>HUN</v>
      </c>
      <c r="M998" s="163">
        <v>0</v>
      </c>
      <c r="O998" s="154" t="s">
        <v>410</v>
      </c>
      <c r="P998" s="159">
        <v>46103</v>
      </c>
      <c r="Q998" s="154" t="str">
        <f t="shared" si="348"/>
        <v>Balogh András Barnabás - Ippon KKSE</v>
      </c>
      <c r="R998" s="154" t="s">
        <v>636</v>
      </c>
      <c r="S998" s="154" t="str">
        <f t="shared" si="349"/>
        <v>Ippon KKSE</v>
      </c>
      <c r="T998" s="154" t="s">
        <v>645</v>
      </c>
      <c r="U998" s="154" t="s">
        <v>799</v>
      </c>
      <c r="V998" s="154"/>
    </row>
    <row r="999" spans="1:22" s="158" customFormat="1" x14ac:dyDescent="0.3">
      <c r="A999" s="154" t="s">
        <v>777</v>
      </c>
      <c r="B999" s="155" t="s">
        <v>154</v>
      </c>
      <c r="C999" s="154">
        <v>917</v>
      </c>
      <c r="D999" s="156" t="str">
        <f t="shared" si="356"/>
        <v>Kumite</v>
      </c>
      <c r="E999" s="156" t="str">
        <f t="shared" si="357"/>
        <v>Kumite, -, 60-65 kg, Junior DOL (17-19</v>
      </c>
      <c r="F999" s="156" t="s">
        <v>497</v>
      </c>
      <c r="G999" s="157" t="str">
        <f t="shared" si="358"/>
        <v>7</v>
      </c>
      <c r="H999" s="156" t="str">
        <f t="shared" si="359"/>
        <v>8 fős egyenes kiesés + 3. hely</v>
      </c>
      <c r="I999" s="157" t="str">
        <f>"7-8"</f>
        <v>7-8</v>
      </c>
      <c r="J999" s="156" t="str">
        <f>"Kovácsay Gergely"</f>
        <v>Kovácsay Gergely</v>
      </c>
      <c r="K999" s="156" t="str">
        <f>"Ippon KKSE"</f>
        <v>Ippon KKSE</v>
      </c>
      <c r="L999" s="156" t="str">
        <f t="shared" si="347"/>
        <v>HUN</v>
      </c>
      <c r="M999" s="163">
        <v>0</v>
      </c>
      <c r="O999" s="154" t="s">
        <v>410</v>
      </c>
      <c r="P999" s="159">
        <v>46103</v>
      </c>
      <c r="Q999" s="154" t="str">
        <f t="shared" si="348"/>
        <v>Kovácsay Gergely - Ippon KKSE</v>
      </c>
      <c r="R999" s="154" t="s">
        <v>636</v>
      </c>
      <c r="S999" s="154" t="str">
        <f t="shared" si="349"/>
        <v>Ippon KKSE</v>
      </c>
      <c r="T999" s="154" t="s">
        <v>645</v>
      </c>
      <c r="U999" s="154" t="s">
        <v>799</v>
      </c>
      <c r="V999" s="154"/>
    </row>
    <row r="1000" spans="1:22" s="158" customFormat="1" x14ac:dyDescent="0.3">
      <c r="A1000" s="154" t="s">
        <v>777</v>
      </c>
      <c r="B1000" s="155" t="s">
        <v>154</v>
      </c>
      <c r="C1000" s="154">
        <v>918</v>
      </c>
      <c r="D1000" s="156" t="str">
        <f t="shared" si="356"/>
        <v>Kumite</v>
      </c>
      <c r="E1000" s="156" t="str">
        <f t="shared" ref="E1000:E1007" si="360">"Kumite, -, 65-70 kg, Junior DOL (17-19"</f>
        <v>Kumite, -, 65-70 kg, Junior DOL (17-19</v>
      </c>
      <c r="F1000" s="156" t="s">
        <v>498</v>
      </c>
      <c r="G1000" s="157" t="str">
        <f t="shared" ref="G1000:G1014" si="361">"8"</f>
        <v>8</v>
      </c>
      <c r="H1000" s="156" t="str">
        <f t="shared" ref="H1000:H1007" si="362">"8 fős egyenes kiesés"</f>
        <v>8 fős egyenes kiesés</v>
      </c>
      <c r="I1000" s="157" t="str">
        <f>"1"</f>
        <v>1</v>
      </c>
      <c r="J1000" s="156" t="str">
        <f>"Böszörményi Gergő"</f>
        <v>Böszörményi Gergő</v>
      </c>
      <c r="K1000" s="156" t="str">
        <f>"Victory"</f>
        <v>Victory</v>
      </c>
      <c r="L1000" s="156" t="str">
        <f t="shared" si="347"/>
        <v>HUN</v>
      </c>
      <c r="M1000" s="163">
        <v>8</v>
      </c>
      <c r="O1000" s="154" t="s">
        <v>410</v>
      </c>
      <c r="P1000" s="159">
        <v>46103</v>
      </c>
      <c r="Q1000" s="154" t="str">
        <f t="shared" si="348"/>
        <v>Böszörményi Gergő - Victory</v>
      </c>
      <c r="R1000" s="154" t="s">
        <v>636</v>
      </c>
      <c r="S1000" s="154" t="str">
        <f t="shared" si="349"/>
        <v>Victory</v>
      </c>
      <c r="T1000" s="154" t="s">
        <v>645</v>
      </c>
      <c r="U1000" s="154" t="s">
        <v>799</v>
      </c>
      <c r="V1000" s="154"/>
    </row>
    <row r="1001" spans="1:22" s="158" customFormat="1" x14ac:dyDescent="0.3">
      <c r="A1001" s="154" t="s">
        <v>777</v>
      </c>
      <c r="B1001" s="155" t="s">
        <v>154</v>
      </c>
      <c r="C1001" s="154">
        <v>919</v>
      </c>
      <c r="D1001" s="156" t="str">
        <f t="shared" si="356"/>
        <v>Kumite</v>
      </c>
      <c r="E1001" s="156" t="str">
        <f t="shared" si="360"/>
        <v>Kumite, -, 65-70 kg, Junior DOL (17-19</v>
      </c>
      <c r="F1001" s="156" t="s">
        <v>498</v>
      </c>
      <c r="G1001" s="157" t="str">
        <f t="shared" si="361"/>
        <v>8</v>
      </c>
      <c r="H1001" s="156" t="str">
        <f t="shared" si="362"/>
        <v>8 fős egyenes kiesés</v>
      </c>
      <c r="I1001" s="157" t="str">
        <f>"2"</f>
        <v>2</v>
      </c>
      <c r="J1001" s="156" t="str">
        <f>"Nagy Benedek"</f>
        <v>Nagy Benedek</v>
      </c>
      <c r="K1001" s="156" t="str">
        <f>"Tora HSE"</f>
        <v>Tora HSE</v>
      </c>
      <c r="L1001" s="156" t="str">
        <f t="shared" si="347"/>
        <v>HUN</v>
      </c>
      <c r="M1001" s="163">
        <v>6</v>
      </c>
      <c r="O1001" s="154" t="s">
        <v>410</v>
      </c>
      <c r="P1001" s="159">
        <v>46103</v>
      </c>
      <c r="Q1001" s="154" t="str">
        <f t="shared" si="348"/>
        <v>Nagy Benedek - Tora HSE</v>
      </c>
      <c r="R1001" s="154" t="s">
        <v>637</v>
      </c>
      <c r="S1001" s="154" t="str">
        <f t="shared" si="349"/>
        <v>Tora HSE</v>
      </c>
      <c r="T1001" s="154" t="s">
        <v>645</v>
      </c>
      <c r="U1001" s="154" t="s">
        <v>799</v>
      </c>
      <c r="V1001" s="154"/>
    </row>
    <row r="1002" spans="1:22" s="158" customFormat="1" x14ac:dyDescent="0.3">
      <c r="A1002" s="154" t="s">
        <v>777</v>
      </c>
      <c r="B1002" s="155" t="s">
        <v>154</v>
      </c>
      <c r="C1002" s="154">
        <v>920</v>
      </c>
      <c r="D1002" s="156" t="str">
        <f t="shared" si="356"/>
        <v>Kumite</v>
      </c>
      <c r="E1002" s="156" t="str">
        <f t="shared" si="360"/>
        <v>Kumite, -, 65-70 kg, Junior DOL (17-19</v>
      </c>
      <c r="F1002" s="156" t="s">
        <v>498</v>
      </c>
      <c r="G1002" s="157" t="str">
        <f t="shared" si="361"/>
        <v>8</v>
      </c>
      <c r="H1002" s="156" t="str">
        <f t="shared" si="362"/>
        <v>8 fős egyenes kiesés</v>
      </c>
      <c r="I1002" s="157" t="str">
        <f>"3"</f>
        <v>3</v>
      </c>
      <c r="J1002" s="156" t="str">
        <f>"Takács-Sárkány Csanád"</f>
        <v>Takács-Sárkány Csanád</v>
      </c>
      <c r="K1002" s="156" t="str">
        <f>"KHSE"</f>
        <v>KHSE</v>
      </c>
      <c r="L1002" s="156" t="str">
        <f t="shared" si="347"/>
        <v>HUN</v>
      </c>
      <c r="M1002" s="163">
        <v>4</v>
      </c>
      <c r="O1002" s="154" t="s">
        <v>410</v>
      </c>
      <c r="P1002" s="159">
        <v>46103</v>
      </c>
      <c r="Q1002" s="154" t="str">
        <f t="shared" si="348"/>
        <v>Takács-Sárkány Csanád - KHSE</v>
      </c>
      <c r="R1002" s="154" t="s">
        <v>636</v>
      </c>
      <c r="S1002" s="154" t="str">
        <f t="shared" si="349"/>
        <v>KHSE</v>
      </c>
      <c r="T1002" s="154" t="s">
        <v>645</v>
      </c>
      <c r="U1002" s="154" t="s">
        <v>799</v>
      </c>
      <c r="V1002" s="154"/>
    </row>
    <row r="1003" spans="1:22" s="158" customFormat="1" x14ac:dyDescent="0.3">
      <c r="A1003" s="154" t="s">
        <v>777</v>
      </c>
      <c r="B1003" s="155" t="s">
        <v>154</v>
      </c>
      <c r="C1003" s="154">
        <v>921</v>
      </c>
      <c r="D1003" s="156" t="str">
        <f t="shared" si="356"/>
        <v>Kumite</v>
      </c>
      <c r="E1003" s="156" t="str">
        <f t="shared" si="360"/>
        <v>Kumite, -, 65-70 kg, Junior DOL (17-19</v>
      </c>
      <c r="F1003" s="156" t="s">
        <v>498</v>
      </c>
      <c r="G1003" s="157" t="str">
        <f t="shared" si="361"/>
        <v>8</v>
      </c>
      <c r="H1003" s="156" t="str">
        <f t="shared" si="362"/>
        <v>8 fős egyenes kiesés</v>
      </c>
      <c r="I1003" s="157" t="str">
        <f>"3"</f>
        <v>3</v>
      </c>
      <c r="J1003" s="156" t="str">
        <f>"Szente Szabolcs"</f>
        <v>Szente Szabolcs</v>
      </c>
      <c r="K1003" s="156" t="str">
        <f>"VTSE"</f>
        <v>VTSE</v>
      </c>
      <c r="L1003" s="156" t="str">
        <f t="shared" si="347"/>
        <v>HUN</v>
      </c>
      <c r="M1003" s="163">
        <v>4</v>
      </c>
      <c r="O1003" s="154" t="s">
        <v>410</v>
      </c>
      <c r="P1003" s="159">
        <v>46103</v>
      </c>
      <c r="Q1003" s="154" t="str">
        <f t="shared" si="348"/>
        <v>Szente Szabolcs - VTSE</v>
      </c>
      <c r="R1003" s="154" t="s">
        <v>637</v>
      </c>
      <c r="S1003" s="154" t="str">
        <f t="shared" si="349"/>
        <v>VTSE</v>
      </c>
      <c r="T1003" s="154" t="s">
        <v>645</v>
      </c>
      <c r="U1003" s="154" t="s">
        <v>799</v>
      </c>
      <c r="V1003" s="154"/>
    </row>
    <row r="1004" spans="1:22" s="158" customFormat="1" x14ac:dyDescent="0.3">
      <c r="A1004" s="154" t="s">
        <v>777</v>
      </c>
      <c r="B1004" s="155" t="s">
        <v>154</v>
      </c>
      <c r="C1004" s="154">
        <v>978</v>
      </c>
      <c r="D1004" s="156" t="str">
        <f>"Kumite"</f>
        <v>Kumite</v>
      </c>
      <c r="E1004" s="156" t="str">
        <f>"Kumite, -, 65-70 kg, Junior DOL (17-19"</f>
        <v>Kumite, -, 65-70 kg, Junior DOL (17-19</v>
      </c>
      <c r="F1004" s="156" t="s">
        <v>498</v>
      </c>
      <c r="G1004" s="157" t="str">
        <f>"8"</f>
        <v>8</v>
      </c>
      <c r="H1004" s="156" t="str">
        <f>"8 fős egyenes kiesés"</f>
        <v>8 fős egyenes kiesés</v>
      </c>
      <c r="I1004" s="157" t="str">
        <f>"5"</f>
        <v>5</v>
      </c>
      <c r="J1004" s="156" t="str">
        <f>"Sebők Zsombor"</f>
        <v>Sebők Zsombor</v>
      </c>
      <c r="K1004" s="156" t="str">
        <f>"Shogun"</f>
        <v>Shogun</v>
      </c>
      <c r="L1004" s="156" t="str">
        <f t="shared" ref="L1004:L1073" si="363">"HUN"</f>
        <v>HUN</v>
      </c>
      <c r="M1004" s="163">
        <v>0</v>
      </c>
      <c r="O1004" s="154" t="s">
        <v>410</v>
      </c>
      <c r="P1004" s="159">
        <v>46103</v>
      </c>
      <c r="Q1004" s="154" t="str">
        <f>J1004&amp;" - "&amp;K1004</f>
        <v>Sebők Zsombor - Shogun</v>
      </c>
      <c r="R1004" s="154" t="s">
        <v>636</v>
      </c>
      <c r="S1004" s="154" t="str">
        <f>K1004</f>
        <v>Shogun</v>
      </c>
      <c r="T1004" s="154" t="s">
        <v>645</v>
      </c>
      <c r="U1004" s="154" t="s">
        <v>799</v>
      </c>
      <c r="V1004" s="154"/>
    </row>
    <row r="1005" spans="1:22" s="158" customFormat="1" x14ac:dyDescent="0.3">
      <c r="A1005" s="154" t="s">
        <v>777</v>
      </c>
      <c r="B1005" s="155" t="s">
        <v>154</v>
      </c>
      <c r="C1005" s="154">
        <v>922</v>
      </c>
      <c r="D1005" s="156" t="str">
        <f t="shared" si="356"/>
        <v>Kumite</v>
      </c>
      <c r="E1005" s="156" t="str">
        <f t="shared" si="360"/>
        <v>Kumite, -, 65-70 kg, Junior DOL (17-19</v>
      </c>
      <c r="F1005" s="156" t="s">
        <v>498</v>
      </c>
      <c r="G1005" s="157" t="str">
        <f t="shared" si="361"/>
        <v>8</v>
      </c>
      <c r="H1005" s="156" t="str">
        <f t="shared" si="362"/>
        <v>8 fős egyenes kiesés</v>
      </c>
      <c r="I1005" s="157" t="str">
        <f>"6"</f>
        <v>6</v>
      </c>
      <c r="J1005" s="156" t="str">
        <f>"Kovács Levente"</f>
        <v>Kovács Levente</v>
      </c>
      <c r="K1005" s="156" t="str">
        <f>"Nozomu Dojo"</f>
        <v>Nozomu Dojo</v>
      </c>
      <c r="L1005" s="156" t="str">
        <f t="shared" si="347"/>
        <v>HUN</v>
      </c>
      <c r="M1005" s="163">
        <v>0</v>
      </c>
      <c r="O1005" s="154" t="s">
        <v>410</v>
      </c>
      <c r="P1005" s="159">
        <v>46103</v>
      </c>
      <c r="Q1005" s="154" t="str">
        <f t="shared" si="348"/>
        <v>Kovács Levente - Nozomu Dojo</v>
      </c>
      <c r="R1005" s="154" t="s">
        <v>636</v>
      </c>
      <c r="S1005" s="154" t="str">
        <f t="shared" si="349"/>
        <v>Nozomu Dojo</v>
      </c>
      <c r="T1005" s="154" t="s">
        <v>645</v>
      </c>
      <c r="U1005" s="154" t="s">
        <v>799</v>
      </c>
      <c r="V1005" s="154"/>
    </row>
    <row r="1006" spans="1:22" s="158" customFormat="1" x14ac:dyDescent="0.3">
      <c r="A1006" s="154" t="s">
        <v>777</v>
      </c>
      <c r="B1006" s="155" t="s">
        <v>154</v>
      </c>
      <c r="C1006" s="154">
        <v>923</v>
      </c>
      <c r="D1006" s="156" t="str">
        <f t="shared" si="356"/>
        <v>Kumite</v>
      </c>
      <c r="E1006" s="156" t="str">
        <f t="shared" si="360"/>
        <v>Kumite, -, 65-70 kg, Junior DOL (17-19</v>
      </c>
      <c r="F1006" s="156" t="s">
        <v>498</v>
      </c>
      <c r="G1006" s="157" t="str">
        <f t="shared" si="361"/>
        <v>8</v>
      </c>
      <c r="H1006" s="156" t="str">
        <f t="shared" si="362"/>
        <v>8 fős egyenes kiesés</v>
      </c>
      <c r="I1006" s="157" t="str">
        <f>"7-8"</f>
        <v>7-8</v>
      </c>
      <c r="J1006" s="156" t="str">
        <f>"Rád Balázs"</f>
        <v>Rád Balázs</v>
      </c>
      <c r="K1006" s="156" t="str">
        <f>"Nintai KKSE"</f>
        <v>Nintai KKSE</v>
      </c>
      <c r="L1006" s="156" t="str">
        <f t="shared" si="347"/>
        <v>HUN</v>
      </c>
      <c r="M1006" s="163">
        <v>0</v>
      </c>
      <c r="O1006" s="154" t="s">
        <v>410</v>
      </c>
      <c r="P1006" s="159">
        <v>46103</v>
      </c>
      <c r="Q1006" s="154" t="str">
        <f t="shared" si="348"/>
        <v>Rád Balázs - Nintai KKSE</v>
      </c>
      <c r="R1006" s="154" t="s">
        <v>637</v>
      </c>
      <c r="S1006" s="154" t="str">
        <f t="shared" si="349"/>
        <v>Nintai KKSE</v>
      </c>
      <c r="T1006" s="154" t="s">
        <v>645</v>
      </c>
      <c r="U1006" s="154" t="s">
        <v>799</v>
      </c>
      <c r="V1006" s="154"/>
    </row>
    <row r="1007" spans="1:22" s="158" customFormat="1" x14ac:dyDescent="0.3">
      <c r="A1007" s="154" t="s">
        <v>777</v>
      </c>
      <c r="B1007" s="155" t="s">
        <v>154</v>
      </c>
      <c r="C1007" s="154">
        <v>924</v>
      </c>
      <c r="D1007" s="156" t="str">
        <f t="shared" si="356"/>
        <v>Kumite</v>
      </c>
      <c r="E1007" s="156" t="str">
        <f t="shared" si="360"/>
        <v>Kumite, -, 65-70 kg, Junior DOL (17-19</v>
      </c>
      <c r="F1007" s="156" t="s">
        <v>498</v>
      </c>
      <c r="G1007" s="157" t="str">
        <f t="shared" si="361"/>
        <v>8</v>
      </c>
      <c r="H1007" s="156" t="str">
        <f t="shared" si="362"/>
        <v>8 fős egyenes kiesés</v>
      </c>
      <c r="I1007" s="157" t="str">
        <f>"7-8"</f>
        <v>7-8</v>
      </c>
      <c r="J1007" s="156" t="str">
        <f>"Földi Bence "</f>
        <v xml:space="preserve">Földi Bence </v>
      </c>
      <c r="K1007" s="156" t="str">
        <f>"Victory"</f>
        <v>Victory</v>
      </c>
      <c r="L1007" s="156" t="str">
        <f t="shared" si="347"/>
        <v>HUN</v>
      </c>
      <c r="M1007" s="163">
        <v>0</v>
      </c>
      <c r="O1007" s="154" t="s">
        <v>410</v>
      </c>
      <c r="P1007" s="159">
        <v>46103</v>
      </c>
      <c r="Q1007" s="154" t="str">
        <f t="shared" si="348"/>
        <v>Földi Bence  - Victory</v>
      </c>
      <c r="R1007" s="154" t="s">
        <v>636</v>
      </c>
      <c r="S1007" s="154" t="str">
        <f t="shared" si="349"/>
        <v>Victory</v>
      </c>
      <c r="T1007" s="154" t="s">
        <v>645</v>
      </c>
      <c r="U1007" s="154" t="s">
        <v>799</v>
      </c>
      <c r="V1007" s="154"/>
    </row>
    <row r="1008" spans="1:22" s="158" customFormat="1" x14ac:dyDescent="0.3">
      <c r="A1008" s="154" t="s">
        <v>777</v>
      </c>
      <c r="B1008" s="155" t="s">
        <v>154</v>
      </c>
      <c r="C1008" s="154">
        <v>925</v>
      </c>
      <c r="D1008" s="156" t="str">
        <f t="shared" si="356"/>
        <v>Kumite</v>
      </c>
      <c r="E1008" s="156" t="str">
        <f t="shared" ref="E1008:E1014" si="364">"Kumite, -, 70-75 kg, Junior DOL (17-19"</f>
        <v>Kumite, -, 70-75 kg, Junior DOL (17-19</v>
      </c>
      <c r="F1008" s="156" t="s">
        <v>499</v>
      </c>
      <c r="G1008" s="157" t="str">
        <f t="shared" si="361"/>
        <v>8</v>
      </c>
      <c r="H1008" s="156" t="str">
        <f t="shared" ref="H1008:H1014" si="365">"8 fős egyenes kiesés + 3. hely"</f>
        <v>8 fős egyenes kiesés + 3. hely</v>
      </c>
      <c r="I1008" s="157" t="str">
        <f>"1"</f>
        <v>1</v>
      </c>
      <c r="J1008" s="156" t="str">
        <f>"Földi Balázs"</f>
        <v>Földi Balázs</v>
      </c>
      <c r="K1008" s="156" t="str">
        <f>"Victory"</f>
        <v>Victory</v>
      </c>
      <c r="L1008" s="156" t="str">
        <f t="shared" si="347"/>
        <v>HUN</v>
      </c>
      <c r="M1008" s="163">
        <v>8</v>
      </c>
      <c r="O1008" s="154" t="s">
        <v>410</v>
      </c>
      <c r="P1008" s="159">
        <v>46103</v>
      </c>
      <c r="Q1008" s="154" t="str">
        <f t="shared" si="348"/>
        <v>Földi Balázs - Victory</v>
      </c>
      <c r="R1008" s="154" t="s">
        <v>636</v>
      </c>
      <c r="S1008" s="154" t="str">
        <f t="shared" si="349"/>
        <v>Victory</v>
      </c>
      <c r="T1008" s="154" t="s">
        <v>645</v>
      </c>
      <c r="U1008" s="154" t="s">
        <v>799</v>
      </c>
      <c r="V1008" s="154"/>
    </row>
    <row r="1009" spans="1:22" s="158" customFormat="1" x14ac:dyDescent="0.3">
      <c r="A1009" s="154" t="s">
        <v>777</v>
      </c>
      <c r="B1009" s="155" t="s">
        <v>154</v>
      </c>
      <c r="C1009" s="154">
        <v>926</v>
      </c>
      <c r="D1009" s="156" t="str">
        <f t="shared" si="356"/>
        <v>Kumite</v>
      </c>
      <c r="E1009" s="156" t="str">
        <f t="shared" si="364"/>
        <v>Kumite, -, 70-75 kg, Junior DOL (17-19</v>
      </c>
      <c r="F1009" s="156" t="s">
        <v>499</v>
      </c>
      <c r="G1009" s="157" t="str">
        <f t="shared" si="361"/>
        <v>8</v>
      </c>
      <c r="H1009" s="156" t="str">
        <f t="shared" si="365"/>
        <v>8 fős egyenes kiesés + 3. hely</v>
      </c>
      <c r="I1009" s="157" t="str">
        <f>"2"</f>
        <v>2</v>
      </c>
      <c r="J1009" s="156" t="str">
        <f>"Kiss Gábor"</f>
        <v>Kiss Gábor</v>
      </c>
      <c r="K1009" s="156" t="str">
        <f>"Victory"</f>
        <v>Victory</v>
      </c>
      <c r="L1009" s="156" t="str">
        <f t="shared" si="347"/>
        <v>HUN</v>
      </c>
      <c r="M1009" s="163">
        <v>6</v>
      </c>
      <c r="O1009" s="154" t="s">
        <v>410</v>
      </c>
      <c r="P1009" s="159">
        <v>46103</v>
      </c>
      <c r="Q1009" s="154" t="str">
        <f t="shared" si="348"/>
        <v>Kiss Gábor - Victory</v>
      </c>
      <c r="R1009" s="154" t="s">
        <v>636</v>
      </c>
      <c r="S1009" s="154" t="str">
        <f t="shared" si="349"/>
        <v>Victory</v>
      </c>
      <c r="T1009" s="154" t="s">
        <v>645</v>
      </c>
      <c r="U1009" s="154" t="s">
        <v>799</v>
      </c>
      <c r="V1009" s="154"/>
    </row>
    <row r="1010" spans="1:22" s="158" customFormat="1" x14ac:dyDescent="0.3">
      <c r="A1010" s="154" t="s">
        <v>777</v>
      </c>
      <c r="B1010" s="155" t="s">
        <v>154</v>
      </c>
      <c r="C1010" s="154">
        <v>927</v>
      </c>
      <c r="D1010" s="156" t="str">
        <f t="shared" si="356"/>
        <v>Kumite</v>
      </c>
      <c r="E1010" s="156" t="str">
        <f t="shared" si="364"/>
        <v>Kumite, -, 70-75 kg, Junior DOL (17-19</v>
      </c>
      <c r="F1010" s="156" t="s">
        <v>499</v>
      </c>
      <c r="G1010" s="157" t="str">
        <f t="shared" si="361"/>
        <v>8</v>
      </c>
      <c r="H1010" s="156" t="str">
        <f t="shared" si="365"/>
        <v>8 fős egyenes kiesés + 3. hely</v>
      </c>
      <c r="I1010" s="157" t="str">
        <f>"4"</f>
        <v>4</v>
      </c>
      <c r="J1010" s="156" t="str">
        <f>"Ferenczi Attila"</f>
        <v>Ferenczi Attila</v>
      </c>
      <c r="K1010" s="156" t="str">
        <f>"VTSE"</f>
        <v>VTSE</v>
      </c>
      <c r="L1010" s="156" t="str">
        <f t="shared" si="347"/>
        <v>HUN</v>
      </c>
      <c r="M1010" s="163">
        <v>0</v>
      </c>
      <c r="O1010" s="154" t="s">
        <v>410</v>
      </c>
      <c r="P1010" s="159">
        <v>46103</v>
      </c>
      <c r="Q1010" s="154" t="str">
        <f t="shared" si="348"/>
        <v>Ferenczi Attila - VTSE</v>
      </c>
      <c r="R1010" s="154" t="s">
        <v>637</v>
      </c>
      <c r="S1010" s="154" t="str">
        <f t="shared" si="349"/>
        <v>VTSE</v>
      </c>
      <c r="T1010" s="154" t="s">
        <v>645</v>
      </c>
      <c r="U1010" s="154" t="s">
        <v>799</v>
      </c>
      <c r="V1010" s="154"/>
    </row>
    <row r="1011" spans="1:22" s="158" customFormat="1" x14ac:dyDescent="0.3">
      <c r="A1011" s="154" t="s">
        <v>777</v>
      </c>
      <c r="B1011" s="155" t="s">
        <v>154</v>
      </c>
      <c r="C1011" s="154">
        <v>928</v>
      </c>
      <c r="D1011" s="156" t="str">
        <f t="shared" si="356"/>
        <v>Kumite</v>
      </c>
      <c r="E1011" s="156" t="str">
        <f t="shared" si="364"/>
        <v>Kumite, -, 70-75 kg, Junior DOL (17-19</v>
      </c>
      <c r="F1011" s="156" t="s">
        <v>499</v>
      </c>
      <c r="G1011" s="157" t="str">
        <f t="shared" si="361"/>
        <v>8</v>
      </c>
      <c r="H1011" s="156" t="str">
        <f t="shared" si="365"/>
        <v>8 fős egyenes kiesés + 3. hely</v>
      </c>
      <c r="I1011" s="157" t="str">
        <f>"5"</f>
        <v>5</v>
      </c>
      <c r="J1011" s="156" t="str">
        <f>"Vancsó Ákos"</f>
        <v>Vancsó Ákos</v>
      </c>
      <c r="K1011" s="156" t="str">
        <f>"Bendiák Dojo"</f>
        <v>Bendiák Dojo</v>
      </c>
      <c r="L1011" s="156" t="str">
        <f t="shared" si="347"/>
        <v>HUN</v>
      </c>
      <c r="M1011" s="163">
        <v>0</v>
      </c>
      <c r="O1011" s="154" t="s">
        <v>410</v>
      </c>
      <c r="P1011" s="159">
        <v>46103</v>
      </c>
      <c r="Q1011" s="154" t="str">
        <f t="shared" si="348"/>
        <v>Vancsó Ákos - Bendiák Dojo</v>
      </c>
      <c r="R1011" s="154" t="s">
        <v>636</v>
      </c>
      <c r="S1011" s="154" t="str">
        <f t="shared" si="349"/>
        <v>Bendiák Dojo</v>
      </c>
      <c r="T1011" s="154" t="s">
        <v>645</v>
      </c>
      <c r="U1011" s="154" t="s">
        <v>799</v>
      </c>
      <c r="V1011" s="154"/>
    </row>
    <row r="1012" spans="1:22" s="158" customFormat="1" x14ac:dyDescent="0.3">
      <c r="A1012" s="154" t="s">
        <v>777</v>
      </c>
      <c r="B1012" s="155" t="s">
        <v>154</v>
      </c>
      <c r="C1012" s="154">
        <v>929</v>
      </c>
      <c r="D1012" s="156" t="str">
        <f t="shared" si="356"/>
        <v>Kumite</v>
      </c>
      <c r="E1012" s="156" t="str">
        <f t="shared" si="364"/>
        <v>Kumite, -, 70-75 kg, Junior DOL (17-19</v>
      </c>
      <c r="F1012" s="156" t="s">
        <v>499</v>
      </c>
      <c r="G1012" s="157" t="str">
        <f t="shared" si="361"/>
        <v>8</v>
      </c>
      <c r="H1012" s="156" t="str">
        <f t="shared" si="365"/>
        <v>8 fős egyenes kiesés + 3. hely</v>
      </c>
      <c r="I1012" s="157" t="str">
        <f>"6"</f>
        <v>6</v>
      </c>
      <c r="J1012" s="156" t="str">
        <f>"Miskolczi Zalán"</f>
        <v>Miskolczi Zalán</v>
      </c>
      <c r="K1012" s="156" t="str">
        <f>"Kemecse SE"</f>
        <v>Kemecse SE</v>
      </c>
      <c r="L1012" s="156" t="str">
        <f t="shared" si="347"/>
        <v>HUN</v>
      </c>
      <c r="M1012" s="163">
        <v>0</v>
      </c>
      <c r="O1012" s="154" t="s">
        <v>410</v>
      </c>
      <c r="P1012" s="159">
        <v>46103</v>
      </c>
      <c r="Q1012" s="154" t="str">
        <f t="shared" si="348"/>
        <v>Miskolczi Zalán - Kemecse SE</v>
      </c>
      <c r="R1012" s="154" t="s">
        <v>636</v>
      </c>
      <c r="S1012" s="154" t="str">
        <f t="shared" si="349"/>
        <v>Kemecse SE</v>
      </c>
      <c r="T1012" s="154" t="s">
        <v>645</v>
      </c>
      <c r="U1012" s="154" t="s">
        <v>799</v>
      </c>
      <c r="V1012" s="154"/>
    </row>
    <row r="1013" spans="1:22" s="158" customFormat="1" x14ac:dyDescent="0.3">
      <c r="A1013" s="154" t="s">
        <v>777</v>
      </c>
      <c r="B1013" s="155" t="s">
        <v>154</v>
      </c>
      <c r="C1013" s="154">
        <v>930</v>
      </c>
      <c r="D1013" s="156" t="str">
        <f t="shared" si="356"/>
        <v>Kumite</v>
      </c>
      <c r="E1013" s="156" t="str">
        <f t="shared" si="364"/>
        <v>Kumite, -, 70-75 kg, Junior DOL (17-19</v>
      </c>
      <c r="F1013" s="156" t="s">
        <v>499</v>
      </c>
      <c r="G1013" s="157" t="str">
        <f t="shared" si="361"/>
        <v>8</v>
      </c>
      <c r="H1013" s="156" t="str">
        <f t="shared" si="365"/>
        <v>8 fős egyenes kiesés + 3. hely</v>
      </c>
      <c r="I1013" s="157" t="str">
        <f>"7-8"</f>
        <v>7-8</v>
      </c>
      <c r="J1013" s="156" t="str">
        <f>"Szabó Roland"</f>
        <v>Szabó Roland</v>
      </c>
      <c r="K1013" s="156" t="str">
        <f>"WARRIORS TEAM"</f>
        <v>WARRIORS TEAM</v>
      </c>
      <c r="L1013" s="156" t="str">
        <f t="shared" si="347"/>
        <v>HUN</v>
      </c>
      <c r="M1013" s="163">
        <v>0</v>
      </c>
      <c r="O1013" s="154" t="s">
        <v>410</v>
      </c>
      <c r="P1013" s="159">
        <v>46103</v>
      </c>
      <c r="Q1013" s="154" t="str">
        <f t="shared" si="348"/>
        <v>Szabó Roland - WARRIORS TEAM</v>
      </c>
      <c r="R1013" s="154" t="s">
        <v>636</v>
      </c>
      <c r="S1013" s="154" t="str">
        <f t="shared" si="349"/>
        <v>WARRIORS TEAM</v>
      </c>
      <c r="T1013" s="154" t="s">
        <v>645</v>
      </c>
      <c r="U1013" s="154" t="s">
        <v>799</v>
      </c>
      <c r="V1013" s="154"/>
    </row>
    <row r="1014" spans="1:22" s="158" customFormat="1" x14ac:dyDescent="0.3">
      <c r="A1014" s="154" t="s">
        <v>777</v>
      </c>
      <c r="B1014" s="155" t="s">
        <v>154</v>
      </c>
      <c r="C1014" s="154">
        <v>931</v>
      </c>
      <c r="D1014" s="156" t="str">
        <f t="shared" si="356"/>
        <v>Kumite</v>
      </c>
      <c r="E1014" s="156" t="str">
        <f t="shared" si="364"/>
        <v>Kumite, -, 70-75 kg, Junior DOL (17-19</v>
      </c>
      <c r="F1014" s="156" t="s">
        <v>499</v>
      </c>
      <c r="G1014" s="157" t="str">
        <f t="shared" si="361"/>
        <v>8</v>
      </c>
      <c r="H1014" s="156" t="str">
        <f t="shared" si="365"/>
        <v>8 fős egyenes kiesés + 3. hely</v>
      </c>
      <c r="I1014" s="157" t="str">
        <f>"7-8"</f>
        <v>7-8</v>
      </c>
      <c r="J1014" s="156" t="str">
        <f>"Csáti Bence Máté"</f>
        <v>Csáti Bence Máté</v>
      </c>
      <c r="K1014" s="156" t="str">
        <f>"Keizoku SE"</f>
        <v>Keizoku SE</v>
      </c>
      <c r="L1014" s="156" t="str">
        <f t="shared" si="347"/>
        <v>HUN</v>
      </c>
      <c r="M1014" s="163">
        <v>0</v>
      </c>
      <c r="O1014" s="154" t="s">
        <v>410</v>
      </c>
      <c r="P1014" s="159">
        <v>46103</v>
      </c>
      <c r="Q1014" s="154" t="str">
        <f t="shared" si="348"/>
        <v>Csáti Bence Máté - Keizoku SE</v>
      </c>
      <c r="R1014" s="154" t="s">
        <v>636</v>
      </c>
      <c r="S1014" s="154" t="str">
        <f t="shared" si="349"/>
        <v>Keizoku SE</v>
      </c>
      <c r="T1014" s="154" t="s">
        <v>645</v>
      </c>
      <c r="U1014" s="154" t="s">
        <v>799</v>
      </c>
      <c r="V1014" s="154"/>
    </row>
    <row r="1015" spans="1:22" s="158" customFormat="1" x14ac:dyDescent="0.3">
      <c r="A1015" s="154" t="s">
        <v>777</v>
      </c>
      <c r="B1015" s="155" t="s">
        <v>154</v>
      </c>
      <c r="C1015" s="154">
        <v>932</v>
      </c>
      <c r="D1015" s="156" t="str">
        <f t="shared" si="356"/>
        <v>Kumite</v>
      </c>
      <c r="E1015" s="156" t="str">
        <f>"Kumite, -, 75-80 kg, Junior DOL (17-19"</f>
        <v>Kumite, -, 75-80 kg, Junior DOL (17-19</v>
      </c>
      <c r="F1015" s="156" t="s">
        <v>500</v>
      </c>
      <c r="G1015" s="157" t="str">
        <f>"4"</f>
        <v>4</v>
      </c>
      <c r="H1015" s="156" t="str">
        <f>"4 fős körmérkőzés"</f>
        <v>4 fős körmérkőzés</v>
      </c>
      <c r="I1015" s="157" t="str">
        <f>"1"</f>
        <v>1</v>
      </c>
      <c r="J1015" s="156" t="str">
        <f>"Breznyiczki Barnabás"</f>
        <v>Breznyiczki Barnabás</v>
      </c>
      <c r="K1015" s="156" t="str">
        <f>"Nozomu Dojo"</f>
        <v>Nozomu Dojo</v>
      </c>
      <c r="L1015" s="156" t="str">
        <f t="shared" si="347"/>
        <v>HUN</v>
      </c>
      <c r="M1015" s="163">
        <v>8</v>
      </c>
      <c r="O1015" s="154" t="s">
        <v>410</v>
      </c>
      <c r="P1015" s="159">
        <v>46103</v>
      </c>
      <c r="Q1015" s="154" t="str">
        <f t="shared" si="348"/>
        <v>Breznyiczki Barnabás - Nozomu Dojo</v>
      </c>
      <c r="R1015" s="154" t="s">
        <v>636</v>
      </c>
      <c r="S1015" s="154" t="str">
        <f t="shared" si="349"/>
        <v>Nozomu Dojo</v>
      </c>
      <c r="T1015" s="154" t="s">
        <v>645</v>
      </c>
      <c r="U1015" s="154" t="s">
        <v>799</v>
      </c>
      <c r="V1015" s="154"/>
    </row>
    <row r="1016" spans="1:22" s="158" customFormat="1" x14ac:dyDescent="0.3">
      <c r="A1016" s="154" t="s">
        <v>777</v>
      </c>
      <c r="B1016" s="155" t="s">
        <v>154</v>
      </c>
      <c r="C1016" s="154">
        <v>933</v>
      </c>
      <c r="D1016" s="156" t="str">
        <f t="shared" si="356"/>
        <v>Kumite</v>
      </c>
      <c r="E1016" s="156" t="str">
        <f>"Kumite, -, 75-80 kg, Junior DOL (17-19"</f>
        <v>Kumite, -, 75-80 kg, Junior DOL (17-19</v>
      </c>
      <c r="F1016" s="156" t="s">
        <v>500</v>
      </c>
      <c r="G1016" s="157" t="str">
        <f>"4"</f>
        <v>4</v>
      </c>
      <c r="H1016" s="156" t="str">
        <f>"4 fős körmérkőzés"</f>
        <v>4 fős körmérkőzés</v>
      </c>
      <c r="I1016" s="157" t="str">
        <f>"2"</f>
        <v>2</v>
      </c>
      <c r="J1016" s="156" t="str">
        <f>"Bessenyei Csongor"</f>
        <v>Bessenyei Csongor</v>
      </c>
      <c r="K1016" s="156" t="str">
        <f>"Shogun"</f>
        <v>Shogun</v>
      </c>
      <c r="L1016" s="156" t="str">
        <f t="shared" si="347"/>
        <v>HUN</v>
      </c>
      <c r="M1016" s="163">
        <v>6</v>
      </c>
      <c r="O1016" s="154" t="s">
        <v>410</v>
      </c>
      <c r="P1016" s="159">
        <v>46103</v>
      </c>
      <c r="Q1016" s="154" t="str">
        <f t="shared" si="348"/>
        <v>Bessenyei Csongor - Shogun</v>
      </c>
      <c r="R1016" s="154" t="s">
        <v>636</v>
      </c>
      <c r="S1016" s="154" t="str">
        <f t="shared" si="349"/>
        <v>Shogun</v>
      </c>
      <c r="T1016" s="154" t="s">
        <v>645</v>
      </c>
      <c r="U1016" s="154" t="s">
        <v>799</v>
      </c>
      <c r="V1016" s="154"/>
    </row>
    <row r="1017" spans="1:22" s="158" customFormat="1" x14ac:dyDescent="0.3">
      <c r="A1017" s="154" t="s">
        <v>777</v>
      </c>
      <c r="B1017" s="155" t="s">
        <v>154</v>
      </c>
      <c r="C1017" s="154">
        <v>934</v>
      </c>
      <c r="D1017" s="156" t="str">
        <f t="shared" si="356"/>
        <v>Kumite</v>
      </c>
      <c r="E1017" s="156" t="str">
        <f>"Kumite, -, 75-80 kg, Junior DOL (17-19"</f>
        <v>Kumite, -, 75-80 kg, Junior DOL (17-19</v>
      </c>
      <c r="F1017" s="156" t="s">
        <v>500</v>
      </c>
      <c r="G1017" s="157" t="str">
        <f>"4"</f>
        <v>4</v>
      </c>
      <c r="H1017" s="156" t="str">
        <f>"4 fős körmérkőzés"</f>
        <v>4 fős körmérkőzés</v>
      </c>
      <c r="I1017" s="157" t="str">
        <f>"3"</f>
        <v>3</v>
      </c>
      <c r="J1017" s="156" t="str">
        <f>"Flaisz Róbert"</f>
        <v>Flaisz Róbert</v>
      </c>
      <c r="K1017" s="156" t="str">
        <f>"TADASHII "</f>
        <v xml:space="preserve">TADASHII </v>
      </c>
      <c r="L1017" s="156" t="str">
        <f t="shared" si="347"/>
        <v>HUN</v>
      </c>
      <c r="M1017" s="163">
        <v>4</v>
      </c>
      <c r="O1017" s="154" t="s">
        <v>410</v>
      </c>
      <c r="P1017" s="159">
        <v>46103</v>
      </c>
      <c r="Q1017" s="154" t="str">
        <f t="shared" si="348"/>
        <v xml:space="preserve">Flaisz Róbert - TADASHII </v>
      </c>
      <c r="R1017" s="154" t="s">
        <v>637</v>
      </c>
      <c r="S1017" s="154" t="str">
        <f t="shared" si="349"/>
        <v xml:space="preserve">TADASHII </v>
      </c>
      <c r="T1017" s="154" t="s">
        <v>645</v>
      </c>
      <c r="U1017" s="154" t="s">
        <v>799</v>
      </c>
      <c r="V1017" s="154"/>
    </row>
    <row r="1018" spans="1:22" s="158" customFormat="1" x14ac:dyDescent="0.3">
      <c r="A1018" s="154" t="s">
        <v>777</v>
      </c>
      <c r="B1018" s="155" t="s">
        <v>154</v>
      </c>
      <c r="C1018" s="154">
        <v>935</v>
      </c>
      <c r="D1018" s="156" t="str">
        <f t="shared" si="356"/>
        <v>Kumite</v>
      </c>
      <c r="E1018" s="156" t="str">
        <f>"Kumite, -, 75-80 kg, Junior DOL (17-19"</f>
        <v>Kumite, -, 75-80 kg, Junior DOL (17-19</v>
      </c>
      <c r="F1018" s="156" t="s">
        <v>500</v>
      </c>
      <c r="G1018" s="157" t="str">
        <f>"4"</f>
        <v>4</v>
      </c>
      <c r="H1018" s="156" t="str">
        <f>"4 fős körmérkőzés"</f>
        <v>4 fős körmérkőzés</v>
      </c>
      <c r="I1018" s="157" t="str">
        <f>"4"</f>
        <v>4</v>
      </c>
      <c r="J1018" s="156" t="str">
        <f>"Szabó István Balázs"</f>
        <v>Szabó István Balázs</v>
      </c>
      <c r="K1018" s="156" t="str">
        <f>"KyoDabas SE."</f>
        <v>KyoDabas SE.</v>
      </c>
      <c r="L1018" s="156" t="str">
        <f t="shared" si="347"/>
        <v>HUN</v>
      </c>
      <c r="M1018" s="163">
        <v>0</v>
      </c>
      <c r="O1018" s="154" t="s">
        <v>410</v>
      </c>
      <c r="P1018" s="159">
        <v>46103</v>
      </c>
      <c r="Q1018" s="154" t="str">
        <f t="shared" si="348"/>
        <v>Szabó István Balázs - KyoDabas SE.</v>
      </c>
      <c r="R1018" s="154" t="s">
        <v>637</v>
      </c>
      <c r="S1018" s="154" t="str">
        <f t="shared" si="349"/>
        <v>KyoDabas SE.</v>
      </c>
      <c r="T1018" s="154" t="s">
        <v>645</v>
      </c>
      <c r="U1018" s="154" t="s">
        <v>799</v>
      </c>
      <c r="V1018" s="154"/>
    </row>
    <row r="1019" spans="1:22" s="158" customFormat="1" x14ac:dyDescent="0.3">
      <c r="A1019" s="154" t="s">
        <v>777</v>
      </c>
      <c r="B1019" s="155" t="s">
        <v>154</v>
      </c>
      <c r="C1019" s="154">
        <v>980</v>
      </c>
      <c r="D1019" s="156" t="str">
        <f>"Kumite"</f>
        <v>Kumite</v>
      </c>
      <c r="E1019" s="156" t="str">
        <f t="shared" ref="E1019:E1025" si="366">"Kumite, -, 80-200 kg, Junior DOL (17-19"</f>
        <v>Kumite, -, 80-200 kg, Junior DOL (17-19</v>
      </c>
      <c r="F1019" s="156" t="s">
        <v>501</v>
      </c>
      <c r="G1019" s="157" t="str">
        <f t="shared" ref="G1019:G1025" si="367">"7"</f>
        <v>7</v>
      </c>
      <c r="H1019" s="156" t="str">
        <f t="shared" ref="H1019:H1025" si="368">"8 fős egyenes kiesés"</f>
        <v>8 fős egyenes kiesés</v>
      </c>
      <c r="I1019" s="157" t="str">
        <f>"1"</f>
        <v>1</v>
      </c>
      <c r="J1019" s="156" t="str">
        <f>"Spanjevic Dániel"</f>
        <v>Spanjevic Dániel</v>
      </c>
      <c r="K1019" s="156" t="str">
        <f>"BHMSE"</f>
        <v>BHMSE</v>
      </c>
      <c r="L1019" s="156" t="str">
        <f t="shared" si="363"/>
        <v>HUN</v>
      </c>
      <c r="M1019" s="163">
        <v>8</v>
      </c>
      <c r="O1019" s="154" t="s">
        <v>410</v>
      </c>
      <c r="P1019" s="159">
        <v>46103</v>
      </c>
      <c r="Q1019" s="154" t="str">
        <f>J1019&amp;" - "&amp;K1019</f>
        <v>Spanjevic Dániel - BHMSE</v>
      </c>
      <c r="R1019" s="154" t="s">
        <v>636</v>
      </c>
      <c r="S1019" s="154" t="str">
        <f>K1019</f>
        <v>BHMSE</v>
      </c>
      <c r="T1019" s="154" t="s">
        <v>645</v>
      </c>
      <c r="U1019" s="154" t="s">
        <v>799</v>
      </c>
      <c r="V1019" s="154"/>
    </row>
    <row r="1020" spans="1:22" s="158" customFormat="1" x14ac:dyDescent="0.3">
      <c r="A1020" s="154" t="s">
        <v>777</v>
      </c>
      <c r="B1020" s="155" t="s">
        <v>154</v>
      </c>
      <c r="C1020" s="154">
        <v>936</v>
      </c>
      <c r="D1020" s="156" t="str">
        <f t="shared" si="356"/>
        <v>Kumite</v>
      </c>
      <c r="E1020" s="156" t="str">
        <f t="shared" si="366"/>
        <v>Kumite, -, 80-200 kg, Junior DOL (17-19</v>
      </c>
      <c r="F1020" s="156" t="s">
        <v>501</v>
      </c>
      <c r="G1020" s="157" t="str">
        <f t="shared" si="367"/>
        <v>7</v>
      </c>
      <c r="H1020" s="156" t="str">
        <f t="shared" si="368"/>
        <v>8 fős egyenes kiesés</v>
      </c>
      <c r="I1020" s="157" t="str">
        <f>"2"</f>
        <v>2</v>
      </c>
      <c r="J1020" s="156" t="str">
        <f>"Csorba Kristóf"</f>
        <v>Csorba Kristóf</v>
      </c>
      <c r="K1020" s="156" t="str">
        <f>"Shogun"</f>
        <v>Shogun</v>
      </c>
      <c r="L1020" s="156" t="str">
        <f t="shared" si="347"/>
        <v>HUN</v>
      </c>
      <c r="M1020" s="163">
        <v>6</v>
      </c>
      <c r="O1020" s="154" t="s">
        <v>410</v>
      </c>
      <c r="P1020" s="159">
        <v>46103</v>
      </c>
      <c r="Q1020" s="154" t="str">
        <f t="shared" si="348"/>
        <v>Csorba Kristóf - Shogun</v>
      </c>
      <c r="R1020" s="154" t="s">
        <v>636</v>
      </c>
      <c r="S1020" s="154" t="str">
        <f t="shared" si="349"/>
        <v>Shogun</v>
      </c>
      <c r="T1020" s="154" t="s">
        <v>645</v>
      </c>
      <c r="U1020" s="154" t="s">
        <v>799</v>
      </c>
      <c r="V1020" s="154"/>
    </row>
    <row r="1021" spans="1:22" s="158" customFormat="1" x14ac:dyDescent="0.3">
      <c r="A1021" s="154" t="s">
        <v>777</v>
      </c>
      <c r="B1021" s="155" t="s">
        <v>154</v>
      </c>
      <c r="C1021" s="154">
        <v>937</v>
      </c>
      <c r="D1021" s="156" t="str">
        <f t="shared" si="356"/>
        <v>Kumite</v>
      </c>
      <c r="E1021" s="156" t="str">
        <f t="shared" si="366"/>
        <v>Kumite, -, 80-200 kg, Junior DOL (17-19</v>
      </c>
      <c r="F1021" s="156" t="s">
        <v>501</v>
      </c>
      <c r="G1021" s="157" t="str">
        <f t="shared" si="367"/>
        <v>7</v>
      </c>
      <c r="H1021" s="156" t="str">
        <f t="shared" si="368"/>
        <v>8 fős egyenes kiesés</v>
      </c>
      <c r="I1021" s="157" t="str">
        <f>"3"</f>
        <v>3</v>
      </c>
      <c r="J1021" s="156" t="str">
        <f>"Tengelics Márk"</f>
        <v>Tengelics Márk</v>
      </c>
      <c r="K1021" s="156" t="str">
        <f>"IKIGAI DOJO BÖRCS"</f>
        <v>IKIGAI DOJO BÖRCS</v>
      </c>
      <c r="L1021" s="156" t="str">
        <f t="shared" si="347"/>
        <v>HUN</v>
      </c>
      <c r="M1021" s="163">
        <v>4</v>
      </c>
      <c r="O1021" s="154" t="s">
        <v>410</v>
      </c>
      <c r="P1021" s="159">
        <v>46103</v>
      </c>
      <c r="Q1021" s="154" t="str">
        <f t="shared" si="348"/>
        <v>Tengelics Márk - IKIGAI DOJO BÖRCS</v>
      </c>
      <c r="R1021" s="154" t="s">
        <v>637</v>
      </c>
      <c r="S1021" s="154" t="str">
        <f t="shared" si="349"/>
        <v>IKIGAI DOJO BÖRCS</v>
      </c>
      <c r="T1021" s="154" t="s">
        <v>645</v>
      </c>
      <c r="U1021" s="154" t="s">
        <v>799</v>
      </c>
      <c r="V1021" s="154"/>
    </row>
    <row r="1022" spans="1:22" s="158" customFormat="1" x14ac:dyDescent="0.3">
      <c r="A1022" s="154" t="s">
        <v>777</v>
      </c>
      <c r="B1022" s="155" t="s">
        <v>154</v>
      </c>
      <c r="C1022" s="154">
        <v>938</v>
      </c>
      <c r="D1022" s="156" t="str">
        <f t="shared" si="356"/>
        <v>Kumite</v>
      </c>
      <c r="E1022" s="156" t="str">
        <f t="shared" si="366"/>
        <v>Kumite, -, 80-200 kg, Junior DOL (17-19</v>
      </c>
      <c r="F1022" s="156" t="s">
        <v>501</v>
      </c>
      <c r="G1022" s="157" t="str">
        <f t="shared" si="367"/>
        <v>7</v>
      </c>
      <c r="H1022" s="156" t="str">
        <f t="shared" si="368"/>
        <v>8 fős egyenes kiesés</v>
      </c>
      <c r="I1022" s="157" t="str">
        <f>"3"</f>
        <v>3</v>
      </c>
      <c r="J1022" s="156" t="str">
        <f>"Maklári Balázs"</f>
        <v>Maklári Balázs</v>
      </c>
      <c r="K1022" s="156" t="str">
        <f>"Kisvárda KKDOSC"</f>
        <v>Kisvárda KKDOSC</v>
      </c>
      <c r="L1022" s="156" t="str">
        <f t="shared" si="347"/>
        <v>HUN</v>
      </c>
      <c r="M1022" s="163">
        <v>4</v>
      </c>
      <c r="O1022" s="154" t="s">
        <v>410</v>
      </c>
      <c r="P1022" s="159">
        <v>46103</v>
      </c>
      <c r="Q1022" s="154" t="str">
        <f t="shared" si="348"/>
        <v>Maklári Balázs - Kisvárda KKDOSC</v>
      </c>
      <c r="R1022" s="154" t="s">
        <v>636</v>
      </c>
      <c r="S1022" s="154" t="str">
        <f t="shared" si="349"/>
        <v>Kisvárda KKDOSC</v>
      </c>
      <c r="T1022" s="154" t="s">
        <v>645</v>
      </c>
      <c r="U1022" s="154" t="s">
        <v>799</v>
      </c>
      <c r="V1022" s="154"/>
    </row>
    <row r="1023" spans="1:22" s="158" customFormat="1" x14ac:dyDescent="0.3">
      <c r="A1023" s="154" t="s">
        <v>777</v>
      </c>
      <c r="B1023" s="155" t="s">
        <v>154</v>
      </c>
      <c r="C1023" s="154">
        <v>939</v>
      </c>
      <c r="D1023" s="156" t="str">
        <f t="shared" si="356"/>
        <v>Kumite</v>
      </c>
      <c r="E1023" s="156" t="str">
        <f t="shared" si="366"/>
        <v>Kumite, -, 80-200 kg, Junior DOL (17-19</v>
      </c>
      <c r="F1023" s="156" t="s">
        <v>501</v>
      </c>
      <c r="G1023" s="157" t="str">
        <f t="shared" si="367"/>
        <v>7</v>
      </c>
      <c r="H1023" s="156" t="str">
        <f t="shared" si="368"/>
        <v>8 fős egyenes kiesés</v>
      </c>
      <c r="I1023" s="157" t="str">
        <f>"5"</f>
        <v>5</v>
      </c>
      <c r="J1023" s="156" t="str">
        <f>"Soós Viktor"</f>
        <v>Soós Viktor</v>
      </c>
      <c r="K1023" s="156" t="str">
        <f>"Kisvárda KKDOSC"</f>
        <v>Kisvárda KKDOSC</v>
      </c>
      <c r="L1023" s="156" t="str">
        <f t="shared" si="347"/>
        <v>HUN</v>
      </c>
      <c r="M1023" s="163">
        <v>0</v>
      </c>
      <c r="O1023" s="154" t="s">
        <v>410</v>
      </c>
      <c r="P1023" s="159">
        <v>46103</v>
      </c>
      <c r="Q1023" s="154" t="str">
        <f t="shared" si="348"/>
        <v>Soós Viktor - Kisvárda KKDOSC</v>
      </c>
      <c r="R1023" s="154" t="s">
        <v>636</v>
      </c>
      <c r="S1023" s="154" t="str">
        <f t="shared" si="349"/>
        <v>Kisvárda KKDOSC</v>
      </c>
      <c r="T1023" s="154" t="s">
        <v>645</v>
      </c>
      <c r="U1023" s="154" t="s">
        <v>799</v>
      </c>
      <c r="V1023" s="154"/>
    </row>
    <row r="1024" spans="1:22" s="158" customFormat="1" x14ac:dyDescent="0.3">
      <c r="A1024" s="154" t="s">
        <v>777</v>
      </c>
      <c r="B1024" s="155" t="s">
        <v>154</v>
      </c>
      <c r="C1024" s="154">
        <v>940</v>
      </c>
      <c r="D1024" s="156" t="str">
        <f t="shared" si="356"/>
        <v>Kumite</v>
      </c>
      <c r="E1024" s="156" t="str">
        <f t="shared" si="366"/>
        <v>Kumite, -, 80-200 kg, Junior DOL (17-19</v>
      </c>
      <c r="F1024" s="156" t="s">
        <v>501</v>
      </c>
      <c r="G1024" s="157" t="str">
        <f t="shared" si="367"/>
        <v>7</v>
      </c>
      <c r="H1024" s="156" t="str">
        <f t="shared" si="368"/>
        <v>8 fős egyenes kiesés</v>
      </c>
      <c r="I1024" s="157" t="str">
        <f>"6"</f>
        <v>6</v>
      </c>
      <c r="J1024" s="156" t="str">
        <f>"Kozó Flórián"</f>
        <v>Kozó Flórián</v>
      </c>
      <c r="K1024" s="156" t="str">
        <f>"Shinkyo SE"</f>
        <v>Shinkyo SE</v>
      </c>
      <c r="L1024" s="156" t="str">
        <f t="shared" si="347"/>
        <v>HUN</v>
      </c>
      <c r="M1024" s="163">
        <v>0</v>
      </c>
      <c r="O1024" s="154" t="s">
        <v>410</v>
      </c>
      <c r="P1024" s="159">
        <v>46103</v>
      </c>
      <c r="Q1024" s="154" t="str">
        <f>J1024&amp;" - "&amp;K1024</f>
        <v>Kozó Flórián - Shinkyo SE</v>
      </c>
      <c r="R1024" s="154" t="s">
        <v>636</v>
      </c>
      <c r="S1024" s="154" t="str">
        <f>K1024</f>
        <v>Shinkyo SE</v>
      </c>
      <c r="T1024" s="154" t="s">
        <v>645</v>
      </c>
      <c r="U1024" s="154" t="s">
        <v>799</v>
      </c>
      <c r="V1024" s="154"/>
    </row>
    <row r="1025" spans="1:22" s="158" customFormat="1" x14ac:dyDescent="0.3">
      <c r="A1025" s="154" t="s">
        <v>777</v>
      </c>
      <c r="B1025" s="155" t="s">
        <v>154</v>
      </c>
      <c r="C1025" s="154">
        <v>981</v>
      </c>
      <c r="D1025" s="156" t="str">
        <f>"Kumite"</f>
        <v>Kumite</v>
      </c>
      <c r="E1025" s="156" t="str">
        <f t="shared" si="366"/>
        <v>Kumite, -, 80-200 kg, Junior DOL (17-19</v>
      </c>
      <c r="F1025" s="156" t="s">
        <v>501</v>
      </c>
      <c r="G1025" s="157" t="str">
        <f t="shared" si="367"/>
        <v>7</v>
      </c>
      <c r="H1025" s="156" t="str">
        <f t="shared" si="368"/>
        <v>8 fős egyenes kiesés</v>
      </c>
      <c r="I1025" s="157" t="str">
        <f>"7-8"</f>
        <v>7-8</v>
      </c>
      <c r="J1025" s="156" t="str">
        <f>"Sipos Árpád"</f>
        <v>Sipos Árpád</v>
      </c>
      <c r="K1025" s="156" t="str">
        <f>"KHSE"</f>
        <v>KHSE</v>
      </c>
      <c r="L1025" s="156" t="str">
        <f t="shared" si="363"/>
        <v>HUN</v>
      </c>
      <c r="M1025" s="163">
        <v>0</v>
      </c>
      <c r="O1025" s="154" t="s">
        <v>410</v>
      </c>
      <c r="P1025" s="159">
        <v>46103</v>
      </c>
      <c r="Q1025" s="154" t="str">
        <f>J1025&amp;" - "&amp;K1025</f>
        <v>Sipos Árpád - KHSE</v>
      </c>
      <c r="R1025" s="154" t="s">
        <v>636</v>
      </c>
      <c r="S1025" s="154" t="str">
        <f>K1025</f>
        <v>KHSE</v>
      </c>
      <c r="T1025" s="154" t="s">
        <v>645</v>
      </c>
      <c r="U1025" s="154" t="s">
        <v>799</v>
      </c>
      <c r="V1025" s="154"/>
    </row>
    <row r="1026" spans="1:22" s="158" customFormat="1" x14ac:dyDescent="0.3">
      <c r="A1026" s="154" t="s">
        <v>777</v>
      </c>
      <c r="B1026" s="155" t="s">
        <v>154</v>
      </c>
      <c r="C1026" s="154">
        <v>941</v>
      </c>
      <c r="D1026" s="156" t="str">
        <f t="shared" ref="D1026:D1034" si="369">"Kata"</f>
        <v>Kata</v>
      </c>
      <c r="E1026" s="156" t="str">
        <f t="shared" ref="E1026:E1034" si="370">"Kata, -, 0-170 kg, Junior DOL (17-19"</f>
        <v>Kata, -, 0-170 kg, Junior DOL (17-19</v>
      </c>
      <c r="F1026" s="156" t="s">
        <v>502</v>
      </c>
      <c r="G1026" s="157" t="str">
        <f t="shared" ref="G1026:G1034" si="371">"9"</f>
        <v>9</v>
      </c>
      <c r="H1026" s="156" t="str">
        <f t="shared" ref="H1026:H1034" si="372">"16 fős egyenes kiesés + 3. hely"</f>
        <v>16 fős egyenes kiesés + 3. hely</v>
      </c>
      <c r="I1026" s="157" t="str">
        <f>"1"</f>
        <v>1</v>
      </c>
      <c r="J1026" s="156" t="str">
        <f>"Bessenyei Csongor"</f>
        <v>Bessenyei Csongor</v>
      </c>
      <c r="K1026" s="156" t="str">
        <f>"Shogun"</f>
        <v>Shogun</v>
      </c>
      <c r="L1026" s="156" t="str">
        <f t="shared" si="347"/>
        <v>HUN</v>
      </c>
      <c r="M1026" s="163">
        <v>8</v>
      </c>
      <c r="N1026" s="158" t="s">
        <v>815</v>
      </c>
      <c r="O1026" s="154" t="s">
        <v>410</v>
      </c>
      <c r="P1026" s="159">
        <v>46103</v>
      </c>
      <c r="Q1026" s="154" t="str">
        <f t="shared" si="348"/>
        <v>Bessenyei Csongor - Shogun</v>
      </c>
      <c r="R1026" s="154" t="s">
        <v>636</v>
      </c>
      <c r="S1026" s="154" t="str">
        <f t="shared" si="349"/>
        <v>Shogun</v>
      </c>
      <c r="T1026" s="154" t="s">
        <v>645</v>
      </c>
      <c r="U1026" s="154" t="s">
        <v>799</v>
      </c>
      <c r="V1026" s="154"/>
    </row>
    <row r="1027" spans="1:22" s="158" customFormat="1" x14ac:dyDescent="0.3">
      <c r="A1027" s="154" t="s">
        <v>777</v>
      </c>
      <c r="B1027" s="155" t="s">
        <v>154</v>
      </c>
      <c r="C1027" s="154">
        <v>942</v>
      </c>
      <c r="D1027" s="156" t="str">
        <f t="shared" si="369"/>
        <v>Kata</v>
      </c>
      <c r="E1027" s="156" t="str">
        <f t="shared" si="370"/>
        <v>Kata, -, 0-170 kg, Junior DOL (17-19</v>
      </c>
      <c r="F1027" s="156" t="s">
        <v>502</v>
      </c>
      <c r="G1027" s="157" t="str">
        <f t="shared" si="371"/>
        <v>9</v>
      </c>
      <c r="H1027" s="156" t="str">
        <f t="shared" si="372"/>
        <v>16 fős egyenes kiesés + 3. hely</v>
      </c>
      <c r="I1027" s="157" t="str">
        <f>"2"</f>
        <v>2</v>
      </c>
      <c r="J1027" s="156" t="str">
        <f>"Terbócs Roland"</f>
        <v>Terbócs Roland</v>
      </c>
      <c r="K1027" s="156" t="str">
        <f>"Shogun"</f>
        <v>Shogun</v>
      </c>
      <c r="L1027" s="156" t="str">
        <f t="shared" si="347"/>
        <v>HUN</v>
      </c>
      <c r="M1027" s="163">
        <v>6</v>
      </c>
      <c r="N1027" s="158" t="s">
        <v>815</v>
      </c>
      <c r="O1027" s="154" t="s">
        <v>410</v>
      </c>
      <c r="P1027" s="159">
        <v>46103</v>
      </c>
      <c r="Q1027" s="154" t="str">
        <f t="shared" si="348"/>
        <v>Terbócs Roland - Shogun</v>
      </c>
      <c r="R1027" s="154" t="s">
        <v>636</v>
      </c>
      <c r="S1027" s="154" t="str">
        <f t="shared" si="349"/>
        <v>Shogun</v>
      </c>
      <c r="T1027" s="154" t="s">
        <v>645</v>
      </c>
      <c r="U1027" s="154" t="s">
        <v>799</v>
      </c>
      <c r="V1027" s="154"/>
    </row>
    <row r="1028" spans="1:22" s="158" customFormat="1" x14ac:dyDescent="0.3">
      <c r="A1028" s="154" t="s">
        <v>777</v>
      </c>
      <c r="B1028" s="155" t="s">
        <v>154</v>
      </c>
      <c r="C1028" s="154">
        <v>943</v>
      </c>
      <c r="D1028" s="156" t="str">
        <f t="shared" si="369"/>
        <v>Kata</v>
      </c>
      <c r="E1028" s="156" t="str">
        <f t="shared" si="370"/>
        <v>Kata, -, 0-170 kg, Junior DOL (17-19</v>
      </c>
      <c r="F1028" s="156" t="s">
        <v>502</v>
      </c>
      <c r="G1028" s="157" t="str">
        <f t="shared" si="371"/>
        <v>9</v>
      </c>
      <c r="H1028" s="156" t="str">
        <f t="shared" si="372"/>
        <v>16 fős egyenes kiesés + 3. hely</v>
      </c>
      <c r="I1028" s="157" t="str">
        <f>"3"</f>
        <v>3</v>
      </c>
      <c r="J1028" s="156" t="str">
        <f>"Vágó Márton"</f>
        <v>Vágó Márton</v>
      </c>
      <c r="K1028" s="156" t="str">
        <f>"Shogun"</f>
        <v>Shogun</v>
      </c>
      <c r="L1028" s="156" t="str">
        <f t="shared" si="347"/>
        <v>HUN</v>
      </c>
      <c r="M1028" s="163">
        <v>4</v>
      </c>
      <c r="N1028" s="158" t="s">
        <v>815</v>
      </c>
      <c r="O1028" s="154" t="s">
        <v>410</v>
      </c>
      <c r="P1028" s="159">
        <v>46103</v>
      </c>
      <c r="Q1028" s="154" t="str">
        <f t="shared" si="348"/>
        <v>Vágó Márton - Shogun</v>
      </c>
      <c r="R1028" s="154" t="s">
        <v>636</v>
      </c>
      <c r="S1028" s="154" t="str">
        <f t="shared" si="349"/>
        <v>Shogun</v>
      </c>
      <c r="T1028" s="154" t="s">
        <v>645</v>
      </c>
      <c r="U1028" s="154" t="s">
        <v>799</v>
      </c>
      <c r="V1028" s="154"/>
    </row>
    <row r="1029" spans="1:22" s="158" customFormat="1" x14ac:dyDescent="0.3">
      <c r="A1029" s="154" t="s">
        <v>777</v>
      </c>
      <c r="B1029" s="155" t="s">
        <v>154</v>
      </c>
      <c r="C1029" s="154">
        <v>944</v>
      </c>
      <c r="D1029" s="156" t="str">
        <f t="shared" si="369"/>
        <v>Kata</v>
      </c>
      <c r="E1029" s="156" t="str">
        <f t="shared" si="370"/>
        <v>Kata, -, 0-170 kg, Junior DOL (17-19</v>
      </c>
      <c r="F1029" s="156" t="s">
        <v>502</v>
      </c>
      <c r="G1029" s="157" t="str">
        <f t="shared" si="371"/>
        <v>9</v>
      </c>
      <c r="H1029" s="156" t="str">
        <f t="shared" si="372"/>
        <v>16 fős egyenes kiesés + 3. hely</v>
      </c>
      <c r="I1029" s="157" t="str">
        <f>"4"</f>
        <v>4</v>
      </c>
      <c r="J1029" s="156" t="str">
        <f>"Bűdy Sándor"</f>
        <v>Bűdy Sándor</v>
      </c>
      <c r="K1029" s="156" t="str">
        <f>"BHMSE"</f>
        <v>BHMSE</v>
      </c>
      <c r="L1029" s="156" t="str">
        <f t="shared" si="347"/>
        <v>HUN</v>
      </c>
      <c r="M1029" s="163">
        <v>3</v>
      </c>
      <c r="N1029" s="158" t="s">
        <v>815</v>
      </c>
      <c r="O1029" s="154" t="s">
        <v>410</v>
      </c>
      <c r="P1029" s="159">
        <v>46103</v>
      </c>
      <c r="Q1029" s="154" t="str">
        <f t="shared" si="348"/>
        <v>Bűdy Sándor - BHMSE</v>
      </c>
      <c r="R1029" s="154" t="s">
        <v>636</v>
      </c>
      <c r="S1029" s="154" t="str">
        <f t="shared" si="349"/>
        <v>BHMSE</v>
      </c>
      <c r="T1029" s="154" t="s">
        <v>645</v>
      </c>
      <c r="U1029" s="154" t="s">
        <v>799</v>
      </c>
      <c r="V1029" s="154"/>
    </row>
    <row r="1030" spans="1:22" s="158" customFormat="1" x14ac:dyDescent="0.3">
      <c r="A1030" s="154" t="s">
        <v>777</v>
      </c>
      <c r="B1030" s="155" t="s">
        <v>154</v>
      </c>
      <c r="C1030" s="154">
        <v>945</v>
      </c>
      <c r="D1030" s="156" t="str">
        <f t="shared" si="369"/>
        <v>Kata</v>
      </c>
      <c r="E1030" s="156" t="str">
        <f t="shared" si="370"/>
        <v>Kata, -, 0-170 kg, Junior DOL (17-19</v>
      </c>
      <c r="F1030" s="156" t="s">
        <v>502</v>
      </c>
      <c r="G1030" s="157" t="str">
        <f t="shared" si="371"/>
        <v>9</v>
      </c>
      <c r="H1030" s="156" t="str">
        <f t="shared" si="372"/>
        <v>16 fős egyenes kiesés + 3. hely</v>
      </c>
      <c r="I1030" s="157" t="str">
        <f>"5"</f>
        <v>5</v>
      </c>
      <c r="J1030" s="156" t="str">
        <f>"Kolonics Márk"</f>
        <v>Kolonics Márk</v>
      </c>
      <c r="K1030" s="156" t="str">
        <f>"TADASHII "</f>
        <v xml:space="preserve">TADASHII </v>
      </c>
      <c r="L1030" s="156" t="str">
        <f t="shared" si="347"/>
        <v>HUN</v>
      </c>
      <c r="M1030" s="163">
        <v>2</v>
      </c>
      <c r="N1030" s="158" t="s">
        <v>815</v>
      </c>
      <c r="O1030" s="154" t="s">
        <v>410</v>
      </c>
      <c r="P1030" s="159">
        <v>46103</v>
      </c>
      <c r="Q1030" s="154" t="str">
        <f t="shared" si="348"/>
        <v xml:space="preserve">Kolonics Márk - TADASHII </v>
      </c>
      <c r="R1030" s="154" t="s">
        <v>637</v>
      </c>
      <c r="S1030" s="154" t="str">
        <f t="shared" si="349"/>
        <v xml:space="preserve">TADASHII </v>
      </c>
      <c r="T1030" s="154" t="s">
        <v>645</v>
      </c>
      <c r="U1030" s="154" t="s">
        <v>799</v>
      </c>
      <c r="V1030" s="154"/>
    </row>
    <row r="1031" spans="1:22" s="158" customFormat="1" x14ac:dyDescent="0.3">
      <c r="A1031" s="154" t="s">
        <v>777</v>
      </c>
      <c r="B1031" s="155" t="s">
        <v>154</v>
      </c>
      <c r="C1031" s="154">
        <v>982</v>
      </c>
      <c r="D1031" s="156" t="str">
        <f>"Kata"</f>
        <v>Kata</v>
      </c>
      <c r="E1031" s="156" t="str">
        <f>"Kata, -, 0-170 kg, Junior DOL (17-19"</f>
        <v>Kata, -, 0-170 kg, Junior DOL (17-19</v>
      </c>
      <c r="F1031" s="156" t="s">
        <v>502</v>
      </c>
      <c r="G1031" s="157" t="str">
        <f>"9"</f>
        <v>9</v>
      </c>
      <c r="H1031" s="156" t="str">
        <f>"16 fős egyenes kiesés + 3. hely"</f>
        <v>16 fős egyenes kiesés + 3. hely</v>
      </c>
      <c r="I1031" s="157" t="str">
        <f>"6"</f>
        <v>6</v>
      </c>
      <c r="J1031" s="156" t="str">
        <f>"Magyar Botond"</f>
        <v>Magyar Botond</v>
      </c>
      <c r="K1031" s="156" t="str">
        <f>"Nagy Sándor Dojo"</f>
        <v>Nagy Sándor Dojo</v>
      </c>
      <c r="L1031" s="156" t="str">
        <f t="shared" si="363"/>
        <v>HUN</v>
      </c>
      <c r="M1031" s="163">
        <v>0</v>
      </c>
      <c r="N1031" s="158" t="s">
        <v>815</v>
      </c>
      <c r="O1031" s="154" t="s">
        <v>410</v>
      </c>
      <c r="P1031" s="159">
        <v>46103</v>
      </c>
      <c r="Q1031" s="154" t="str">
        <f>J1031&amp;" - "&amp;K1031</f>
        <v>Magyar Botond - Nagy Sándor Dojo</v>
      </c>
      <c r="R1031" s="154" t="s">
        <v>637</v>
      </c>
      <c r="S1031" s="154" t="str">
        <f>K1031</f>
        <v>Nagy Sándor Dojo</v>
      </c>
      <c r="T1031" s="154" t="s">
        <v>645</v>
      </c>
      <c r="U1031" s="154" t="s">
        <v>799</v>
      </c>
      <c r="V1031" s="154"/>
    </row>
    <row r="1032" spans="1:22" s="158" customFormat="1" x14ac:dyDescent="0.3">
      <c r="A1032" s="154" t="s">
        <v>777</v>
      </c>
      <c r="B1032" s="155" t="s">
        <v>154</v>
      </c>
      <c r="C1032" s="154">
        <v>946</v>
      </c>
      <c r="D1032" s="156" t="str">
        <f t="shared" si="369"/>
        <v>Kata</v>
      </c>
      <c r="E1032" s="156" t="str">
        <f t="shared" si="370"/>
        <v>Kata, -, 0-170 kg, Junior DOL (17-19</v>
      </c>
      <c r="F1032" s="156" t="s">
        <v>502</v>
      </c>
      <c r="G1032" s="157" t="str">
        <f t="shared" si="371"/>
        <v>9</v>
      </c>
      <c r="H1032" s="156" t="str">
        <f t="shared" si="372"/>
        <v>16 fős egyenes kiesés + 3. hely</v>
      </c>
      <c r="I1032" s="157">
        <v>7</v>
      </c>
      <c r="J1032" s="156" t="str">
        <f>"Tengelics Márk"</f>
        <v>Tengelics Márk</v>
      </c>
      <c r="K1032" s="156" t="str">
        <f>"IKIGAI DOJO BÖRCS"</f>
        <v>IKIGAI DOJO BÖRCS</v>
      </c>
      <c r="L1032" s="156" t="str">
        <f t="shared" si="363"/>
        <v>HUN</v>
      </c>
      <c r="M1032" s="163">
        <v>0</v>
      </c>
      <c r="N1032" s="158" t="s">
        <v>815</v>
      </c>
      <c r="O1032" s="154" t="s">
        <v>410</v>
      </c>
      <c r="P1032" s="159">
        <v>46103</v>
      </c>
      <c r="Q1032" s="154" t="str">
        <f>J1032&amp;" - "&amp;K1032</f>
        <v>Tengelics Márk - IKIGAI DOJO BÖRCS</v>
      </c>
      <c r="R1032" s="154" t="s">
        <v>637</v>
      </c>
      <c r="S1032" s="154" t="str">
        <f>K1032</f>
        <v>IKIGAI DOJO BÖRCS</v>
      </c>
      <c r="T1032" s="154" t="s">
        <v>645</v>
      </c>
      <c r="U1032" s="154" t="s">
        <v>799</v>
      </c>
      <c r="V1032" s="154"/>
    </row>
    <row r="1033" spans="1:22" s="158" customFormat="1" x14ac:dyDescent="0.3">
      <c r="A1033" s="154" t="s">
        <v>777</v>
      </c>
      <c r="B1033" s="155" t="s">
        <v>154</v>
      </c>
      <c r="C1033" s="154">
        <v>983</v>
      </c>
      <c r="D1033" s="156" t="str">
        <f>"Kata"</f>
        <v>Kata</v>
      </c>
      <c r="E1033" s="156" t="str">
        <f>"Kata, -, 0-170 kg, Junior DOL (17-19"</f>
        <v>Kata, -, 0-170 kg, Junior DOL (17-19</v>
      </c>
      <c r="F1033" s="156" t="s">
        <v>502</v>
      </c>
      <c r="G1033" s="157" t="str">
        <f>"9"</f>
        <v>9</v>
      </c>
      <c r="H1033" s="156" t="str">
        <f>"16 fős egyenes kiesés + 3. hely"</f>
        <v>16 fős egyenes kiesés + 3. hely</v>
      </c>
      <c r="I1033" s="157">
        <v>8</v>
      </c>
      <c r="J1033" s="156" t="str">
        <f>"Takács-Sárkány Zalán"</f>
        <v>Takács-Sárkány Zalán</v>
      </c>
      <c r="K1033" s="156" t="str">
        <f>"KHSE"</f>
        <v>KHSE</v>
      </c>
      <c r="L1033" s="156" t="str">
        <f t="shared" si="363"/>
        <v>HUN</v>
      </c>
      <c r="M1033" s="163">
        <v>0</v>
      </c>
      <c r="N1033" s="158" t="s">
        <v>815</v>
      </c>
      <c r="O1033" s="154" t="s">
        <v>410</v>
      </c>
      <c r="P1033" s="159">
        <v>46103</v>
      </c>
      <c r="Q1033" s="154" t="str">
        <f>J1033&amp;" - "&amp;K1033</f>
        <v>Takács-Sárkány Zalán - KHSE</v>
      </c>
      <c r="R1033" s="154" t="s">
        <v>636</v>
      </c>
      <c r="S1033" s="154" t="str">
        <f>K1033</f>
        <v>KHSE</v>
      </c>
      <c r="T1033" s="154" t="s">
        <v>645</v>
      </c>
      <c r="U1033" s="154" t="s">
        <v>799</v>
      </c>
      <c r="V1033" s="154"/>
    </row>
    <row r="1034" spans="1:22" s="158" customFormat="1" x14ac:dyDescent="0.3">
      <c r="A1034" s="154" t="s">
        <v>777</v>
      </c>
      <c r="B1034" s="155" t="s">
        <v>154</v>
      </c>
      <c r="C1034" s="154">
        <v>947</v>
      </c>
      <c r="D1034" s="156" t="str">
        <f t="shared" si="369"/>
        <v>Kata</v>
      </c>
      <c r="E1034" s="156" t="str">
        <f t="shared" si="370"/>
        <v>Kata, -, 0-170 kg, Junior DOL (17-19</v>
      </c>
      <c r="F1034" s="156" t="s">
        <v>502</v>
      </c>
      <c r="G1034" s="157" t="str">
        <f t="shared" si="371"/>
        <v>9</v>
      </c>
      <c r="H1034" s="156" t="str">
        <f t="shared" si="372"/>
        <v>16 fős egyenes kiesés + 3. hely</v>
      </c>
      <c r="I1034" s="157">
        <v>9</v>
      </c>
      <c r="J1034" s="156" t="str">
        <f>"Kis Kevin Gyula"</f>
        <v>Kis Kevin Gyula</v>
      </c>
      <c r="K1034" s="156" t="str">
        <f>"Borza Dojo"</f>
        <v>Borza Dojo</v>
      </c>
      <c r="L1034" s="156" t="str">
        <f t="shared" si="363"/>
        <v>HUN</v>
      </c>
      <c r="M1034" s="163">
        <v>0</v>
      </c>
      <c r="N1034" s="158" t="s">
        <v>815</v>
      </c>
      <c r="O1034" s="154" t="s">
        <v>410</v>
      </c>
      <c r="P1034" s="159">
        <v>46103</v>
      </c>
      <c r="Q1034" s="154" t="str">
        <f t="shared" ref="Q1034:Q1073" si="373">J1034&amp;" - "&amp;K1034</f>
        <v>Kis Kevin Gyula - Borza Dojo</v>
      </c>
      <c r="R1034" s="154" t="s">
        <v>637</v>
      </c>
      <c r="S1034" s="154" t="str">
        <f t="shared" ref="S1034:S1073" si="374">K1034</f>
        <v>Borza Dojo</v>
      </c>
      <c r="T1034" s="154" t="s">
        <v>645</v>
      </c>
      <c r="U1034" s="154" t="s">
        <v>799</v>
      </c>
      <c r="V1034" s="154"/>
    </row>
    <row r="1035" spans="1:22" s="158" customFormat="1" x14ac:dyDescent="0.3">
      <c r="A1035" s="154" t="s">
        <v>777</v>
      </c>
      <c r="B1035" s="155" t="s">
        <v>154</v>
      </c>
      <c r="C1035" s="154">
        <v>948</v>
      </c>
      <c r="D1035" s="156" t="str">
        <f t="shared" ref="D1035:D1058" si="375">"Kumite"</f>
        <v>Kumite</v>
      </c>
      <c r="E1035" s="156" t="str">
        <f>"Kumite, -, 0-50 kg, Junior DOL (17-19"</f>
        <v>Kumite, -, 0-50 kg, Junior DOL (17-19</v>
      </c>
      <c r="F1035" s="156" t="s">
        <v>504</v>
      </c>
      <c r="G1035" s="157" t="str">
        <f>"5"</f>
        <v>5</v>
      </c>
      <c r="H1035" s="156" t="str">
        <f>"5 fős körmérkőzés"</f>
        <v>5 fős körmérkőzés</v>
      </c>
      <c r="I1035" s="157" t="str">
        <f>"1"</f>
        <v>1</v>
      </c>
      <c r="J1035" s="156" t="str">
        <f>"Fekete Csenge"</f>
        <v>Fekete Csenge</v>
      </c>
      <c r="K1035" s="156" t="str">
        <f>"Nozomu Dojo"</f>
        <v>Nozomu Dojo</v>
      </c>
      <c r="L1035" s="156" t="str">
        <f t="shared" si="363"/>
        <v>HUN</v>
      </c>
      <c r="M1035" s="163">
        <v>10</v>
      </c>
      <c r="O1035" s="154" t="s">
        <v>410</v>
      </c>
      <c r="P1035" s="159">
        <v>46103</v>
      </c>
      <c r="Q1035" s="154" t="str">
        <f t="shared" si="373"/>
        <v>Fekete Csenge - Nozomu Dojo</v>
      </c>
      <c r="R1035" s="154" t="s">
        <v>636</v>
      </c>
      <c r="S1035" s="154" t="str">
        <f t="shared" si="374"/>
        <v>Nozomu Dojo</v>
      </c>
      <c r="T1035" s="154" t="s">
        <v>645</v>
      </c>
      <c r="U1035" s="154" t="s">
        <v>799</v>
      </c>
      <c r="V1035" s="154"/>
    </row>
    <row r="1036" spans="1:22" s="158" customFormat="1" x14ac:dyDescent="0.3">
      <c r="A1036" s="154" t="s">
        <v>777</v>
      </c>
      <c r="B1036" s="155" t="s">
        <v>154</v>
      </c>
      <c r="C1036" s="154">
        <v>949</v>
      </c>
      <c r="D1036" s="156" t="str">
        <f t="shared" si="375"/>
        <v>Kumite</v>
      </c>
      <c r="E1036" s="156" t="str">
        <f>"Kumite, -, 0-50 kg, Junior DOL (17-19"</f>
        <v>Kumite, -, 0-50 kg, Junior DOL (17-19</v>
      </c>
      <c r="F1036" s="156" t="s">
        <v>504</v>
      </c>
      <c r="G1036" s="157" t="str">
        <f>"5"</f>
        <v>5</v>
      </c>
      <c r="H1036" s="156" t="str">
        <f>"5 fős körmérkőzés"</f>
        <v>5 fős körmérkőzés</v>
      </c>
      <c r="I1036" s="157" t="str">
        <f>"2"</f>
        <v>2</v>
      </c>
      <c r="J1036" s="156" t="str">
        <f>"Németh Panka"</f>
        <v>Németh Panka</v>
      </c>
      <c r="K1036" s="156" t="str">
        <f>"Cs.S.E."</f>
        <v>Cs.S.E.</v>
      </c>
      <c r="L1036" s="156" t="str">
        <f t="shared" si="363"/>
        <v>HUN</v>
      </c>
      <c r="M1036" s="163">
        <v>8</v>
      </c>
      <c r="O1036" s="154" t="s">
        <v>410</v>
      </c>
      <c r="P1036" s="159">
        <v>46103</v>
      </c>
      <c r="Q1036" s="154" t="str">
        <f t="shared" si="373"/>
        <v>Németh Panka - Cs.S.E.</v>
      </c>
      <c r="R1036" s="154" t="s">
        <v>636</v>
      </c>
      <c r="S1036" s="154" t="str">
        <f t="shared" si="374"/>
        <v>Cs.S.E.</v>
      </c>
      <c r="T1036" s="154" t="s">
        <v>645</v>
      </c>
      <c r="U1036" s="154" t="s">
        <v>799</v>
      </c>
      <c r="V1036" s="154"/>
    </row>
    <row r="1037" spans="1:22" s="158" customFormat="1" x14ac:dyDescent="0.3">
      <c r="A1037" s="154" t="s">
        <v>777</v>
      </c>
      <c r="B1037" s="155" t="s">
        <v>154</v>
      </c>
      <c r="C1037" s="154">
        <v>950</v>
      </c>
      <c r="D1037" s="156" t="str">
        <f t="shared" si="375"/>
        <v>Kumite</v>
      </c>
      <c r="E1037" s="156" t="str">
        <f>"Kumite, -, 0-50 kg, Junior DOL (17-19"</f>
        <v>Kumite, -, 0-50 kg, Junior DOL (17-19</v>
      </c>
      <c r="F1037" s="156" t="s">
        <v>504</v>
      </c>
      <c r="G1037" s="157" t="str">
        <f>"5"</f>
        <v>5</v>
      </c>
      <c r="H1037" s="156" t="str">
        <f>"5 fős körmérkőzés"</f>
        <v>5 fős körmérkőzés</v>
      </c>
      <c r="I1037" s="157" t="str">
        <f>"3"</f>
        <v>3</v>
      </c>
      <c r="J1037" s="156" t="str">
        <f>"Bőzsöny Dorka"</f>
        <v>Bőzsöny Dorka</v>
      </c>
      <c r="K1037" s="156" t="str">
        <f>"BHMSE"</f>
        <v>BHMSE</v>
      </c>
      <c r="L1037" s="156" t="str">
        <f t="shared" si="363"/>
        <v>HUN</v>
      </c>
      <c r="M1037" s="163">
        <v>6</v>
      </c>
      <c r="O1037" s="154" t="s">
        <v>410</v>
      </c>
      <c r="P1037" s="159">
        <v>46103</v>
      </c>
      <c r="Q1037" s="154" t="str">
        <f t="shared" si="373"/>
        <v>Bőzsöny Dorka - BHMSE</v>
      </c>
      <c r="R1037" s="154" t="s">
        <v>636</v>
      </c>
      <c r="S1037" s="154" t="str">
        <f t="shared" si="374"/>
        <v>BHMSE</v>
      </c>
      <c r="T1037" s="154" t="s">
        <v>645</v>
      </c>
      <c r="U1037" s="154" t="s">
        <v>799</v>
      </c>
      <c r="V1037" s="154"/>
    </row>
    <row r="1038" spans="1:22" s="158" customFormat="1" x14ac:dyDescent="0.3">
      <c r="A1038" s="154" t="s">
        <v>777</v>
      </c>
      <c r="B1038" s="155" t="s">
        <v>154</v>
      </c>
      <c r="C1038" s="154">
        <v>951</v>
      </c>
      <c r="D1038" s="156" t="str">
        <f t="shared" si="375"/>
        <v>Kumite</v>
      </c>
      <c r="E1038" s="156" t="str">
        <f>"Kumite, -, 0-50 kg, Junior DOL (17-19"</f>
        <v>Kumite, -, 0-50 kg, Junior DOL (17-19</v>
      </c>
      <c r="F1038" s="156" t="s">
        <v>504</v>
      </c>
      <c r="G1038" s="157" t="str">
        <f>"5"</f>
        <v>5</v>
      </c>
      <c r="H1038" s="156" t="str">
        <f>"5 fős körmérkőzés"</f>
        <v>5 fős körmérkőzés</v>
      </c>
      <c r="I1038" s="157" t="str">
        <f>"4"</f>
        <v>4</v>
      </c>
      <c r="J1038" s="156" t="str">
        <f>"Egerszegi Rebeka"</f>
        <v>Egerszegi Rebeka</v>
      </c>
      <c r="K1038" s="156" t="str">
        <f>"Főnix Dojo"</f>
        <v>Főnix Dojo</v>
      </c>
      <c r="L1038" s="156" t="str">
        <f t="shared" si="363"/>
        <v>HUN</v>
      </c>
      <c r="M1038" s="163">
        <v>4</v>
      </c>
      <c r="O1038" s="154" t="s">
        <v>410</v>
      </c>
      <c r="P1038" s="159">
        <v>46103</v>
      </c>
      <c r="Q1038" s="154" t="str">
        <f t="shared" si="373"/>
        <v>Egerszegi Rebeka - Főnix Dojo</v>
      </c>
      <c r="R1038" s="154" t="s">
        <v>636</v>
      </c>
      <c r="S1038" s="154" t="str">
        <f t="shared" si="374"/>
        <v>Főnix Dojo</v>
      </c>
      <c r="T1038" s="154" t="s">
        <v>645</v>
      </c>
      <c r="U1038" s="154" t="s">
        <v>799</v>
      </c>
      <c r="V1038" s="154"/>
    </row>
    <row r="1039" spans="1:22" s="158" customFormat="1" x14ac:dyDescent="0.3">
      <c r="A1039" s="154" t="s">
        <v>777</v>
      </c>
      <c r="B1039" s="155" t="s">
        <v>154</v>
      </c>
      <c r="C1039" s="154">
        <v>952</v>
      </c>
      <c r="D1039" s="156" t="str">
        <f t="shared" si="375"/>
        <v>Kumite</v>
      </c>
      <c r="E1039" s="156" t="str">
        <f>"Kumite, -, 0-50 kg, Junior DOL (17-19"</f>
        <v>Kumite, -, 0-50 kg, Junior DOL (17-19</v>
      </c>
      <c r="F1039" s="156" t="s">
        <v>504</v>
      </c>
      <c r="G1039" s="157" t="str">
        <f>"5"</f>
        <v>5</v>
      </c>
      <c r="H1039" s="156" t="str">
        <f>"5 fős körmérkőzés"</f>
        <v>5 fős körmérkőzés</v>
      </c>
      <c r="I1039" s="157" t="str">
        <f>"5"</f>
        <v>5</v>
      </c>
      <c r="J1039" s="156" t="str">
        <f>"Szanics Boglárka"</f>
        <v>Szanics Boglárka</v>
      </c>
      <c r="K1039" s="156" t="str">
        <f>"Shogun"</f>
        <v>Shogun</v>
      </c>
      <c r="L1039" s="156" t="str">
        <f t="shared" si="363"/>
        <v>HUN</v>
      </c>
      <c r="M1039" s="163">
        <v>0</v>
      </c>
      <c r="O1039" s="154" t="s">
        <v>410</v>
      </c>
      <c r="P1039" s="159">
        <v>46103</v>
      </c>
      <c r="Q1039" s="154" t="str">
        <f t="shared" si="373"/>
        <v>Szanics Boglárka - Shogun</v>
      </c>
      <c r="R1039" s="154" t="s">
        <v>636</v>
      </c>
      <c r="S1039" s="154" t="str">
        <f t="shared" si="374"/>
        <v>Shogun</v>
      </c>
      <c r="T1039" s="154" t="s">
        <v>645</v>
      </c>
      <c r="U1039" s="154" t="s">
        <v>799</v>
      </c>
      <c r="V1039" s="154"/>
    </row>
    <row r="1040" spans="1:22" s="158" customFormat="1" x14ac:dyDescent="0.3">
      <c r="A1040" s="154" t="s">
        <v>777</v>
      </c>
      <c r="B1040" s="155" t="s">
        <v>154</v>
      </c>
      <c r="C1040" s="154">
        <v>953</v>
      </c>
      <c r="D1040" s="156" t="str">
        <f t="shared" si="375"/>
        <v>Kumite</v>
      </c>
      <c r="E1040" s="156" t="str">
        <f>"Kumite, -, 50-55 kg, Junior DOL (17-19"</f>
        <v>Kumite, -, 50-55 kg, Junior DOL (17-19</v>
      </c>
      <c r="F1040" s="156" t="s">
        <v>505</v>
      </c>
      <c r="G1040" s="157" t="str">
        <f>"4"</f>
        <v>4</v>
      </c>
      <c r="H1040" s="156" t="str">
        <f>"4 fős körmérkőzés"</f>
        <v>4 fős körmérkőzés</v>
      </c>
      <c r="I1040" s="157" t="str">
        <f>"1"</f>
        <v>1</v>
      </c>
      <c r="J1040" s="156" t="str">
        <f>"Ágoston Sára"</f>
        <v>Ágoston Sára</v>
      </c>
      <c r="K1040" s="156" t="str">
        <f>"KHSE"</f>
        <v>KHSE</v>
      </c>
      <c r="L1040" s="156" t="str">
        <f t="shared" si="363"/>
        <v>HUN</v>
      </c>
      <c r="M1040" s="163">
        <v>8</v>
      </c>
      <c r="O1040" s="154" t="s">
        <v>410</v>
      </c>
      <c r="P1040" s="159">
        <v>46103</v>
      </c>
      <c r="Q1040" s="154" t="str">
        <f t="shared" si="373"/>
        <v>Ágoston Sára - KHSE</v>
      </c>
      <c r="R1040" s="154" t="s">
        <v>636</v>
      </c>
      <c r="S1040" s="154" t="str">
        <f t="shared" si="374"/>
        <v>KHSE</v>
      </c>
      <c r="T1040" s="154" t="s">
        <v>645</v>
      </c>
      <c r="U1040" s="154" t="s">
        <v>799</v>
      </c>
      <c r="V1040" s="154"/>
    </row>
    <row r="1041" spans="1:22" s="158" customFormat="1" x14ac:dyDescent="0.3">
      <c r="A1041" s="154" t="s">
        <v>777</v>
      </c>
      <c r="B1041" s="155" t="s">
        <v>154</v>
      </c>
      <c r="C1041" s="154">
        <v>954</v>
      </c>
      <c r="D1041" s="156" t="str">
        <f t="shared" si="375"/>
        <v>Kumite</v>
      </c>
      <c r="E1041" s="156" t="str">
        <f>"Kumite, -, 50-55 kg, Junior DOL (17-19"</f>
        <v>Kumite, -, 50-55 kg, Junior DOL (17-19</v>
      </c>
      <c r="F1041" s="156" t="s">
        <v>505</v>
      </c>
      <c r="G1041" s="157" t="str">
        <f>"4"</f>
        <v>4</v>
      </c>
      <c r="H1041" s="156" t="str">
        <f>"4 fős körmérkőzés"</f>
        <v>4 fős körmérkőzés</v>
      </c>
      <c r="I1041" s="157" t="str">
        <f>"2"</f>
        <v>2</v>
      </c>
      <c r="J1041" s="156" t="str">
        <f>"Lukács Kamilla"</f>
        <v>Lukács Kamilla</v>
      </c>
      <c r="K1041" s="156" t="str">
        <f>"Victory"</f>
        <v>Victory</v>
      </c>
      <c r="L1041" s="156" t="str">
        <f t="shared" si="363"/>
        <v>HUN</v>
      </c>
      <c r="M1041" s="163">
        <v>6</v>
      </c>
      <c r="O1041" s="154" t="s">
        <v>410</v>
      </c>
      <c r="P1041" s="159">
        <v>46103</v>
      </c>
      <c r="Q1041" s="154" t="str">
        <f t="shared" si="373"/>
        <v>Lukács Kamilla - Victory</v>
      </c>
      <c r="R1041" s="154" t="s">
        <v>636</v>
      </c>
      <c r="S1041" s="154" t="str">
        <f t="shared" si="374"/>
        <v>Victory</v>
      </c>
      <c r="T1041" s="154" t="s">
        <v>645</v>
      </c>
      <c r="U1041" s="154" t="s">
        <v>799</v>
      </c>
      <c r="V1041" s="154"/>
    </row>
    <row r="1042" spans="1:22" s="158" customFormat="1" x14ac:dyDescent="0.3">
      <c r="A1042" s="154" t="s">
        <v>777</v>
      </c>
      <c r="B1042" s="155" t="s">
        <v>154</v>
      </c>
      <c r="C1042" s="154">
        <v>955</v>
      </c>
      <c r="D1042" s="156" t="str">
        <f t="shared" si="375"/>
        <v>Kumite</v>
      </c>
      <c r="E1042" s="156" t="str">
        <f>"Kumite, -, 50-55 kg, Junior DOL (17-19"</f>
        <v>Kumite, -, 50-55 kg, Junior DOL (17-19</v>
      </c>
      <c r="F1042" s="156" t="s">
        <v>505</v>
      </c>
      <c r="G1042" s="157" t="str">
        <f>"4"</f>
        <v>4</v>
      </c>
      <c r="H1042" s="156" t="str">
        <f>"4 fős körmérkőzés"</f>
        <v>4 fős körmérkőzés</v>
      </c>
      <c r="I1042" s="157" t="str">
        <f>"3"</f>
        <v>3</v>
      </c>
      <c r="J1042" s="156" t="str">
        <f>"Németh Virág"</f>
        <v>Németh Virág</v>
      </c>
      <c r="K1042" s="156" t="str">
        <f>"Castrum"</f>
        <v>Castrum</v>
      </c>
      <c r="L1042" s="156" t="str">
        <f t="shared" si="363"/>
        <v>HUN</v>
      </c>
      <c r="M1042" s="163">
        <v>4</v>
      </c>
      <c r="O1042" s="154" t="s">
        <v>410</v>
      </c>
      <c r="P1042" s="159">
        <v>46103</v>
      </c>
      <c r="Q1042" s="154" t="str">
        <f t="shared" si="373"/>
        <v>Németh Virág - Castrum</v>
      </c>
      <c r="R1042" s="154" t="s">
        <v>636</v>
      </c>
      <c r="S1042" s="154" t="str">
        <f t="shared" si="374"/>
        <v>Castrum</v>
      </c>
      <c r="T1042" s="154" t="s">
        <v>645</v>
      </c>
      <c r="U1042" s="154" t="s">
        <v>799</v>
      </c>
      <c r="V1042" s="154"/>
    </row>
    <row r="1043" spans="1:22" s="158" customFormat="1" x14ac:dyDescent="0.3">
      <c r="A1043" s="154" t="s">
        <v>777</v>
      </c>
      <c r="B1043" s="155" t="s">
        <v>154</v>
      </c>
      <c r="C1043" s="154">
        <v>956</v>
      </c>
      <c r="D1043" s="156" t="str">
        <f t="shared" si="375"/>
        <v>Kumite</v>
      </c>
      <c r="E1043" s="156" t="str">
        <f>"Kumite, -, 50-55 kg, Junior DOL (17-19"</f>
        <v>Kumite, -, 50-55 kg, Junior DOL (17-19</v>
      </c>
      <c r="F1043" s="156" t="s">
        <v>505</v>
      </c>
      <c r="G1043" s="157" t="str">
        <f>"4"</f>
        <v>4</v>
      </c>
      <c r="H1043" s="156" t="str">
        <f>"4 fős körmérkőzés"</f>
        <v>4 fős körmérkőzés</v>
      </c>
      <c r="I1043" s="157" t="str">
        <f>"4"</f>
        <v>4</v>
      </c>
      <c r="J1043" s="156" t="str">
        <f>"Finta Zelma"</f>
        <v>Finta Zelma</v>
      </c>
      <c r="K1043" s="156" t="str">
        <f>"Rakurai"</f>
        <v>Rakurai</v>
      </c>
      <c r="L1043" s="156" t="str">
        <f t="shared" si="363"/>
        <v>HUN</v>
      </c>
      <c r="M1043" s="163">
        <v>0</v>
      </c>
      <c r="O1043" s="154" t="s">
        <v>410</v>
      </c>
      <c r="P1043" s="159">
        <v>46103</v>
      </c>
      <c r="Q1043" s="154" t="str">
        <f t="shared" si="373"/>
        <v>Finta Zelma - Rakurai</v>
      </c>
      <c r="R1043" s="154" t="s">
        <v>636</v>
      </c>
      <c r="S1043" s="154" t="str">
        <f t="shared" si="374"/>
        <v>Rakurai</v>
      </c>
      <c r="T1043" s="154" t="s">
        <v>645</v>
      </c>
      <c r="U1043" s="154" t="s">
        <v>799</v>
      </c>
      <c r="V1043" s="154"/>
    </row>
    <row r="1044" spans="1:22" s="158" customFormat="1" x14ac:dyDescent="0.3">
      <c r="A1044" s="154" t="s">
        <v>777</v>
      </c>
      <c r="B1044" s="155" t="s">
        <v>154</v>
      </c>
      <c r="C1044" s="154">
        <v>957</v>
      </c>
      <c r="D1044" s="156" t="str">
        <f t="shared" si="375"/>
        <v>Kumite</v>
      </c>
      <c r="E1044" s="156" t="str">
        <f>"Kumite, -, 55-60 kg, Junior DOL (17-19"</f>
        <v>Kumite, -, 55-60 kg, Junior DOL (17-19</v>
      </c>
      <c r="F1044" s="156" t="s">
        <v>506</v>
      </c>
      <c r="G1044" s="157" t="str">
        <f>"5"</f>
        <v>5</v>
      </c>
      <c r="H1044" s="156" t="str">
        <f>"5 fős körmérkőzés"</f>
        <v>5 fős körmérkőzés</v>
      </c>
      <c r="I1044" s="157" t="str">
        <f>"1"</f>
        <v>1</v>
      </c>
      <c r="J1044" s="156" t="str">
        <f>"Reichert Jázmin "</f>
        <v xml:space="preserve">Reichert Jázmin </v>
      </c>
      <c r="K1044" s="156" t="str">
        <f>"VTSE"</f>
        <v>VTSE</v>
      </c>
      <c r="L1044" s="156" t="str">
        <f t="shared" si="363"/>
        <v>HUN</v>
      </c>
      <c r="M1044" s="163">
        <v>10</v>
      </c>
      <c r="O1044" s="154" t="s">
        <v>410</v>
      </c>
      <c r="P1044" s="159">
        <v>46103</v>
      </c>
      <c r="Q1044" s="154" t="str">
        <f t="shared" si="373"/>
        <v>Reichert Jázmin  - VTSE</v>
      </c>
      <c r="R1044" s="154" t="s">
        <v>637</v>
      </c>
      <c r="S1044" s="154" t="str">
        <f t="shared" si="374"/>
        <v>VTSE</v>
      </c>
      <c r="T1044" s="154" t="s">
        <v>645</v>
      </c>
      <c r="U1044" s="154" t="s">
        <v>799</v>
      </c>
      <c r="V1044" s="154"/>
    </row>
    <row r="1045" spans="1:22" s="158" customFormat="1" x14ac:dyDescent="0.3">
      <c r="A1045" s="154" t="s">
        <v>777</v>
      </c>
      <c r="B1045" s="155" t="s">
        <v>154</v>
      </c>
      <c r="C1045" s="154">
        <v>958</v>
      </c>
      <c r="D1045" s="156" t="str">
        <f t="shared" si="375"/>
        <v>Kumite</v>
      </c>
      <c r="E1045" s="156" t="str">
        <f>"Kumite, -, 55-60 kg, Junior DOL (17-19"</f>
        <v>Kumite, -, 55-60 kg, Junior DOL (17-19</v>
      </c>
      <c r="F1045" s="156" t="s">
        <v>506</v>
      </c>
      <c r="G1045" s="157" t="str">
        <f>"5"</f>
        <v>5</v>
      </c>
      <c r="H1045" s="156" t="str">
        <f>"5 fős körmérkőzés"</f>
        <v>5 fős körmérkőzés</v>
      </c>
      <c r="I1045" s="157" t="str">
        <f>"2"</f>
        <v>2</v>
      </c>
      <c r="J1045" s="156" t="str">
        <f>"Bognár Luca"</f>
        <v>Bognár Luca</v>
      </c>
      <c r="K1045" s="156" t="str">
        <f>"Rakurai"</f>
        <v>Rakurai</v>
      </c>
      <c r="L1045" s="156" t="str">
        <f t="shared" si="363"/>
        <v>HUN</v>
      </c>
      <c r="M1045" s="163">
        <v>8</v>
      </c>
      <c r="O1045" s="154" t="s">
        <v>410</v>
      </c>
      <c r="P1045" s="159">
        <v>46103</v>
      </c>
      <c r="Q1045" s="154" t="str">
        <f t="shared" si="373"/>
        <v>Bognár Luca - Rakurai</v>
      </c>
      <c r="R1045" s="154" t="s">
        <v>636</v>
      </c>
      <c r="S1045" s="154" t="str">
        <f t="shared" si="374"/>
        <v>Rakurai</v>
      </c>
      <c r="T1045" s="154" t="s">
        <v>645</v>
      </c>
      <c r="U1045" s="154" t="s">
        <v>799</v>
      </c>
      <c r="V1045" s="154"/>
    </row>
    <row r="1046" spans="1:22" s="158" customFormat="1" x14ac:dyDescent="0.3">
      <c r="A1046" s="154" t="s">
        <v>777</v>
      </c>
      <c r="B1046" s="155" t="s">
        <v>154</v>
      </c>
      <c r="C1046" s="154">
        <v>959</v>
      </c>
      <c r="D1046" s="156" t="str">
        <f t="shared" si="375"/>
        <v>Kumite</v>
      </c>
      <c r="E1046" s="156" t="str">
        <f>"Kumite, -, 55-60 kg, Junior DOL (17-19"</f>
        <v>Kumite, -, 55-60 kg, Junior DOL (17-19</v>
      </c>
      <c r="F1046" s="156" t="s">
        <v>506</v>
      </c>
      <c r="G1046" s="157" t="str">
        <f>"5"</f>
        <v>5</v>
      </c>
      <c r="H1046" s="156" t="str">
        <f>"5 fős körmérkőzés"</f>
        <v>5 fős körmérkőzés</v>
      </c>
      <c r="I1046" s="157" t="str">
        <f>"3"</f>
        <v>3</v>
      </c>
      <c r="J1046" s="156" t="str">
        <f>"Orosz Dorina"</f>
        <v>Orosz Dorina</v>
      </c>
      <c r="K1046" s="156" t="str">
        <f>"Kemecse SE"</f>
        <v>Kemecse SE</v>
      </c>
      <c r="L1046" s="156" t="str">
        <f t="shared" si="363"/>
        <v>HUN</v>
      </c>
      <c r="M1046" s="163">
        <v>6</v>
      </c>
      <c r="O1046" s="154" t="s">
        <v>410</v>
      </c>
      <c r="P1046" s="159">
        <v>46103</v>
      </c>
      <c r="Q1046" s="154" t="str">
        <f t="shared" si="373"/>
        <v>Orosz Dorina - Kemecse SE</v>
      </c>
      <c r="R1046" s="154" t="s">
        <v>636</v>
      </c>
      <c r="S1046" s="154" t="str">
        <f t="shared" si="374"/>
        <v>Kemecse SE</v>
      </c>
      <c r="T1046" s="154" t="s">
        <v>645</v>
      </c>
      <c r="U1046" s="154" t="s">
        <v>799</v>
      </c>
      <c r="V1046" s="154"/>
    </row>
    <row r="1047" spans="1:22" s="158" customFormat="1" x14ac:dyDescent="0.3">
      <c r="A1047" s="154" t="s">
        <v>777</v>
      </c>
      <c r="B1047" s="155" t="s">
        <v>154</v>
      </c>
      <c r="C1047" s="154">
        <v>960</v>
      </c>
      <c r="D1047" s="156" t="str">
        <f t="shared" si="375"/>
        <v>Kumite</v>
      </c>
      <c r="E1047" s="156" t="str">
        <f>"Kumite, -, 55-60 kg, Junior DOL (17-19"</f>
        <v>Kumite, -, 55-60 kg, Junior DOL (17-19</v>
      </c>
      <c r="F1047" s="156" t="s">
        <v>506</v>
      </c>
      <c r="G1047" s="157" t="str">
        <f>"5"</f>
        <v>5</v>
      </c>
      <c r="H1047" s="156" t="str">
        <f>"5 fős körmérkőzés"</f>
        <v>5 fős körmérkőzés</v>
      </c>
      <c r="I1047" s="157" t="str">
        <f>"4"</f>
        <v>4</v>
      </c>
      <c r="J1047" s="156" t="str">
        <f>"Bíró Nóra"</f>
        <v>Bíró Nóra</v>
      </c>
      <c r="K1047" s="156" t="str">
        <f>"Főnix Dojo"</f>
        <v>Főnix Dojo</v>
      </c>
      <c r="L1047" s="156" t="str">
        <f t="shared" si="363"/>
        <v>HUN</v>
      </c>
      <c r="M1047" s="163">
        <v>4</v>
      </c>
      <c r="O1047" s="154" t="s">
        <v>410</v>
      </c>
      <c r="P1047" s="159">
        <v>46103</v>
      </c>
      <c r="Q1047" s="154" t="str">
        <f t="shared" si="373"/>
        <v>Bíró Nóra - Főnix Dojo</v>
      </c>
      <c r="R1047" s="154" t="s">
        <v>636</v>
      </c>
      <c r="S1047" s="154" t="str">
        <f t="shared" si="374"/>
        <v>Főnix Dojo</v>
      </c>
      <c r="T1047" s="154" t="s">
        <v>645</v>
      </c>
      <c r="U1047" s="154" t="s">
        <v>799</v>
      </c>
      <c r="V1047" s="154"/>
    </row>
    <row r="1048" spans="1:22" s="158" customFormat="1" x14ac:dyDescent="0.3">
      <c r="A1048" s="154" t="s">
        <v>777</v>
      </c>
      <c r="B1048" s="155" t="s">
        <v>154</v>
      </c>
      <c r="C1048" s="154">
        <v>961</v>
      </c>
      <c r="D1048" s="156" t="str">
        <f t="shared" si="375"/>
        <v>Kumite</v>
      </c>
      <c r="E1048" s="156" t="str">
        <f>"Kumite, -, 55-60 kg, Junior DOL (17-19"</f>
        <v>Kumite, -, 55-60 kg, Junior DOL (17-19</v>
      </c>
      <c r="F1048" s="156" t="s">
        <v>506</v>
      </c>
      <c r="G1048" s="157" t="str">
        <f>"5"</f>
        <v>5</v>
      </c>
      <c r="H1048" s="156" t="str">
        <f>"5 fős körmérkőzés"</f>
        <v>5 fős körmérkőzés</v>
      </c>
      <c r="I1048" s="157" t="str">
        <f>"5"</f>
        <v>5</v>
      </c>
      <c r="J1048" s="156" t="str">
        <f>"Gál Regina"</f>
        <v>Gál Regina</v>
      </c>
      <c r="K1048" s="156" t="str">
        <f>"Derecske BUDO"</f>
        <v>Derecske BUDO</v>
      </c>
      <c r="L1048" s="156" t="str">
        <f t="shared" si="363"/>
        <v>HUN</v>
      </c>
      <c r="M1048" s="163">
        <v>3</v>
      </c>
      <c r="O1048" s="154" t="s">
        <v>410</v>
      </c>
      <c r="P1048" s="159">
        <v>46103</v>
      </c>
      <c r="Q1048" s="154" t="str">
        <f t="shared" si="373"/>
        <v>Gál Regina - Derecske BUDO</v>
      </c>
      <c r="R1048" s="154" t="s">
        <v>636</v>
      </c>
      <c r="S1048" s="154" t="str">
        <f t="shared" si="374"/>
        <v>Derecske BUDO</v>
      </c>
      <c r="T1048" s="154" t="s">
        <v>645</v>
      </c>
      <c r="U1048" s="154" t="s">
        <v>799</v>
      </c>
      <c r="V1048" s="154"/>
    </row>
    <row r="1049" spans="1:22" s="158" customFormat="1" x14ac:dyDescent="0.3">
      <c r="A1049" s="154" t="s">
        <v>777</v>
      </c>
      <c r="B1049" s="155" t="s">
        <v>154</v>
      </c>
      <c r="C1049" s="154">
        <v>984</v>
      </c>
      <c r="D1049" s="156" t="str">
        <f>"Kumite"</f>
        <v>Kumite</v>
      </c>
      <c r="E1049" s="156" t="str">
        <f t="shared" ref="E1049:E1055" si="376">"Kumite, -, 60-65 kg, Junior DOL (17-19"</f>
        <v>Kumite, -, 60-65 kg, Junior DOL (17-19</v>
      </c>
      <c r="F1049" s="156" t="s">
        <v>507</v>
      </c>
      <c r="G1049" s="157" t="str">
        <f t="shared" ref="G1049:G1055" si="377">"7"</f>
        <v>7</v>
      </c>
      <c r="H1049" s="156" t="str">
        <f t="shared" ref="H1049:H1055" si="378">"8 fős egyenes kiesés"</f>
        <v>8 fős egyenes kiesés</v>
      </c>
      <c r="I1049" s="157" t="str">
        <f>"1"</f>
        <v>1</v>
      </c>
      <c r="J1049" s="156" t="str">
        <f>"Rácz Viktória"</f>
        <v>Rácz Viktória</v>
      </c>
      <c r="K1049" s="156" t="str">
        <f>"Shogun"</f>
        <v>Shogun</v>
      </c>
      <c r="L1049" s="156" t="str">
        <f t="shared" si="363"/>
        <v>HUN</v>
      </c>
      <c r="M1049" s="163">
        <v>8</v>
      </c>
      <c r="O1049" s="154" t="s">
        <v>410</v>
      </c>
      <c r="P1049" s="159">
        <v>46103</v>
      </c>
      <c r="Q1049" s="154" t="str">
        <f>J1049&amp;" - "&amp;K1049</f>
        <v>Rácz Viktória - Shogun</v>
      </c>
      <c r="R1049" s="154" t="s">
        <v>636</v>
      </c>
      <c r="S1049" s="154" t="str">
        <f>K1049</f>
        <v>Shogun</v>
      </c>
      <c r="T1049" s="154" t="s">
        <v>645</v>
      </c>
      <c r="U1049" s="154" t="s">
        <v>799</v>
      </c>
      <c r="V1049" s="154"/>
    </row>
    <row r="1050" spans="1:22" s="158" customFormat="1" x14ac:dyDescent="0.3">
      <c r="A1050" s="154" t="s">
        <v>777</v>
      </c>
      <c r="B1050" s="155" t="s">
        <v>154</v>
      </c>
      <c r="C1050" s="154">
        <v>962</v>
      </c>
      <c r="D1050" s="156" t="str">
        <f t="shared" si="375"/>
        <v>Kumite</v>
      </c>
      <c r="E1050" s="156" t="str">
        <f t="shared" si="376"/>
        <v>Kumite, -, 60-65 kg, Junior DOL (17-19</v>
      </c>
      <c r="F1050" s="156" t="s">
        <v>507</v>
      </c>
      <c r="G1050" s="157" t="str">
        <f t="shared" si="377"/>
        <v>7</v>
      </c>
      <c r="H1050" s="156" t="str">
        <f t="shared" si="378"/>
        <v>8 fős egyenes kiesés</v>
      </c>
      <c r="I1050" s="157" t="str">
        <f>"2"</f>
        <v>2</v>
      </c>
      <c r="J1050" s="156" t="str">
        <f>"Szutor Anna"</f>
        <v>Szutor Anna</v>
      </c>
      <c r="K1050" s="156" t="str">
        <f>"Shogun"</f>
        <v>Shogun</v>
      </c>
      <c r="L1050" s="156" t="str">
        <f t="shared" si="363"/>
        <v>HUN</v>
      </c>
      <c r="M1050" s="163">
        <v>6</v>
      </c>
      <c r="O1050" s="154" t="s">
        <v>410</v>
      </c>
      <c r="P1050" s="159">
        <v>46103</v>
      </c>
      <c r="Q1050" s="154" t="str">
        <f t="shared" si="373"/>
        <v>Szutor Anna - Shogun</v>
      </c>
      <c r="R1050" s="154" t="s">
        <v>636</v>
      </c>
      <c r="S1050" s="154" t="str">
        <f t="shared" si="374"/>
        <v>Shogun</v>
      </c>
      <c r="T1050" s="154" t="s">
        <v>645</v>
      </c>
      <c r="U1050" s="154" t="s">
        <v>799</v>
      </c>
      <c r="V1050" s="154"/>
    </row>
    <row r="1051" spans="1:22" s="158" customFormat="1" x14ac:dyDescent="0.3">
      <c r="A1051" s="154" t="s">
        <v>777</v>
      </c>
      <c r="B1051" s="155" t="s">
        <v>154</v>
      </c>
      <c r="C1051" s="154">
        <v>963</v>
      </c>
      <c r="D1051" s="156" t="str">
        <f t="shared" si="375"/>
        <v>Kumite</v>
      </c>
      <c r="E1051" s="156" t="str">
        <f t="shared" si="376"/>
        <v>Kumite, -, 60-65 kg, Junior DOL (17-19</v>
      </c>
      <c r="F1051" s="156" t="s">
        <v>507</v>
      </c>
      <c r="G1051" s="157" t="str">
        <f t="shared" si="377"/>
        <v>7</v>
      </c>
      <c r="H1051" s="156" t="str">
        <f t="shared" si="378"/>
        <v>8 fős egyenes kiesés</v>
      </c>
      <c r="I1051" s="157" t="str">
        <f>"3"</f>
        <v>3</v>
      </c>
      <c r="J1051" s="156" t="str">
        <f>"Éles Léna Hanna"</f>
        <v>Éles Léna Hanna</v>
      </c>
      <c r="K1051" s="156" t="str">
        <f>"Victory"</f>
        <v>Victory</v>
      </c>
      <c r="L1051" s="156" t="str">
        <f t="shared" si="363"/>
        <v>HUN</v>
      </c>
      <c r="M1051" s="163">
        <v>4</v>
      </c>
      <c r="O1051" s="154" t="s">
        <v>410</v>
      </c>
      <c r="P1051" s="159">
        <v>46103</v>
      </c>
      <c r="Q1051" s="154" t="str">
        <f t="shared" si="373"/>
        <v>Éles Léna Hanna - Victory</v>
      </c>
      <c r="R1051" s="154" t="s">
        <v>636</v>
      </c>
      <c r="S1051" s="154" t="str">
        <f t="shared" si="374"/>
        <v>Victory</v>
      </c>
      <c r="T1051" s="154" t="s">
        <v>645</v>
      </c>
      <c r="U1051" s="154" t="s">
        <v>799</v>
      </c>
      <c r="V1051" s="154"/>
    </row>
    <row r="1052" spans="1:22" s="158" customFormat="1" x14ac:dyDescent="0.3">
      <c r="A1052" s="154" t="s">
        <v>777</v>
      </c>
      <c r="B1052" s="155" t="s">
        <v>154</v>
      </c>
      <c r="C1052" s="154">
        <v>985</v>
      </c>
      <c r="D1052" s="156" t="str">
        <f>"Kumite"</f>
        <v>Kumite</v>
      </c>
      <c r="E1052" s="156" t="str">
        <f t="shared" si="376"/>
        <v>Kumite, -, 60-65 kg, Junior DOL (17-19</v>
      </c>
      <c r="F1052" s="156" t="s">
        <v>507</v>
      </c>
      <c r="G1052" s="157" t="str">
        <f t="shared" si="377"/>
        <v>7</v>
      </c>
      <c r="H1052" s="156" t="str">
        <f t="shared" si="378"/>
        <v>8 fős egyenes kiesés</v>
      </c>
      <c r="I1052" s="157" t="str">
        <f>"3"</f>
        <v>3</v>
      </c>
      <c r="J1052" s="156" t="str">
        <f>"Józsa Erika Réka"</f>
        <v>Józsa Erika Réka</v>
      </c>
      <c r="K1052" s="156" t="str">
        <f>"KHSE"</f>
        <v>KHSE</v>
      </c>
      <c r="L1052" s="156" t="str">
        <f t="shared" si="363"/>
        <v>HUN</v>
      </c>
      <c r="M1052" s="163">
        <v>4</v>
      </c>
      <c r="O1052" s="154" t="s">
        <v>410</v>
      </c>
      <c r="P1052" s="159">
        <v>46103</v>
      </c>
      <c r="Q1052" s="154" t="str">
        <f>J1052&amp;" - "&amp;K1052</f>
        <v>Józsa Erika Réka - KHSE</v>
      </c>
      <c r="R1052" s="154" t="s">
        <v>636</v>
      </c>
      <c r="S1052" s="154" t="str">
        <f>K1052</f>
        <v>KHSE</v>
      </c>
      <c r="T1052" s="154" t="s">
        <v>645</v>
      </c>
      <c r="U1052" s="154" t="s">
        <v>799</v>
      </c>
      <c r="V1052" s="154"/>
    </row>
    <row r="1053" spans="1:22" s="158" customFormat="1" x14ac:dyDescent="0.3">
      <c r="A1053" s="154" t="s">
        <v>777</v>
      </c>
      <c r="B1053" s="155" t="s">
        <v>154</v>
      </c>
      <c r="C1053" s="154">
        <v>964</v>
      </c>
      <c r="D1053" s="156" t="str">
        <f t="shared" si="375"/>
        <v>Kumite</v>
      </c>
      <c r="E1053" s="156" t="str">
        <f t="shared" si="376"/>
        <v>Kumite, -, 60-65 kg, Junior DOL (17-19</v>
      </c>
      <c r="F1053" s="156" t="s">
        <v>507</v>
      </c>
      <c r="G1053" s="157" t="str">
        <f t="shared" si="377"/>
        <v>7</v>
      </c>
      <c r="H1053" s="156" t="str">
        <f t="shared" si="378"/>
        <v>8 fős egyenes kiesés</v>
      </c>
      <c r="I1053" s="157">
        <v>6</v>
      </c>
      <c r="J1053" s="156" t="str">
        <f>"Spanjevic Emma"</f>
        <v>Spanjevic Emma</v>
      </c>
      <c r="K1053" s="156" t="str">
        <f>"BHMSE"</f>
        <v>BHMSE</v>
      </c>
      <c r="L1053" s="156" t="str">
        <f t="shared" si="363"/>
        <v>HUN</v>
      </c>
      <c r="M1053" s="163">
        <v>0</v>
      </c>
      <c r="O1053" s="154" t="s">
        <v>410</v>
      </c>
      <c r="P1053" s="159">
        <v>46103</v>
      </c>
      <c r="Q1053" s="154" t="str">
        <f t="shared" si="373"/>
        <v>Spanjevic Emma - BHMSE</v>
      </c>
      <c r="R1053" s="154" t="s">
        <v>636</v>
      </c>
      <c r="S1053" s="154" t="str">
        <f t="shared" si="374"/>
        <v>BHMSE</v>
      </c>
      <c r="T1053" s="154" t="s">
        <v>645</v>
      </c>
      <c r="U1053" s="154" t="s">
        <v>799</v>
      </c>
      <c r="V1053" s="154"/>
    </row>
    <row r="1054" spans="1:22" s="158" customFormat="1" x14ac:dyDescent="0.3">
      <c r="A1054" s="154" t="s">
        <v>777</v>
      </c>
      <c r="B1054" s="155" t="s">
        <v>154</v>
      </c>
      <c r="C1054" s="154">
        <v>965</v>
      </c>
      <c r="D1054" s="156" t="str">
        <f t="shared" si="375"/>
        <v>Kumite</v>
      </c>
      <c r="E1054" s="156" t="str">
        <f t="shared" si="376"/>
        <v>Kumite, -, 60-65 kg, Junior DOL (17-19</v>
      </c>
      <c r="F1054" s="156" t="s">
        <v>507</v>
      </c>
      <c r="G1054" s="157" t="str">
        <f t="shared" si="377"/>
        <v>7</v>
      </c>
      <c r="H1054" s="156" t="str">
        <f t="shared" si="378"/>
        <v>8 fős egyenes kiesés</v>
      </c>
      <c r="I1054" s="157" t="str">
        <f>"7-8"</f>
        <v>7-8</v>
      </c>
      <c r="J1054" s="156" t="str">
        <f>"Fadgyas Eszter"</f>
        <v>Fadgyas Eszter</v>
      </c>
      <c r="K1054" s="156" t="str">
        <f>"Goukai KSE"</f>
        <v>Goukai KSE</v>
      </c>
      <c r="L1054" s="156" t="str">
        <f t="shared" si="363"/>
        <v>HUN</v>
      </c>
      <c r="M1054" s="163">
        <v>0</v>
      </c>
      <c r="O1054" s="154" t="s">
        <v>410</v>
      </c>
      <c r="P1054" s="159">
        <v>46103</v>
      </c>
      <c r="Q1054" s="154" t="str">
        <f t="shared" si="373"/>
        <v>Fadgyas Eszter - Goukai KSE</v>
      </c>
      <c r="R1054" s="154" t="s">
        <v>636</v>
      </c>
      <c r="S1054" s="154" t="str">
        <f t="shared" si="374"/>
        <v>Goukai KSE</v>
      </c>
      <c r="T1054" s="154" t="s">
        <v>645</v>
      </c>
      <c r="U1054" s="154" t="s">
        <v>799</v>
      </c>
      <c r="V1054" s="154"/>
    </row>
    <row r="1055" spans="1:22" s="158" customFormat="1" x14ac:dyDescent="0.3">
      <c r="A1055" s="154" t="s">
        <v>777</v>
      </c>
      <c r="B1055" s="155" t="s">
        <v>154</v>
      </c>
      <c r="C1055" s="154">
        <v>966</v>
      </c>
      <c r="D1055" s="156" t="str">
        <f t="shared" si="375"/>
        <v>Kumite</v>
      </c>
      <c r="E1055" s="156" t="str">
        <f t="shared" si="376"/>
        <v>Kumite, -, 60-65 kg, Junior DOL (17-19</v>
      </c>
      <c r="F1055" s="156" t="s">
        <v>507</v>
      </c>
      <c r="G1055" s="157" t="str">
        <f t="shared" si="377"/>
        <v>7</v>
      </c>
      <c r="H1055" s="156" t="str">
        <f t="shared" si="378"/>
        <v>8 fős egyenes kiesés</v>
      </c>
      <c r="I1055" s="157" t="str">
        <f>"7-8"</f>
        <v>7-8</v>
      </c>
      <c r="J1055" s="156" t="str">
        <f>"Lukács Eszter"</f>
        <v>Lukács Eszter</v>
      </c>
      <c r="K1055" s="156" t="str">
        <f>"VTSE"</f>
        <v>VTSE</v>
      </c>
      <c r="L1055" s="156" t="str">
        <f t="shared" si="363"/>
        <v>HUN</v>
      </c>
      <c r="M1055" s="163">
        <v>0</v>
      </c>
      <c r="O1055" s="154" t="s">
        <v>410</v>
      </c>
      <c r="P1055" s="159">
        <v>46103</v>
      </c>
      <c r="Q1055" s="154" t="str">
        <f t="shared" si="373"/>
        <v>Lukács Eszter - VTSE</v>
      </c>
      <c r="R1055" s="154" t="s">
        <v>637</v>
      </c>
      <c r="S1055" s="154" t="str">
        <f t="shared" si="374"/>
        <v>VTSE</v>
      </c>
      <c r="T1055" s="154" t="s">
        <v>645</v>
      </c>
      <c r="U1055" s="154" t="s">
        <v>799</v>
      </c>
      <c r="V1055" s="154"/>
    </row>
    <row r="1056" spans="1:22" s="158" customFormat="1" x14ac:dyDescent="0.3">
      <c r="A1056" s="154" t="s">
        <v>777</v>
      </c>
      <c r="B1056" s="155" t="s">
        <v>154</v>
      </c>
      <c r="C1056" s="154">
        <v>967</v>
      </c>
      <c r="D1056" s="156" t="str">
        <f t="shared" si="375"/>
        <v>Kumite</v>
      </c>
      <c r="E1056" s="156" t="str">
        <f>"Kumite, -, 65-199 kg, Junior DOL (17-19"</f>
        <v>Kumite, -, 65-199 kg, Junior DOL (17-19</v>
      </c>
      <c r="F1056" s="156" t="s">
        <v>508</v>
      </c>
      <c r="G1056" s="157" t="str">
        <f>"3"</f>
        <v>3</v>
      </c>
      <c r="H1056" s="156" t="str">
        <f>"3 fős körmérkőzés"</f>
        <v>3 fős körmérkőzés</v>
      </c>
      <c r="I1056" s="157" t="str">
        <f>"1"</f>
        <v>1</v>
      </c>
      <c r="J1056" s="156" t="str">
        <f>"Vórincsák Vivien"</f>
        <v>Vórincsák Vivien</v>
      </c>
      <c r="K1056" s="156" t="str">
        <f>"KHSE"</f>
        <v>KHSE</v>
      </c>
      <c r="L1056" s="156" t="str">
        <f t="shared" si="363"/>
        <v>HUN</v>
      </c>
      <c r="M1056" s="163">
        <v>6</v>
      </c>
      <c r="O1056" s="154" t="s">
        <v>410</v>
      </c>
      <c r="P1056" s="159">
        <v>46103</v>
      </c>
      <c r="Q1056" s="154" t="str">
        <f t="shared" si="373"/>
        <v>Vórincsák Vivien - KHSE</v>
      </c>
      <c r="R1056" s="154" t="s">
        <v>636</v>
      </c>
      <c r="S1056" s="154" t="str">
        <f t="shared" si="374"/>
        <v>KHSE</v>
      </c>
      <c r="T1056" s="154" t="s">
        <v>645</v>
      </c>
      <c r="U1056" s="154" t="s">
        <v>799</v>
      </c>
      <c r="V1056" s="154"/>
    </row>
    <row r="1057" spans="1:22" s="158" customFormat="1" x14ac:dyDescent="0.3">
      <c r="A1057" s="154" t="s">
        <v>777</v>
      </c>
      <c r="B1057" s="155" t="s">
        <v>154</v>
      </c>
      <c r="C1057" s="154">
        <v>968</v>
      </c>
      <c r="D1057" s="156" t="str">
        <f t="shared" si="375"/>
        <v>Kumite</v>
      </c>
      <c r="E1057" s="156" t="str">
        <f>"Kumite, -, 65-199 kg, Junior DOL (17-19"</f>
        <v>Kumite, -, 65-199 kg, Junior DOL (17-19</v>
      </c>
      <c r="F1057" s="156" t="s">
        <v>508</v>
      </c>
      <c r="G1057" s="157" t="str">
        <f>"3"</f>
        <v>3</v>
      </c>
      <c r="H1057" s="156" t="str">
        <f>"3 fős körmérkőzés"</f>
        <v>3 fős körmérkőzés</v>
      </c>
      <c r="I1057" s="157" t="str">
        <f>"2"</f>
        <v>2</v>
      </c>
      <c r="J1057" s="156" t="str">
        <f>"Ecsedi Réka"</f>
        <v>Ecsedi Réka</v>
      </c>
      <c r="K1057" s="156" t="str">
        <f>"KHSE"</f>
        <v>KHSE</v>
      </c>
      <c r="L1057" s="156" t="str">
        <f t="shared" si="363"/>
        <v>HUN</v>
      </c>
      <c r="M1057" s="163">
        <v>4</v>
      </c>
      <c r="O1057" s="154" t="s">
        <v>410</v>
      </c>
      <c r="P1057" s="159">
        <v>46103</v>
      </c>
      <c r="Q1057" s="154" t="str">
        <f t="shared" si="373"/>
        <v>Ecsedi Réka - KHSE</v>
      </c>
      <c r="R1057" s="154" t="s">
        <v>636</v>
      </c>
      <c r="S1057" s="154" t="str">
        <f t="shared" si="374"/>
        <v>KHSE</v>
      </c>
      <c r="T1057" s="154" t="s">
        <v>645</v>
      </c>
      <c r="U1057" s="154" t="s">
        <v>799</v>
      </c>
      <c r="V1057" s="154"/>
    </row>
    <row r="1058" spans="1:22" s="158" customFormat="1" x14ac:dyDescent="0.3">
      <c r="A1058" s="154" t="s">
        <v>777</v>
      </c>
      <c r="B1058" s="155" t="s">
        <v>154</v>
      </c>
      <c r="C1058" s="154">
        <v>969</v>
      </c>
      <c r="D1058" s="156" t="str">
        <f t="shared" si="375"/>
        <v>Kumite</v>
      </c>
      <c r="E1058" s="156" t="str">
        <f>"Kumite, -, 65-199 kg, Junior DOL (17-19"</f>
        <v>Kumite, -, 65-199 kg, Junior DOL (17-19</v>
      </c>
      <c r="F1058" s="156" t="s">
        <v>508</v>
      </c>
      <c r="G1058" s="157" t="str">
        <f>"3"</f>
        <v>3</v>
      </c>
      <c r="H1058" s="156" t="str">
        <f>"3 fős körmérkőzés"</f>
        <v>3 fős körmérkőzés</v>
      </c>
      <c r="I1058" s="157" t="str">
        <f>"3"</f>
        <v>3</v>
      </c>
      <c r="J1058" s="156" t="str">
        <f>"Szabó Petra"</f>
        <v>Szabó Petra</v>
      </c>
      <c r="K1058" s="156" t="str">
        <f>"Shogun"</f>
        <v>Shogun</v>
      </c>
      <c r="L1058" s="156" t="str">
        <f t="shared" si="363"/>
        <v>HUN</v>
      </c>
      <c r="M1058" s="163">
        <v>0</v>
      </c>
      <c r="O1058" s="154" t="s">
        <v>410</v>
      </c>
      <c r="P1058" s="159">
        <v>46103</v>
      </c>
      <c r="Q1058" s="154" t="str">
        <f t="shared" si="373"/>
        <v>Szabó Petra - Shogun</v>
      </c>
      <c r="R1058" s="154" t="s">
        <v>636</v>
      </c>
      <c r="S1058" s="154" t="str">
        <f t="shared" si="374"/>
        <v>Shogun</v>
      </c>
      <c r="T1058" s="154" t="s">
        <v>645</v>
      </c>
      <c r="U1058" s="154" t="s">
        <v>799</v>
      </c>
      <c r="V1058" s="154"/>
    </row>
    <row r="1059" spans="1:22" s="158" customFormat="1" x14ac:dyDescent="0.3">
      <c r="A1059" s="154" t="s">
        <v>777</v>
      </c>
      <c r="B1059" s="155" t="s">
        <v>154</v>
      </c>
      <c r="C1059" s="154">
        <v>970</v>
      </c>
      <c r="D1059" s="156" t="str">
        <f t="shared" ref="D1059:D1069" si="379">"Kata"</f>
        <v>Kata</v>
      </c>
      <c r="E1059" s="156" t="str">
        <f t="shared" ref="E1059:E1069" si="380">"Kata, -, 0-170 kg, Junior DOL (17-19"</f>
        <v>Kata, -, 0-170 kg, Junior DOL (17-19</v>
      </c>
      <c r="F1059" s="156" t="s">
        <v>503</v>
      </c>
      <c r="G1059" s="157" t="str">
        <f t="shared" ref="G1059:G1069" si="381">"14"</f>
        <v>14</v>
      </c>
      <c r="H1059" s="156" t="str">
        <f t="shared" ref="H1059:H1069" si="382">"16 fős egyenes kiesés + 3. hely"</f>
        <v>16 fős egyenes kiesés + 3. hely</v>
      </c>
      <c r="I1059" s="157" t="str">
        <f>"1"</f>
        <v>1</v>
      </c>
      <c r="J1059" s="156" t="str">
        <f>"Gerő Hanna Gréta"</f>
        <v>Gerő Hanna Gréta</v>
      </c>
      <c r="K1059" s="156" t="str">
        <f>"Kagami"</f>
        <v>Kagami</v>
      </c>
      <c r="L1059" s="156" t="str">
        <f t="shared" si="363"/>
        <v>HUN</v>
      </c>
      <c r="M1059" s="163">
        <v>8</v>
      </c>
      <c r="N1059" s="158" t="s">
        <v>816</v>
      </c>
      <c r="O1059" s="154" t="s">
        <v>410</v>
      </c>
      <c r="P1059" s="159">
        <v>46103</v>
      </c>
      <c r="Q1059" s="154" t="str">
        <f t="shared" si="373"/>
        <v>Gerő Hanna Gréta - Kagami</v>
      </c>
      <c r="R1059" s="154" t="s">
        <v>636</v>
      </c>
      <c r="S1059" s="154" t="str">
        <f t="shared" si="374"/>
        <v>Kagami</v>
      </c>
      <c r="T1059" s="154" t="s">
        <v>645</v>
      </c>
      <c r="U1059" s="154" t="s">
        <v>799</v>
      </c>
      <c r="V1059" s="154"/>
    </row>
    <row r="1060" spans="1:22" s="158" customFormat="1" x14ac:dyDescent="0.3">
      <c r="A1060" s="154" t="s">
        <v>777</v>
      </c>
      <c r="B1060" s="155" t="s">
        <v>154</v>
      </c>
      <c r="C1060" s="154">
        <v>986</v>
      </c>
      <c r="D1060" s="156" t="str">
        <f t="shared" ref="D1060:D1073" si="383">"Kata"</f>
        <v>Kata</v>
      </c>
      <c r="E1060" s="156" t="str">
        <f t="shared" ref="E1060:E1073" si="384">"Kata, -, 0-170 kg, Junior DOL (17-19"</f>
        <v>Kata, -, 0-170 kg, Junior DOL (17-19</v>
      </c>
      <c r="F1060" s="156" t="s">
        <v>503</v>
      </c>
      <c r="G1060" s="157" t="str">
        <f t="shared" ref="G1060:G1073" si="385">"14"</f>
        <v>14</v>
      </c>
      <c r="H1060" s="156" t="str">
        <f t="shared" ref="H1060:H1073" si="386">"16 fős egyenes kiesés + 3. hely"</f>
        <v>16 fős egyenes kiesés + 3. hely</v>
      </c>
      <c r="I1060" s="157" t="str">
        <f>"2"</f>
        <v>2</v>
      </c>
      <c r="J1060" s="156" t="str">
        <f>"Rácz Viktória"</f>
        <v>Rácz Viktória</v>
      </c>
      <c r="K1060" s="156" t="str">
        <f>"Shogun"</f>
        <v>Shogun</v>
      </c>
      <c r="L1060" s="156" t="str">
        <f t="shared" si="363"/>
        <v>HUN</v>
      </c>
      <c r="M1060" s="163">
        <v>6</v>
      </c>
      <c r="N1060" s="158" t="s">
        <v>816</v>
      </c>
      <c r="O1060" s="154" t="s">
        <v>410</v>
      </c>
      <c r="P1060" s="159">
        <v>46103</v>
      </c>
      <c r="Q1060" s="154" t="str">
        <f>J1060&amp;" - "&amp;K1060</f>
        <v>Rácz Viktória - Shogun</v>
      </c>
      <c r="R1060" s="154" t="s">
        <v>636</v>
      </c>
      <c r="S1060" s="154" t="str">
        <f>K1060</f>
        <v>Shogun</v>
      </c>
      <c r="T1060" s="154" t="s">
        <v>645</v>
      </c>
      <c r="U1060" s="154" t="s">
        <v>799</v>
      </c>
      <c r="V1060" s="154"/>
    </row>
    <row r="1061" spans="1:22" s="158" customFormat="1" x14ac:dyDescent="0.3">
      <c r="A1061" s="154" t="s">
        <v>777</v>
      </c>
      <c r="B1061" s="155" t="s">
        <v>154</v>
      </c>
      <c r="C1061" s="154">
        <v>987</v>
      </c>
      <c r="D1061" s="156" t="str">
        <f t="shared" si="383"/>
        <v>Kata</v>
      </c>
      <c r="E1061" s="156" t="str">
        <f t="shared" si="384"/>
        <v>Kata, -, 0-170 kg, Junior DOL (17-19</v>
      </c>
      <c r="F1061" s="156" t="s">
        <v>503</v>
      </c>
      <c r="G1061" s="157" t="str">
        <f t="shared" si="385"/>
        <v>14</v>
      </c>
      <c r="H1061" s="156" t="str">
        <f t="shared" si="386"/>
        <v>16 fős egyenes kiesés + 3. hely</v>
      </c>
      <c r="I1061" s="157" t="str">
        <f>"3"</f>
        <v>3</v>
      </c>
      <c r="J1061" s="156" t="str">
        <f>"Sólyom Gréta"</f>
        <v>Sólyom Gréta</v>
      </c>
      <c r="K1061" s="156" t="str">
        <f>"Shogun"</f>
        <v>Shogun</v>
      </c>
      <c r="L1061" s="156" t="str">
        <f t="shared" si="363"/>
        <v>HUN</v>
      </c>
      <c r="M1061" s="163">
        <v>4</v>
      </c>
      <c r="N1061" s="158" t="s">
        <v>816</v>
      </c>
      <c r="O1061" s="154" t="s">
        <v>410</v>
      </c>
      <c r="P1061" s="159">
        <v>46103</v>
      </c>
      <c r="Q1061" s="154" t="str">
        <f>J1061&amp;" - "&amp;K1061</f>
        <v>Sólyom Gréta - Shogun</v>
      </c>
      <c r="R1061" s="154" t="s">
        <v>636</v>
      </c>
      <c r="S1061" s="154" t="str">
        <f>K1061</f>
        <v>Shogun</v>
      </c>
      <c r="T1061" s="154" t="s">
        <v>645</v>
      </c>
      <c r="U1061" s="154" t="s">
        <v>799</v>
      </c>
      <c r="V1061" s="154"/>
    </row>
    <row r="1062" spans="1:22" s="158" customFormat="1" x14ac:dyDescent="0.3">
      <c r="A1062" s="154" t="s">
        <v>777</v>
      </c>
      <c r="B1062" s="155" t="s">
        <v>154</v>
      </c>
      <c r="C1062" s="154">
        <v>988</v>
      </c>
      <c r="D1062" s="156" t="str">
        <f t="shared" si="383"/>
        <v>Kata</v>
      </c>
      <c r="E1062" s="156" t="str">
        <f t="shared" si="384"/>
        <v>Kata, -, 0-170 kg, Junior DOL (17-19</v>
      </c>
      <c r="F1062" s="156" t="s">
        <v>503</v>
      </c>
      <c r="G1062" s="157" t="str">
        <f t="shared" si="385"/>
        <v>14</v>
      </c>
      <c r="H1062" s="156" t="str">
        <f t="shared" si="386"/>
        <v>16 fős egyenes kiesés + 3. hely</v>
      </c>
      <c r="I1062" s="157" t="str">
        <f>"4"</f>
        <v>4</v>
      </c>
      <c r="J1062" s="156" t="str">
        <f>"Arnódi Gréta Bernadette"</f>
        <v>Arnódi Gréta Bernadette</v>
      </c>
      <c r="K1062" s="156" t="str">
        <f>"Kagami"</f>
        <v>Kagami</v>
      </c>
      <c r="L1062" s="156" t="str">
        <f t="shared" si="363"/>
        <v>HUN</v>
      </c>
      <c r="M1062" s="163">
        <v>3</v>
      </c>
      <c r="N1062" s="158" t="s">
        <v>816</v>
      </c>
      <c r="O1062" s="154" t="s">
        <v>410</v>
      </c>
      <c r="P1062" s="159">
        <v>46103</v>
      </c>
      <c r="Q1062" s="154" t="str">
        <f>J1062&amp;" - "&amp;K1062</f>
        <v>Arnódi Gréta Bernadette - Kagami</v>
      </c>
      <c r="R1062" s="154" t="s">
        <v>636</v>
      </c>
      <c r="S1062" s="154" t="str">
        <f>K1062</f>
        <v>Kagami</v>
      </c>
      <c r="T1062" s="154" t="s">
        <v>645</v>
      </c>
      <c r="U1062" s="154" t="s">
        <v>799</v>
      </c>
      <c r="V1062" s="154"/>
    </row>
    <row r="1063" spans="1:22" s="158" customFormat="1" x14ac:dyDescent="0.3">
      <c r="A1063" s="154" t="s">
        <v>777</v>
      </c>
      <c r="B1063" s="155" t="s">
        <v>154</v>
      </c>
      <c r="C1063" s="154">
        <v>971</v>
      </c>
      <c r="D1063" s="156" t="str">
        <f t="shared" si="379"/>
        <v>Kata</v>
      </c>
      <c r="E1063" s="156" t="str">
        <f t="shared" si="380"/>
        <v>Kata, -, 0-170 kg, Junior DOL (17-19</v>
      </c>
      <c r="F1063" s="156" t="s">
        <v>503</v>
      </c>
      <c r="G1063" s="157" t="str">
        <f t="shared" si="381"/>
        <v>14</v>
      </c>
      <c r="H1063" s="156" t="str">
        <f t="shared" si="382"/>
        <v>16 fős egyenes kiesés + 3. hely</v>
      </c>
      <c r="I1063" s="157" t="str">
        <f>"5"</f>
        <v>5</v>
      </c>
      <c r="J1063" s="156" t="str">
        <f>"Orosz Dorina"</f>
        <v>Orosz Dorina</v>
      </c>
      <c r="K1063" s="156" t="str">
        <f>"Kemecse SE"</f>
        <v>Kemecse SE</v>
      </c>
      <c r="L1063" s="156" t="str">
        <f t="shared" si="363"/>
        <v>HUN</v>
      </c>
      <c r="M1063" s="163">
        <v>2</v>
      </c>
      <c r="N1063" s="158" t="s">
        <v>816</v>
      </c>
      <c r="O1063" s="154" t="s">
        <v>410</v>
      </c>
      <c r="P1063" s="159">
        <v>46103</v>
      </c>
      <c r="Q1063" s="154" t="str">
        <f t="shared" si="373"/>
        <v>Orosz Dorina - Kemecse SE</v>
      </c>
      <c r="R1063" s="154" t="s">
        <v>636</v>
      </c>
      <c r="S1063" s="154" t="str">
        <f t="shared" si="374"/>
        <v>Kemecse SE</v>
      </c>
      <c r="T1063" s="154" t="s">
        <v>645</v>
      </c>
      <c r="U1063" s="154" t="s">
        <v>799</v>
      </c>
      <c r="V1063" s="154"/>
    </row>
    <row r="1064" spans="1:22" s="158" customFormat="1" x14ac:dyDescent="0.3">
      <c r="A1064" s="154" t="s">
        <v>777</v>
      </c>
      <c r="B1064" s="155" t="s">
        <v>154</v>
      </c>
      <c r="C1064" s="154">
        <v>972</v>
      </c>
      <c r="D1064" s="156" t="str">
        <f t="shared" si="379"/>
        <v>Kata</v>
      </c>
      <c r="E1064" s="156" t="str">
        <f t="shared" si="380"/>
        <v>Kata, -, 0-170 kg, Junior DOL (17-19</v>
      </c>
      <c r="F1064" s="156" t="s">
        <v>503</v>
      </c>
      <c r="G1064" s="157" t="str">
        <f t="shared" si="381"/>
        <v>14</v>
      </c>
      <c r="H1064" s="156" t="str">
        <f t="shared" si="382"/>
        <v>16 fős egyenes kiesés + 3. hely</v>
      </c>
      <c r="I1064" s="157" t="str">
        <f>"6"</f>
        <v>6</v>
      </c>
      <c r="J1064" s="156" t="str">
        <f>"Bognár Luca"</f>
        <v>Bognár Luca</v>
      </c>
      <c r="K1064" s="156" t="str">
        <f>"Rakurai"</f>
        <v>Rakurai</v>
      </c>
      <c r="L1064" s="156" t="str">
        <f t="shared" si="363"/>
        <v>HUN</v>
      </c>
      <c r="M1064" s="163">
        <v>2</v>
      </c>
      <c r="N1064" s="158" t="s">
        <v>816</v>
      </c>
      <c r="O1064" s="154" t="s">
        <v>410</v>
      </c>
      <c r="P1064" s="159">
        <v>46103</v>
      </c>
      <c r="Q1064" s="154" t="str">
        <f t="shared" si="373"/>
        <v>Bognár Luca - Rakurai</v>
      </c>
      <c r="R1064" s="154" t="s">
        <v>636</v>
      </c>
      <c r="S1064" s="154" t="str">
        <f t="shared" si="374"/>
        <v>Rakurai</v>
      </c>
      <c r="T1064" s="154" t="s">
        <v>645</v>
      </c>
      <c r="U1064" s="154" t="s">
        <v>799</v>
      </c>
      <c r="V1064" s="154"/>
    </row>
    <row r="1065" spans="1:22" s="158" customFormat="1" x14ac:dyDescent="0.3">
      <c r="A1065" s="154" t="s">
        <v>777</v>
      </c>
      <c r="B1065" s="155" t="s">
        <v>154</v>
      </c>
      <c r="C1065" s="154">
        <v>974</v>
      </c>
      <c r="D1065" s="156" t="str">
        <f t="shared" si="379"/>
        <v>Kata</v>
      </c>
      <c r="E1065" s="156" t="str">
        <f t="shared" si="380"/>
        <v>Kata, -, 0-170 kg, Junior DOL (17-19</v>
      </c>
      <c r="F1065" s="156" t="s">
        <v>503</v>
      </c>
      <c r="G1065" s="157" t="str">
        <f t="shared" si="381"/>
        <v>14</v>
      </c>
      <c r="H1065" s="156" t="str">
        <f t="shared" si="382"/>
        <v>16 fős egyenes kiesés + 3. hely</v>
      </c>
      <c r="I1065" s="157">
        <v>7</v>
      </c>
      <c r="J1065" s="156" t="str">
        <f>"Szutor Anna"</f>
        <v>Szutor Anna</v>
      </c>
      <c r="K1065" s="156" t="str">
        <f>"Shogun"</f>
        <v>Shogun</v>
      </c>
      <c r="L1065" s="156" t="str">
        <f t="shared" si="363"/>
        <v>HUN</v>
      </c>
      <c r="M1065" s="163">
        <v>2</v>
      </c>
      <c r="N1065" s="158" t="s">
        <v>816</v>
      </c>
      <c r="O1065" s="154" t="s">
        <v>410</v>
      </c>
      <c r="P1065" s="159">
        <v>46103</v>
      </c>
      <c r="Q1065" s="154" t="str">
        <f t="shared" ref="Q1065" si="387">J1065&amp;" - "&amp;K1065</f>
        <v>Szutor Anna - Shogun</v>
      </c>
      <c r="R1065" s="154" t="s">
        <v>636</v>
      </c>
      <c r="S1065" s="154" t="str">
        <f t="shared" ref="S1065" si="388">K1065</f>
        <v>Shogun</v>
      </c>
      <c r="T1065" s="154" t="s">
        <v>645</v>
      </c>
      <c r="U1065" s="154" t="s">
        <v>799</v>
      </c>
      <c r="V1065" s="154"/>
    </row>
    <row r="1066" spans="1:22" s="158" customFormat="1" x14ac:dyDescent="0.3">
      <c r="A1066" s="154" t="s">
        <v>777</v>
      </c>
      <c r="B1066" s="155" t="s">
        <v>154</v>
      </c>
      <c r="C1066" s="154">
        <v>973</v>
      </c>
      <c r="D1066" s="156" t="str">
        <f t="shared" si="379"/>
        <v>Kata</v>
      </c>
      <c r="E1066" s="156" t="str">
        <f t="shared" si="380"/>
        <v>Kata, -, 0-170 kg, Junior DOL (17-19</v>
      </c>
      <c r="F1066" s="156" t="s">
        <v>503</v>
      </c>
      <c r="G1066" s="157" t="str">
        <f t="shared" si="381"/>
        <v>14</v>
      </c>
      <c r="H1066" s="156" t="str">
        <f t="shared" si="382"/>
        <v>16 fős egyenes kiesés + 3. hely</v>
      </c>
      <c r="I1066" s="157">
        <v>8</v>
      </c>
      <c r="J1066" s="156" t="str">
        <f>"Németh Panka"</f>
        <v>Németh Panka</v>
      </c>
      <c r="K1066" s="156" t="str">
        <f>"Cs.S.E."</f>
        <v>Cs.S.E.</v>
      </c>
      <c r="L1066" s="156" t="str">
        <f t="shared" si="363"/>
        <v>HUN</v>
      </c>
      <c r="M1066" s="163">
        <v>2</v>
      </c>
      <c r="N1066" s="158" t="s">
        <v>816</v>
      </c>
      <c r="O1066" s="154" t="s">
        <v>410</v>
      </c>
      <c r="P1066" s="159">
        <v>46103</v>
      </c>
      <c r="Q1066" s="154" t="str">
        <f t="shared" si="373"/>
        <v>Németh Panka - Cs.S.E.</v>
      </c>
      <c r="R1066" s="154" t="s">
        <v>636</v>
      </c>
      <c r="S1066" s="154" t="str">
        <f t="shared" si="374"/>
        <v>Cs.S.E.</v>
      </c>
      <c r="T1066" s="154" t="s">
        <v>645</v>
      </c>
      <c r="U1066" s="154" t="s">
        <v>799</v>
      </c>
      <c r="V1066" s="154"/>
    </row>
    <row r="1067" spans="1:22" s="158" customFormat="1" x14ac:dyDescent="0.3">
      <c r="A1067" s="154" t="s">
        <v>777</v>
      </c>
      <c r="B1067" s="155" t="s">
        <v>154</v>
      </c>
      <c r="C1067" s="154">
        <v>975</v>
      </c>
      <c r="D1067" s="156" t="str">
        <f t="shared" si="379"/>
        <v>Kata</v>
      </c>
      <c r="E1067" s="156" t="str">
        <f t="shared" si="380"/>
        <v>Kata, -, 0-170 kg, Junior DOL (17-19</v>
      </c>
      <c r="F1067" s="156" t="s">
        <v>503</v>
      </c>
      <c r="G1067" s="157" t="str">
        <f t="shared" si="381"/>
        <v>14</v>
      </c>
      <c r="H1067" s="156" t="str">
        <f t="shared" si="382"/>
        <v>16 fős egyenes kiesés + 3. hely</v>
      </c>
      <c r="I1067" s="157" t="str">
        <f>"11-16"</f>
        <v>11-16</v>
      </c>
      <c r="J1067" s="156" t="str">
        <f>"Kisdeák Emma"</f>
        <v>Kisdeák Emma</v>
      </c>
      <c r="K1067" s="156" t="str">
        <f>"Siófok KSE"</f>
        <v>Siófok KSE</v>
      </c>
      <c r="L1067" s="156" t="str">
        <f t="shared" si="363"/>
        <v>HUN</v>
      </c>
      <c r="M1067" s="163">
        <v>0</v>
      </c>
      <c r="N1067" s="158" t="s">
        <v>816</v>
      </c>
      <c r="O1067" s="154" t="s">
        <v>410</v>
      </c>
      <c r="P1067" s="159">
        <v>46103</v>
      </c>
      <c r="Q1067" s="154" t="str">
        <f t="shared" si="373"/>
        <v>Kisdeák Emma - Siófok KSE</v>
      </c>
      <c r="R1067" s="154" t="s">
        <v>636</v>
      </c>
      <c r="S1067" s="154" t="str">
        <f t="shared" si="374"/>
        <v>Siófok KSE</v>
      </c>
      <c r="T1067" s="154" t="s">
        <v>645</v>
      </c>
      <c r="U1067" s="154" t="s">
        <v>799</v>
      </c>
      <c r="V1067" s="154"/>
    </row>
    <row r="1068" spans="1:22" s="158" customFormat="1" x14ac:dyDescent="0.3">
      <c r="A1068" s="154" t="s">
        <v>777</v>
      </c>
      <c r="B1068" s="155" t="s">
        <v>154</v>
      </c>
      <c r="C1068" s="154">
        <v>976</v>
      </c>
      <c r="D1068" s="156" t="str">
        <f t="shared" si="379"/>
        <v>Kata</v>
      </c>
      <c r="E1068" s="156" t="str">
        <f t="shared" si="380"/>
        <v>Kata, -, 0-170 kg, Junior DOL (17-19</v>
      </c>
      <c r="F1068" s="156" t="s">
        <v>503</v>
      </c>
      <c r="G1068" s="157" t="str">
        <f t="shared" si="381"/>
        <v>14</v>
      </c>
      <c r="H1068" s="156" t="str">
        <f t="shared" si="382"/>
        <v>16 fős egyenes kiesés + 3. hely</v>
      </c>
      <c r="I1068" s="157" t="str">
        <f>"11-16"</f>
        <v>11-16</v>
      </c>
      <c r="J1068" s="156" t="str">
        <f>"Viza Dorottya Anna"</f>
        <v>Viza Dorottya Anna</v>
      </c>
      <c r="K1068" s="156" t="str">
        <f>"ARSC"</f>
        <v>ARSC</v>
      </c>
      <c r="L1068" s="156" t="str">
        <f t="shared" si="363"/>
        <v>HUN</v>
      </c>
      <c r="M1068" s="163">
        <v>0</v>
      </c>
      <c r="N1068" s="158" t="s">
        <v>816</v>
      </c>
      <c r="O1068" s="154" t="s">
        <v>410</v>
      </c>
      <c r="P1068" s="159">
        <v>46103</v>
      </c>
      <c r="Q1068" s="154" t="str">
        <f t="shared" si="373"/>
        <v>Viza Dorottya Anna - ARSC</v>
      </c>
      <c r="R1068" s="154" t="s">
        <v>636</v>
      </c>
      <c r="S1068" s="154" t="str">
        <f t="shared" si="374"/>
        <v>ARSC</v>
      </c>
      <c r="T1068" s="154" t="s">
        <v>645</v>
      </c>
      <c r="U1068" s="154" t="s">
        <v>799</v>
      </c>
      <c r="V1068" s="154"/>
    </row>
    <row r="1069" spans="1:22" s="158" customFormat="1" x14ac:dyDescent="0.3">
      <c r="A1069" s="154" t="s">
        <v>777</v>
      </c>
      <c r="B1069" s="155" t="s">
        <v>154</v>
      </c>
      <c r="C1069" s="154">
        <v>977</v>
      </c>
      <c r="D1069" s="156" t="str">
        <f t="shared" si="379"/>
        <v>Kata</v>
      </c>
      <c r="E1069" s="156" t="str">
        <f t="shared" si="380"/>
        <v>Kata, -, 0-170 kg, Junior DOL (17-19</v>
      </c>
      <c r="F1069" s="156" t="s">
        <v>503</v>
      </c>
      <c r="G1069" s="157" t="str">
        <f t="shared" si="381"/>
        <v>14</v>
      </c>
      <c r="H1069" s="156" t="str">
        <f t="shared" si="382"/>
        <v>16 fős egyenes kiesés + 3. hely</v>
      </c>
      <c r="I1069" s="157" t="str">
        <f>"11-16"</f>
        <v>11-16</v>
      </c>
      <c r="J1069" s="156" t="str">
        <f>"Molnár Emese"</f>
        <v>Molnár Emese</v>
      </c>
      <c r="K1069" s="156" t="str">
        <f>"Kihaku SE"</f>
        <v>Kihaku SE</v>
      </c>
      <c r="L1069" s="156" t="str">
        <f t="shared" si="363"/>
        <v>HUN</v>
      </c>
      <c r="M1069" s="163">
        <v>0</v>
      </c>
      <c r="N1069" s="158" t="s">
        <v>816</v>
      </c>
      <c r="O1069" s="154" t="s">
        <v>410</v>
      </c>
      <c r="P1069" s="159">
        <v>46103</v>
      </c>
      <c r="Q1069" s="154" t="str">
        <f t="shared" si="373"/>
        <v>Molnár Emese - Kihaku SE</v>
      </c>
      <c r="R1069" s="154" t="s">
        <v>636</v>
      </c>
      <c r="S1069" s="154" t="str">
        <f t="shared" si="374"/>
        <v>Kihaku SE</v>
      </c>
      <c r="T1069" s="154" t="s">
        <v>645</v>
      </c>
      <c r="U1069" s="154" t="s">
        <v>799</v>
      </c>
      <c r="V1069" s="154"/>
    </row>
    <row r="1070" spans="1:22" s="158" customFormat="1" x14ac:dyDescent="0.3">
      <c r="A1070" s="154" t="s">
        <v>777</v>
      </c>
      <c r="B1070" s="155" t="s">
        <v>154</v>
      </c>
      <c r="C1070" s="154">
        <v>979</v>
      </c>
      <c r="D1070" s="156" t="str">
        <f>"Kumite"</f>
        <v>Kumite</v>
      </c>
      <c r="E1070" s="156" t="str">
        <f>"Kumite, -, 70-75 kg, Junior DOL (17-19"</f>
        <v>Kumite, -, 70-75 kg, Junior DOL (17-19</v>
      </c>
      <c r="F1070" s="156" t="s">
        <v>499</v>
      </c>
      <c r="G1070" s="157" t="str">
        <f>"8"</f>
        <v>8</v>
      </c>
      <c r="H1070" s="156" t="str">
        <f>"8 fős egyenes kiesés + 3. hely"</f>
        <v>8 fős egyenes kiesés + 3. hely</v>
      </c>
      <c r="I1070" s="157" t="str">
        <f>"3"</f>
        <v>3</v>
      </c>
      <c r="J1070" s="156" t="str">
        <f>"Gáspár Botond"</f>
        <v>Gáspár Botond</v>
      </c>
      <c r="K1070" s="156" t="str">
        <f>"Főnix Dojo"</f>
        <v>Főnix Dojo</v>
      </c>
      <c r="L1070" s="156" t="str">
        <f t="shared" si="363"/>
        <v>HUN</v>
      </c>
      <c r="M1070" s="163">
        <v>4</v>
      </c>
      <c r="O1070" s="154" t="s">
        <v>410</v>
      </c>
      <c r="P1070" s="159">
        <v>46103</v>
      </c>
      <c r="Q1070" s="154" t="str">
        <f t="shared" si="373"/>
        <v>Gáspár Botond - Főnix Dojo</v>
      </c>
      <c r="R1070" s="154" t="s">
        <v>636</v>
      </c>
      <c r="S1070" s="154" t="str">
        <f t="shared" si="374"/>
        <v>Főnix Dojo</v>
      </c>
      <c r="T1070" s="154" t="s">
        <v>645</v>
      </c>
      <c r="U1070" s="154" t="s">
        <v>799</v>
      </c>
      <c r="V1070" s="154"/>
    </row>
    <row r="1071" spans="1:22" s="158" customFormat="1" x14ac:dyDescent="0.3">
      <c r="A1071" s="154" t="s">
        <v>777</v>
      </c>
      <c r="B1071" s="155" t="s">
        <v>154</v>
      </c>
      <c r="C1071" s="154">
        <v>989</v>
      </c>
      <c r="D1071" s="156" t="str">
        <f t="shared" si="383"/>
        <v>Kata</v>
      </c>
      <c r="E1071" s="156" t="str">
        <f t="shared" si="384"/>
        <v>Kata, -, 0-170 kg, Junior DOL (17-19</v>
      </c>
      <c r="F1071" s="156" t="s">
        <v>503</v>
      </c>
      <c r="G1071" s="157" t="str">
        <f t="shared" si="385"/>
        <v>14</v>
      </c>
      <c r="H1071" s="156" t="str">
        <f t="shared" si="386"/>
        <v>16 fős egyenes kiesés + 3. hely</v>
      </c>
      <c r="I1071" s="157" t="str">
        <f>"11-16"</f>
        <v>11-16</v>
      </c>
      <c r="J1071" s="156" t="str">
        <f>"Nádi Viktória"</f>
        <v>Nádi Viktória</v>
      </c>
      <c r="K1071" s="156" t="str">
        <f>"ARSC"</f>
        <v>ARSC</v>
      </c>
      <c r="L1071" s="156" t="str">
        <f t="shared" si="363"/>
        <v>HUN</v>
      </c>
      <c r="M1071" s="163">
        <v>0</v>
      </c>
      <c r="N1071" s="158" t="s">
        <v>816</v>
      </c>
      <c r="O1071" s="154" t="s">
        <v>410</v>
      </c>
      <c r="P1071" s="159">
        <v>46103</v>
      </c>
      <c r="Q1071" s="154" t="str">
        <f t="shared" si="373"/>
        <v>Nádi Viktória - ARSC</v>
      </c>
      <c r="R1071" s="154" t="s">
        <v>636</v>
      </c>
      <c r="S1071" s="154" t="str">
        <f t="shared" si="374"/>
        <v>ARSC</v>
      </c>
      <c r="T1071" s="154" t="s">
        <v>645</v>
      </c>
      <c r="U1071" s="154" t="s">
        <v>799</v>
      </c>
      <c r="V1071" s="154"/>
    </row>
    <row r="1072" spans="1:22" s="158" customFormat="1" x14ac:dyDescent="0.3">
      <c r="A1072" s="154" t="s">
        <v>777</v>
      </c>
      <c r="B1072" s="155" t="s">
        <v>154</v>
      </c>
      <c r="C1072" s="154">
        <v>990</v>
      </c>
      <c r="D1072" s="156" t="str">
        <f t="shared" si="383"/>
        <v>Kata</v>
      </c>
      <c r="E1072" s="156" t="str">
        <f t="shared" si="384"/>
        <v>Kata, -, 0-170 kg, Junior DOL (17-19</v>
      </c>
      <c r="F1072" s="156" t="s">
        <v>503</v>
      </c>
      <c r="G1072" s="157" t="str">
        <f t="shared" si="385"/>
        <v>14</v>
      </c>
      <c r="H1072" s="156" t="str">
        <f t="shared" si="386"/>
        <v>16 fős egyenes kiesés + 3. hely</v>
      </c>
      <c r="I1072" s="157" t="str">
        <f>"11-16"</f>
        <v>11-16</v>
      </c>
      <c r="J1072" s="156" t="str">
        <f>"Farkas Regina"</f>
        <v>Farkas Regina</v>
      </c>
      <c r="K1072" s="156" t="str">
        <f>"Shinkyo SE"</f>
        <v>Shinkyo SE</v>
      </c>
      <c r="L1072" s="156" t="str">
        <f t="shared" si="363"/>
        <v>HUN</v>
      </c>
      <c r="M1072" s="163">
        <v>0</v>
      </c>
      <c r="N1072" s="158" t="s">
        <v>816</v>
      </c>
      <c r="O1072" s="154" t="s">
        <v>410</v>
      </c>
      <c r="P1072" s="159">
        <v>46103</v>
      </c>
      <c r="Q1072" s="154" t="str">
        <f t="shared" si="373"/>
        <v>Farkas Regina - Shinkyo SE</v>
      </c>
      <c r="R1072" s="154" t="s">
        <v>636</v>
      </c>
      <c r="S1072" s="154" t="str">
        <f t="shared" si="374"/>
        <v>Shinkyo SE</v>
      </c>
      <c r="T1072" s="154" t="s">
        <v>645</v>
      </c>
      <c r="U1072" s="154" t="s">
        <v>799</v>
      </c>
      <c r="V1072" s="154"/>
    </row>
    <row r="1073" spans="1:22" s="158" customFormat="1" x14ac:dyDescent="0.3">
      <c r="A1073" s="154" t="s">
        <v>777</v>
      </c>
      <c r="B1073" s="155" t="s">
        <v>154</v>
      </c>
      <c r="C1073" s="154">
        <v>991</v>
      </c>
      <c r="D1073" s="156" t="str">
        <f t="shared" si="383"/>
        <v>Kata</v>
      </c>
      <c r="E1073" s="156" t="str">
        <f t="shared" si="384"/>
        <v>Kata, -, 0-170 kg, Junior DOL (17-19</v>
      </c>
      <c r="F1073" s="156" t="s">
        <v>503</v>
      </c>
      <c r="G1073" s="157" t="str">
        <f t="shared" si="385"/>
        <v>14</v>
      </c>
      <c r="H1073" s="156" t="str">
        <f t="shared" si="386"/>
        <v>16 fős egyenes kiesés + 3. hely</v>
      </c>
      <c r="I1073" s="157" t="str">
        <f>"11-16"</f>
        <v>11-16</v>
      </c>
      <c r="J1073" s="156" t="str">
        <f>"Imre Zoé Julianna"</f>
        <v>Imre Zoé Julianna</v>
      </c>
      <c r="K1073" s="156" t="str">
        <f>"KSE Tarján"</f>
        <v>KSE Tarján</v>
      </c>
      <c r="L1073" s="156" t="str">
        <f t="shared" si="363"/>
        <v>HUN</v>
      </c>
      <c r="M1073" s="163">
        <v>0</v>
      </c>
      <c r="N1073" s="158" t="s">
        <v>816</v>
      </c>
      <c r="O1073" s="154" t="s">
        <v>410</v>
      </c>
      <c r="P1073" s="159">
        <v>46103</v>
      </c>
      <c r="Q1073" s="154" t="str">
        <f t="shared" si="373"/>
        <v>Imre Zoé Julianna - KSE Tarján</v>
      </c>
      <c r="R1073" s="154" t="s">
        <v>636</v>
      </c>
      <c r="S1073" s="154" t="str">
        <f t="shared" si="374"/>
        <v>KSE Tarján</v>
      </c>
      <c r="T1073" s="154" t="s">
        <v>645</v>
      </c>
      <c r="U1073" s="154" t="s">
        <v>799</v>
      </c>
      <c r="V1073" s="154"/>
    </row>
    <row r="1074" spans="1:22" s="158" customFormat="1" x14ac:dyDescent="0.3">
      <c r="A1074" s="153" t="s">
        <v>778</v>
      </c>
      <c r="B1074" s="155">
        <v>2</v>
      </c>
      <c r="C1074" s="154">
        <v>993</v>
      </c>
      <c r="D1074" s="156" t="str">
        <f t="shared" ref="D1074:D1129" si="389">"Kumite"</f>
        <v>Kumite</v>
      </c>
      <c r="E1074" s="156" t="str">
        <f>"Kumite, Gyerek 2./U 12 fiú 0-39,9kg"</f>
        <v>Kumite, Gyerek 2./U 12 fiú 0-39,9kg</v>
      </c>
      <c r="F1074" s="156" t="s">
        <v>518</v>
      </c>
      <c r="G1074" s="157" t="str">
        <f>"6"</f>
        <v>6</v>
      </c>
      <c r="H1074" s="156" t="str">
        <f>"6 fős vegyes"</f>
        <v>6 fős vegyes</v>
      </c>
      <c r="I1074" s="157" t="str">
        <f>"1"</f>
        <v>1</v>
      </c>
      <c r="J1074" s="156" t="str">
        <f>"Boka Norman Eliot"</f>
        <v>Boka Norman Eliot</v>
      </c>
      <c r="K1074" s="156" t="str">
        <f>"Katana SE"</f>
        <v>Katana SE</v>
      </c>
      <c r="L1074" s="156" t="str">
        <f t="shared" ref="L1074:L1129" si="390">"HUN"</f>
        <v>HUN</v>
      </c>
      <c r="M1074" s="163">
        <v>6</v>
      </c>
      <c r="O1074" s="154" t="s">
        <v>246</v>
      </c>
      <c r="P1074" s="159">
        <v>46081</v>
      </c>
      <c r="Q1074" s="154" t="str">
        <f t="shared" ref="Q1074:Q1129" si="391">J1074&amp;" - "&amp;K1074</f>
        <v>Boka Norman Eliot - Katana SE</v>
      </c>
      <c r="R1074" s="154" t="s">
        <v>636</v>
      </c>
      <c r="S1074" s="154" t="str">
        <f t="shared" ref="S1074:S1129" si="392">K1074</f>
        <v>Katana SE</v>
      </c>
      <c r="T1074" s="154" t="s">
        <v>645</v>
      </c>
      <c r="U1074" s="154" t="s">
        <v>796</v>
      </c>
      <c r="V1074" s="154"/>
    </row>
    <row r="1075" spans="1:22" s="158" customFormat="1" x14ac:dyDescent="0.3">
      <c r="A1075" s="153" t="s">
        <v>778</v>
      </c>
      <c r="B1075" s="155">
        <v>2</v>
      </c>
      <c r="C1075" s="154">
        <v>994</v>
      </c>
      <c r="D1075" s="156" t="str">
        <f t="shared" si="389"/>
        <v>Kumite</v>
      </c>
      <c r="E1075" s="156" t="str">
        <f>"Kumite, Gyerek 2./U 12 fiú 0-39,9kg"</f>
        <v>Kumite, Gyerek 2./U 12 fiú 0-39,9kg</v>
      </c>
      <c r="F1075" s="156" t="s">
        <v>518</v>
      </c>
      <c r="G1075" s="157" t="str">
        <f>"6"</f>
        <v>6</v>
      </c>
      <c r="H1075" s="156" t="str">
        <f>"6 fős vegyes"</f>
        <v>6 fős vegyes</v>
      </c>
      <c r="I1075" s="157" t="str">
        <f>"2"</f>
        <v>2</v>
      </c>
      <c r="J1075" s="156" t="str">
        <f>"Szenner Valentin"</f>
        <v>Szenner Valentin</v>
      </c>
      <c r="K1075" s="156" t="str">
        <f>"Katana SE"</f>
        <v>Katana SE</v>
      </c>
      <c r="L1075" s="156" t="str">
        <f t="shared" si="390"/>
        <v>HUN</v>
      </c>
      <c r="M1075" s="163">
        <v>5</v>
      </c>
      <c r="O1075" s="154" t="s">
        <v>246</v>
      </c>
      <c r="P1075" s="159">
        <v>46081</v>
      </c>
      <c r="Q1075" s="154" t="str">
        <f t="shared" si="391"/>
        <v>Szenner Valentin - Katana SE</v>
      </c>
      <c r="R1075" s="154" t="s">
        <v>636</v>
      </c>
      <c r="S1075" s="154" t="str">
        <f t="shared" si="392"/>
        <v>Katana SE</v>
      </c>
      <c r="T1075" s="154" t="s">
        <v>645</v>
      </c>
      <c r="U1075" s="154" t="s">
        <v>796</v>
      </c>
      <c r="V1075" s="154"/>
    </row>
    <row r="1076" spans="1:22" s="158" customFormat="1" x14ac:dyDescent="0.3">
      <c r="A1076" s="153" t="s">
        <v>778</v>
      </c>
      <c r="B1076" s="155">
        <v>2</v>
      </c>
      <c r="C1076" s="154">
        <v>995</v>
      </c>
      <c r="D1076" s="156" t="str">
        <f t="shared" si="389"/>
        <v>Kumite</v>
      </c>
      <c r="E1076" s="156" t="str">
        <f>"Kumite, Gyerek 2./U 12 fiú 0-39,9kg"</f>
        <v>Kumite, Gyerek 2./U 12 fiú 0-39,9kg</v>
      </c>
      <c r="F1076" s="156" t="s">
        <v>518</v>
      </c>
      <c r="G1076" s="157" t="str">
        <f>"6"</f>
        <v>6</v>
      </c>
      <c r="H1076" s="156" t="str">
        <f>"6 fős vegyes"</f>
        <v>6 fős vegyes</v>
      </c>
      <c r="I1076" s="157" t="str">
        <f>"3"</f>
        <v>3</v>
      </c>
      <c r="J1076" s="156" t="str">
        <f>"Zajácz Miklós"</f>
        <v>Zajácz Miklós</v>
      </c>
      <c r="K1076" s="156" t="str">
        <f>"Kamikaze S"</f>
        <v>Kamikaze S</v>
      </c>
      <c r="L1076" s="156" t="str">
        <f t="shared" si="390"/>
        <v>HUN</v>
      </c>
      <c r="M1076" s="163">
        <v>3</v>
      </c>
      <c r="O1076" s="154" t="s">
        <v>246</v>
      </c>
      <c r="P1076" s="159">
        <v>46081</v>
      </c>
      <c r="Q1076" s="154" t="str">
        <f t="shared" si="391"/>
        <v>Zajácz Miklós - Kamikaze S</v>
      </c>
      <c r="R1076" s="154" t="s">
        <v>636</v>
      </c>
      <c r="S1076" s="154" t="str">
        <f t="shared" si="392"/>
        <v>Kamikaze S</v>
      </c>
      <c r="T1076" s="154" t="s">
        <v>645</v>
      </c>
      <c r="U1076" s="154" t="s">
        <v>796</v>
      </c>
      <c r="V1076" s="154"/>
    </row>
    <row r="1077" spans="1:22" s="158" customFormat="1" x14ac:dyDescent="0.3">
      <c r="A1077" s="153" t="s">
        <v>778</v>
      </c>
      <c r="B1077" s="155">
        <v>2</v>
      </c>
      <c r="C1077" s="154">
        <v>996</v>
      </c>
      <c r="D1077" s="156" t="str">
        <f t="shared" si="389"/>
        <v>Kumite</v>
      </c>
      <c r="E1077" s="156" t="str">
        <f>"Kumite, Gyerek 2./U 12 fiú 45-49,9kg"</f>
        <v>Kumite, Gyerek 2./U 12 fiú 45-49,9kg</v>
      </c>
      <c r="F1077" s="156" t="s">
        <v>782</v>
      </c>
      <c r="G1077" s="157" t="str">
        <f>"3"</f>
        <v>3</v>
      </c>
      <c r="H1077" s="156" t="str">
        <f>"3 fős körmérkőzés"</f>
        <v>3 fős körmérkőzés</v>
      </c>
      <c r="I1077" s="157" t="str">
        <f>"1"</f>
        <v>1</v>
      </c>
      <c r="J1077" s="156" t="str">
        <f>"Szabó Máté Péter"</f>
        <v>Szabó Máté Péter</v>
      </c>
      <c r="K1077" s="156" t="str">
        <f>"WARRIORS TEAM"</f>
        <v>WARRIORS TEAM</v>
      </c>
      <c r="L1077" s="156" t="str">
        <f t="shared" si="390"/>
        <v>HUN</v>
      </c>
      <c r="M1077" s="163">
        <v>4</v>
      </c>
      <c r="O1077" s="154" t="s">
        <v>246</v>
      </c>
      <c r="P1077" s="159">
        <v>46081</v>
      </c>
      <c r="Q1077" s="154" t="str">
        <f t="shared" si="391"/>
        <v>Szabó Máté Péter - WARRIORS TEAM</v>
      </c>
      <c r="R1077" s="154" t="s">
        <v>636</v>
      </c>
      <c r="S1077" s="154" t="str">
        <f t="shared" si="392"/>
        <v>WARRIORS TEAM</v>
      </c>
      <c r="T1077" s="154" t="s">
        <v>645</v>
      </c>
      <c r="U1077" s="154" t="s">
        <v>796</v>
      </c>
      <c r="V1077" s="154"/>
    </row>
    <row r="1078" spans="1:22" s="158" customFormat="1" x14ac:dyDescent="0.3">
      <c r="A1078" s="153" t="s">
        <v>778</v>
      </c>
      <c r="B1078" s="155">
        <v>2</v>
      </c>
      <c r="C1078" s="154">
        <v>997</v>
      </c>
      <c r="D1078" s="156" t="str">
        <f t="shared" si="389"/>
        <v>Kumite</v>
      </c>
      <c r="E1078" s="156" t="str">
        <f>"Kumite, Gyerek 2./U 12 fiú 45-49,9kg"</f>
        <v>Kumite, Gyerek 2./U 12 fiú 45-49,9kg</v>
      </c>
      <c r="F1078" s="156" t="s">
        <v>782</v>
      </c>
      <c r="G1078" s="157" t="str">
        <f>"3"</f>
        <v>3</v>
      </c>
      <c r="H1078" s="156" t="str">
        <f>"3 fős körmérkőzés"</f>
        <v>3 fős körmérkőzés</v>
      </c>
      <c r="I1078" s="157" t="str">
        <f>"2"</f>
        <v>2</v>
      </c>
      <c r="J1078" s="156" t="str">
        <f>"Horsik Zente József"</f>
        <v>Horsik Zente József</v>
      </c>
      <c r="K1078" s="156" t="str">
        <f>"POWER SE."</f>
        <v>POWER SE.</v>
      </c>
      <c r="L1078" s="156" t="str">
        <f t="shared" si="390"/>
        <v>HUN</v>
      </c>
      <c r="M1078" s="163">
        <v>3</v>
      </c>
      <c r="O1078" s="154" t="s">
        <v>246</v>
      </c>
      <c r="P1078" s="159">
        <v>46081</v>
      </c>
      <c r="Q1078" s="154" t="str">
        <f t="shared" si="391"/>
        <v>Horsik Zente József - POWER SE.</v>
      </c>
      <c r="R1078" s="154" t="s">
        <v>636</v>
      </c>
      <c r="S1078" s="154" t="str">
        <f t="shared" si="392"/>
        <v>POWER SE.</v>
      </c>
      <c r="T1078" s="154" t="s">
        <v>645</v>
      </c>
      <c r="U1078" s="154" t="s">
        <v>796</v>
      </c>
      <c r="V1078" s="154"/>
    </row>
    <row r="1079" spans="1:22" s="158" customFormat="1" x14ac:dyDescent="0.3">
      <c r="A1079" s="153" t="s">
        <v>778</v>
      </c>
      <c r="B1079" s="155">
        <v>2</v>
      </c>
      <c r="C1079" s="154">
        <v>998</v>
      </c>
      <c r="D1079" s="156" t="str">
        <f t="shared" si="389"/>
        <v>Kumite</v>
      </c>
      <c r="E1079" s="156" t="str">
        <f>"Kumite, Gyerek 2./U 12 fiú 45-49,9kg"</f>
        <v>Kumite, Gyerek 2./U 12 fiú 45-49,9kg</v>
      </c>
      <c r="F1079" s="156" t="s">
        <v>782</v>
      </c>
      <c r="G1079" s="157" t="str">
        <f>"3"</f>
        <v>3</v>
      </c>
      <c r="H1079" s="156" t="str">
        <f>"3 fős körmérkőzés"</f>
        <v>3 fős körmérkőzés</v>
      </c>
      <c r="I1079" s="157" t="str">
        <f>"3"</f>
        <v>3</v>
      </c>
      <c r="J1079" s="156" t="str">
        <f>"Mohai Szilárd"</f>
        <v>Mohai Szilárd</v>
      </c>
      <c r="K1079" s="156" t="str">
        <f>"Katana SE"</f>
        <v>Katana SE</v>
      </c>
      <c r="L1079" s="156" t="str">
        <f t="shared" si="390"/>
        <v>HUN</v>
      </c>
      <c r="M1079" s="163">
        <v>0</v>
      </c>
      <c r="O1079" s="154" t="s">
        <v>246</v>
      </c>
      <c r="P1079" s="159">
        <v>46081</v>
      </c>
      <c r="Q1079" s="154" t="str">
        <f t="shared" si="391"/>
        <v>Mohai Szilárd - Katana SE</v>
      </c>
      <c r="R1079" s="154" t="s">
        <v>636</v>
      </c>
      <c r="S1079" s="154" t="str">
        <f t="shared" si="392"/>
        <v>Katana SE</v>
      </c>
      <c r="T1079" s="154" t="s">
        <v>645</v>
      </c>
      <c r="U1079" s="154" t="s">
        <v>796</v>
      </c>
      <c r="V1079" s="154"/>
    </row>
    <row r="1080" spans="1:22" s="158" customFormat="1" x14ac:dyDescent="0.3">
      <c r="A1080" s="153" t="s">
        <v>778</v>
      </c>
      <c r="B1080" s="155">
        <v>2</v>
      </c>
      <c r="C1080" s="154">
        <v>999</v>
      </c>
      <c r="D1080" s="156" t="str">
        <f t="shared" si="389"/>
        <v>Kumite</v>
      </c>
      <c r="E1080" s="156" t="str">
        <f>"Kumite, Gyerek 2./U 12 fiú 50-kg"</f>
        <v>Kumite, Gyerek 2./U 12 fiú 50-kg</v>
      </c>
      <c r="F1080" s="156" t="s">
        <v>783</v>
      </c>
      <c r="G1080" s="157" t="str">
        <f>"2"</f>
        <v>2</v>
      </c>
      <c r="H1080" s="156" t="str">
        <f>"2 fős egyenes kiesés"</f>
        <v>2 fős egyenes kiesés</v>
      </c>
      <c r="I1080" s="157" t="str">
        <f>"1"</f>
        <v>1</v>
      </c>
      <c r="J1080" s="156" t="str">
        <f>"Adamecz Milán"</f>
        <v>Adamecz Milán</v>
      </c>
      <c r="K1080" s="156" t="str">
        <f>"Nagykátai Bushido SE"</f>
        <v>Nagykátai Bushido SE</v>
      </c>
      <c r="L1080" s="156" t="str">
        <f t="shared" si="390"/>
        <v>HUN</v>
      </c>
      <c r="M1080" s="163">
        <v>3</v>
      </c>
      <c r="O1080" s="154" t="s">
        <v>246</v>
      </c>
      <c r="P1080" s="159">
        <v>46081</v>
      </c>
      <c r="Q1080" s="154" t="str">
        <f t="shared" si="391"/>
        <v>Adamecz Milán - Nagykátai Bushido SE</v>
      </c>
      <c r="R1080" s="154" t="s">
        <v>636</v>
      </c>
      <c r="S1080" s="154" t="str">
        <f t="shared" si="392"/>
        <v>Nagykátai Bushido SE</v>
      </c>
      <c r="T1080" s="154" t="s">
        <v>645</v>
      </c>
      <c r="U1080" s="154" t="s">
        <v>796</v>
      </c>
      <c r="V1080" s="154"/>
    </row>
    <row r="1081" spans="1:22" s="158" customFormat="1" x14ac:dyDescent="0.3">
      <c r="A1081" s="153" t="s">
        <v>778</v>
      </c>
      <c r="B1081" s="155">
        <v>2</v>
      </c>
      <c r="C1081" s="154">
        <v>1000</v>
      </c>
      <c r="D1081" s="156" t="str">
        <f t="shared" si="389"/>
        <v>Kumite</v>
      </c>
      <c r="E1081" s="156" t="str">
        <f>"Kumite, Gyerek 2./U 12 fiú 50-kg"</f>
        <v>Kumite, Gyerek 2./U 12 fiú 50-kg</v>
      </c>
      <c r="F1081" s="156" t="s">
        <v>783</v>
      </c>
      <c r="G1081" s="157" t="str">
        <f>"2"</f>
        <v>2</v>
      </c>
      <c r="H1081" s="156" t="str">
        <f>"2 fős egyenes kiesés"</f>
        <v>2 fős egyenes kiesés</v>
      </c>
      <c r="I1081" s="157" t="str">
        <f>"2"</f>
        <v>2</v>
      </c>
      <c r="J1081" s="156" t="str">
        <f>"Odorics Zétény"</f>
        <v>Odorics Zétény</v>
      </c>
      <c r="K1081" s="156" t="str">
        <f>"Rakurai"</f>
        <v>Rakurai</v>
      </c>
      <c r="L1081" s="156" t="str">
        <f t="shared" si="390"/>
        <v>HUN</v>
      </c>
      <c r="M1081" s="163">
        <v>0</v>
      </c>
      <c r="O1081" s="154" t="s">
        <v>246</v>
      </c>
      <c r="P1081" s="159">
        <v>46081</v>
      </c>
      <c r="Q1081" s="154" t="str">
        <f t="shared" si="391"/>
        <v>Odorics Zétény - Rakurai</v>
      </c>
      <c r="R1081" s="154" t="s">
        <v>636</v>
      </c>
      <c r="S1081" s="154" t="str">
        <f t="shared" si="392"/>
        <v>Rakurai</v>
      </c>
      <c r="T1081" s="154" t="s">
        <v>645</v>
      </c>
      <c r="U1081" s="154" t="s">
        <v>796</v>
      </c>
      <c r="V1081" s="154"/>
    </row>
    <row r="1082" spans="1:22" s="158" customFormat="1" x14ac:dyDescent="0.3">
      <c r="A1082" s="153" t="s">
        <v>778</v>
      </c>
      <c r="B1082" s="155">
        <v>2</v>
      </c>
      <c r="C1082" s="154">
        <v>1001</v>
      </c>
      <c r="D1082" s="156" t="str">
        <f t="shared" si="389"/>
        <v>Kumite</v>
      </c>
      <c r="E1082" s="156" t="str">
        <f>"Kumite, Gyerek 2./U 12 lány 40-44,9kg"</f>
        <v>Kumite, Gyerek 2./U 12 lány 40-44,9kg</v>
      </c>
      <c r="F1082" s="156" t="s">
        <v>527</v>
      </c>
      <c r="G1082" s="157" t="str">
        <f>"2"</f>
        <v>2</v>
      </c>
      <c r="H1082" s="156" t="str">
        <f>"2 fős egyenes kiesés"</f>
        <v>2 fős egyenes kiesés</v>
      </c>
      <c r="I1082" s="157" t="str">
        <f>"1"</f>
        <v>1</v>
      </c>
      <c r="J1082" s="156" t="str">
        <f>"Vig Boglárka"</f>
        <v>Vig Boglárka</v>
      </c>
      <c r="K1082" s="156" t="str">
        <f>"VTSE"</f>
        <v>VTSE</v>
      </c>
      <c r="L1082" s="156" t="str">
        <f t="shared" si="390"/>
        <v>HUN</v>
      </c>
      <c r="M1082" s="163">
        <v>3</v>
      </c>
      <c r="O1082" s="154" t="s">
        <v>246</v>
      </c>
      <c r="P1082" s="159">
        <v>46081</v>
      </c>
      <c r="Q1082" s="154" t="str">
        <f t="shared" si="391"/>
        <v>Vig Boglárka - VTSE</v>
      </c>
      <c r="R1082" s="154" t="s">
        <v>637</v>
      </c>
      <c r="S1082" s="154" t="str">
        <f t="shared" si="392"/>
        <v>VTSE</v>
      </c>
      <c r="T1082" s="154" t="s">
        <v>645</v>
      </c>
      <c r="U1082" s="154" t="s">
        <v>796</v>
      </c>
      <c r="V1082" s="154"/>
    </row>
    <row r="1083" spans="1:22" s="158" customFormat="1" x14ac:dyDescent="0.3">
      <c r="A1083" s="153" t="s">
        <v>778</v>
      </c>
      <c r="B1083" s="155">
        <v>2</v>
      </c>
      <c r="C1083" s="154">
        <v>1002</v>
      </c>
      <c r="D1083" s="156" t="str">
        <f t="shared" si="389"/>
        <v>Kumite</v>
      </c>
      <c r="E1083" s="156" t="str">
        <f>"Kumite, Gyerek 2./U 12 lány 40-44,9kg"</f>
        <v>Kumite, Gyerek 2./U 12 lány 40-44,9kg</v>
      </c>
      <c r="F1083" s="156" t="s">
        <v>527</v>
      </c>
      <c r="G1083" s="157" t="str">
        <f>"2"</f>
        <v>2</v>
      </c>
      <c r="H1083" s="156" t="str">
        <f>"2 fős egyenes kiesés"</f>
        <v>2 fős egyenes kiesés</v>
      </c>
      <c r="I1083" s="157" t="str">
        <f>"2"</f>
        <v>2</v>
      </c>
      <c r="J1083" s="156" t="str">
        <f>"Szombath Jázmin"</f>
        <v>Szombath Jázmin</v>
      </c>
      <c r="K1083" s="156" t="str">
        <f>"Főnix Dojo"</f>
        <v>Főnix Dojo</v>
      </c>
      <c r="L1083" s="156" t="str">
        <f t="shared" si="390"/>
        <v>HUN</v>
      </c>
      <c r="M1083" s="163">
        <v>0</v>
      </c>
      <c r="O1083" s="154" t="s">
        <v>246</v>
      </c>
      <c r="P1083" s="159">
        <v>46081</v>
      </c>
      <c r="Q1083" s="154" t="str">
        <f t="shared" si="391"/>
        <v>Szombath Jázmin - Főnix Dojo</v>
      </c>
      <c r="R1083" s="154" t="s">
        <v>636</v>
      </c>
      <c r="S1083" s="154" t="str">
        <f t="shared" si="392"/>
        <v>Főnix Dojo</v>
      </c>
      <c r="T1083" s="154" t="s">
        <v>645</v>
      </c>
      <c r="U1083" s="154" t="s">
        <v>796</v>
      </c>
      <c r="V1083" s="154"/>
    </row>
    <row r="1084" spans="1:22" s="158" customFormat="1" x14ac:dyDescent="0.3">
      <c r="A1084" s="153" t="s">
        <v>778</v>
      </c>
      <c r="B1084" s="155">
        <v>2</v>
      </c>
      <c r="C1084" s="154">
        <v>1003</v>
      </c>
      <c r="D1084" s="156" t="str">
        <f t="shared" si="389"/>
        <v>Kumite</v>
      </c>
      <c r="E1084" s="156" t="str">
        <f>"Kumite, Gyerek 2./U 12 lány 45-kg"</f>
        <v>Kumite, Gyerek 2./U 12 lány 45-kg</v>
      </c>
      <c r="F1084" s="156" t="s">
        <v>528</v>
      </c>
      <c r="G1084" s="157" t="str">
        <f>"4"</f>
        <v>4</v>
      </c>
      <c r="H1084" s="156" t="str">
        <f>"4 fős körmérkőzés"</f>
        <v>4 fős körmérkőzés</v>
      </c>
      <c r="I1084" s="157" t="str">
        <f>"1"</f>
        <v>1</v>
      </c>
      <c r="J1084" s="156" t="str">
        <f>"Kocsis Angéla"</f>
        <v>Kocsis Angéla</v>
      </c>
      <c r="K1084" s="156" t="str">
        <f>"Genbu dojo"</f>
        <v>Genbu dojo</v>
      </c>
      <c r="L1084" s="156" t="str">
        <f t="shared" si="390"/>
        <v>HUN</v>
      </c>
      <c r="M1084" s="163">
        <v>6</v>
      </c>
      <c r="O1084" s="154" t="s">
        <v>246</v>
      </c>
      <c r="P1084" s="159">
        <v>46081</v>
      </c>
      <c r="Q1084" s="154" t="str">
        <f t="shared" si="391"/>
        <v>Kocsis Angéla - Genbu dojo</v>
      </c>
      <c r="R1084" s="154" t="s">
        <v>637</v>
      </c>
      <c r="S1084" s="154" t="str">
        <f t="shared" si="392"/>
        <v>Genbu dojo</v>
      </c>
      <c r="T1084" s="154" t="s">
        <v>645</v>
      </c>
      <c r="U1084" s="154" t="s">
        <v>796</v>
      </c>
      <c r="V1084" s="154"/>
    </row>
    <row r="1085" spans="1:22" s="158" customFormat="1" x14ac:dyDescent="0.3">
      <c r="A1085" s="153" t="s">
        <v>778</v>
      </c>
      <c r="B1085" s="155">
        <v>2</v>
      </c>
      <c r="C1085" s="154">
        <v>1004</v>
      </c>
      <c r="D1085" s="156" t="str">
        <f t="shared" si="389"/>
        <v>Kumite</v>
      </c>
      <c r="E1085" s="156" t="str">
        <f>"Kumite, Gyerek 2./U 12 lány 45-kg"</f>
        <v>Kumite, Gyerek 2./U 12 lány 45-kg</v>
      </c>
      <c r="F1085" s="156" t="s">
        <v>528</v>
      </c>
      <c r="G1085" s="157" t="str">
        <f>"4"</f>
        <v>4</v>
      </c>
      <c r="H1085" s="156" t="str">
        <f>"4 fős körmérkőzés"</f>
        <v>4 fős körmérkőzés</v>
      </c>
      <c r="I1085" s="157" t="str">
        <f>"2"</f>
        <v>2</v>
      </c>
      <c r="J1085" s="156" t="str">
        <f>"Kocsis Nóra"</f>
        <v>Kocsis Nóra</v>
      </c>
      <c r="K1085" s="156" t="str">
        <f>"Genbu dojo"</f>
        <v>Genbu dojo</v>
      </c>
      <c r="L1085" s="156" t="str">
        <f t="shared" si="390"/>
        <v>HUN</v>
      </c>
      <c r="M1085" s="163">
        <v>5</v>
      </c>
      <c r="O1085" s="154" t="s">
        <v>246</v>
      </c>
      <c r="P1085" s="159">
        <v>46081</v>
      </c>
      <c r="Q1085" s="154" t="str">
        <f t="shared" si="391"/>
        <v>Kocsis Nóra - Genbu dojo</v>
      </c>
      <c r="R1085" s="154" t="s">
        <v>637</v>
      </c>
      <c r="S1085" s="154" t="str">
        <f t="shared" si="392"/>
        <v>Genbu dojo</v>
      </c>
      <c r="T1085" s="154" t="s">
        <v>645</v>
      </c>
      <c r="U1085" s="154" t="s">
        <v>796</v>
      </c>
      <c r="V1085" s="154"/>
    </row>
    <row r="1086" spans="1:22" s="158" customFormat="1" x14ac:dyDescent="0.3">
      <c r="A1086" s="153" t="s">
        <v>778</v>
      </c>
      <c r="B1086" s="155">
        <v>2</v>
      </c>
      <c r="C1086" s="154">
        <v>1005</v>
      </c>
      <c r="D1086" s="156" t="str">
        <f t="shared" si="389"/>
        <v>Kumite</v>
      </c>
      <c r="E1086" s="156" t="str">
        <f>"Kumite, Gyerek 2./U 12 lány 45-kg"</f>
        <v>Kumite, Gyerek 2./U 12 lány 45-kg</v>
      </c>
      <c r="F1086" s="156" t="s">
        <v>528</v>
      </c>
      <c r="G1086" s="157" t="str">
        <f>"4"</f>
        <v>4</v>
      </c>
      <c r="H1086" s="156" t="str">
        <f>"4 fős körmérkőzés"</f>
        <v>4 fős körmérkőzés</v>
      </c>
      <c r="I1086" s="157" t="str">
        <f>"3"</f>
        <v>3</v>
      </c>
      <c r="J1086" s="156" t="str">
        <f>"Janás Mia"</f>
        <v>Janás Mia</v>
      </c>
      <c r="K1086" s="156" t="str">
        <f>"Főnix Dojo"</f>
        <v>Főnix Dojo</v>
      </c>
      <c r="L1086" s="156" t="str">
        <f t="shared" si="390"/>
        <v>HUN</v>
      </c>
      <c r="M1086" s="163">
        <v>3</v>
      </c>
      <c r="O1086" s="154" t="s">
        <v>246</v>
      </c>
      <c r="P1086" s="159">
        <v>46081</v>
      </c>
      <c r="Q1086" s="154" t="str">
        <f t="shared" si="391"/>
        <v>Janás Mia - Főnix Dojo</v>
      </c>
      <c r="R1086" s="154" t="s">
        <v>636</v>
      </c>
      <c r="S1086" s="154" t="str">
        <f t="shared" si="392"/>
        <v>Főnix Dojo</v>
      </c>
      <c r="T1086" s="154" t="s">
        <v>645</v>
      </c>
      <c r="U1086" s="154" t="s">
        <v>796</v>
      </c>
      <c r="V1086" s="154"/>
    </row>
    <row r="1087" spans="1:22" s="158" customFormat="1" x14ac:dyDescent="0.3">
      <c r="A1087" s="153" t="s">
        <v>778</v>
      </c>
      <c r="B1087" s="155">
        <v>2</v>
      </c>
      <c r="C1087" s="154">
        <v>1006</v>
      </c>
      <c r="D1087" s="156" t="str">
        <f t="shared" si="389"/>
        <v>Kumite</v>
      </c>
      <c r="E1087" s="156" t="str">
        <f>"Kumite, Serdülő/U14 fiú 0-44,9kg"</f>
        <v>Kumite, Serdülő/U14 fiú 0-44,9kg</v>
      </c>
      <c r="F1087" s="156" t="s">
        <v>530</v>
      </c>
      <c r="G1087" s="157" t="str">
        <f>"6"</f>
        <v>6</v>
      </c>
      <c r="H1087" s="156" t="str">
        <f>"6 fős vegyes"</f>
        <v>6 fős vegyes</v>
      </c>
      <c r="I1087" s="157" t="str">
        <f>"1"</f>
        <v>1</v>
      </c>
      <c r="J1087" s="156" t="str">
        <f>"Szabó Zoltán Szüa"</f>
        <v>Szabó Zoltán Szüa</v>
      </c>
      <c r="K1087" s="156" t="str">
        <f>"POWER SE."</f>
        <v>POWER SE.</v>
      </c>
      <c r="L1087" s="156" t="str">
        <f t="shared" si="390"/>
        <v>HUN</v>
      </c>
      <c r="M1087" s="163">
        <v>6</v>
      </c>
      <c r="O1087" s="154" t="s">
        <v>246</v>
      </c>
      <c r="P1087" s="159">
        <v>46081</v>
      </c>
      <c r="Q1087" s="154" t="str">
        <f t="shared" si="391"/>
        <v>Szabó Zoltán Szüa - POWER SE.</v>
      </c>
      <c r="R1087" s="154" t="s">
        <v>636</v>
      </c>
      <c r="S1087" s="154" t="str">
        <f t="shared" si="392"/>
        <v>POWER SE.</v>
      </c>
      <c r="T1087" s="154" t="s">
        <v>645</v>
      </c>
      <c r="U1087" s="154" t="s">
        <v>797</v>
      </c>
      <c r="V1087" s="154"/>
    </row>
    <row r="1088" spans="1:22" s="158" customFormat="1" x14ac:dyDescent="0.3">
      <c r="A1088" s="153" t="s">
        <v>778</v>
      </c>
      <c r="B1088" s="155">
        <v>2</v>
      </c>
      <c r="C1088" s="154">
        <v>1007</v>
      </c>
      <c r="D1088" s="156" t="str">
        <f t="shared" si="389"/>
        <v>Kumite</v>
      </c>
      <c r="E1088" s="156" t="str">
        <f>"Kumite, Serdülő/U14 fiú 0-44,9kg"</f>
        <v>Kumite, Serdülő/U14 fiú 0-44,9kg</v>
      </c>
      <c r="F1088" s="156" t="s">
        <v>530</v>
      </c>
      <c r="G1088" s="157" t="str">
        <f>"6"</f>
        <v>6</v>
      </c>
      <c r="H1088" s="156" t="str">
        <f>"6 fős vegyes"</f>
        <v>6 fős vegyes</v>
      </c>
      <c r="I1088" s="157" t="str">
        <f>"2"</f>
        <v>2</v>
      </c>
      <c r="J1088" s="156" t="str">
        <f>"Bárkovics Áron"</f>
        <v>Bárkovics Áron</v>
      </c>
      <c r="K1088" s="156" t="str">
        <f>"KKE - Spartacus"</f>
        <v>KKE - Spartacus</v>
      </c>
      <c r="L1088" s="156" t="str">
        <f t="shared" si="390"/>
        <v>HUN</v>
      </c>
      <c r="M1088" s="163">
        <v>5</v>
      </c>
      <c r="O1088" s="154" t="s">
        <v>246</v>
      </c>
      <c r="P1088" s="159">
        <v>46081</v>
      </c>
      <c r="Q1088" s="154" t="str">
        <f t="shared" si="391"/>
        <v>Bárkovics Áron - KKE - Spartacus</v>
      </c>
      <c r="R1088" s="154" t="s">
        <v>636</v>
      </c>
      <c r="S1088" s="154" t="str">
        <f t="shared" si="392"/>
        <v>KKE - Spartacus</v>
      </c>
      <c r="T1088" s="154" t="s">
        <v>645</v>
      </c>
      <c r="U1088" s="154" t="s">
        <v>797</v>
      </c>
      <c r="V1088" s="154"/>
    </row>
    <row r="1089" spans="1:22" s="158" customFormat="1" x14ac:dyDescent="0.3">
      <c r="A1089" s="153" t="s">
        <v>778</v>
      </c>
      <c r="B1089" s="155">
        <v>2</v>
      </c>
      <c r="C1089" s="154">
        <v>1008</v>
      </c>
      <c r="D1089" s="156" t="str">
        <f t="shared" si="389"/>
        <v>Kumite</v>
      </c>
      <c r="E1089" s="156" t="str">
        <f>"Kumite, Serdülő/U14 fiú 0-44,9kg"</f>
        <v>Kumite, Serdülő/U14 fiú 0-44,9kg</v>
      </c>
      <c r="F1089" s="156" t="s">
        <v>530</v>
      </c>
      <c r="G1089" s="157" t="str">
        <f>"6"</f>
        <v>6</v>
      </c>
      <c r="H1089" s="156" t="str">
        <f>"6 fős vegyes"</f>
        <v>6 fős vegyes</v>
      </c>
      <c r="I1089" s="157" t="str">
        <f>"3"</f>
        <v>3</v>
      </c>
      <c r="J1089" s="156" t="str">
        <f>"Béres Bence"</f>
        <v>Béres Bence</v>
      </c>
      <c r="K1089" s="156" t="str">
        <f>"VTSE"</f>
        <v>VTSE</v>
      </c>
      <c r="L1089" s="156" t="str">
        <f t="shared" si="390"/>
        <v>HUN</v>
      </c>
      <c r="M1089" s="163">
        <v>3</v>
      </c>
      <c r="O1089" s="154" t="s">
        <v>246</v>
      </c>
      <c r="P1089" s="159">
        <v>46081</v>
      </c>
      <c r="Q1089" s="154" t="str">
        <f t="shared" si="391"/>
        <v>Béres Bence - VTSE</v>
      </c>
      <c r="R1089" s="154" t="s">
        <v>637</v>
      </c>
      <c r="S1089" s="154" t="str">
        <f t="shared" si="392"/>
        <v>VTSE</v>
      </c>
      <c r="T1089" s="154" t="s">
        <v>645</v>
      </c>
      <c r="U1089" s="154" t="s">
        <v>797</v>
      </c>
      <c r="V1089" s="154"/>
    </row>
    <row r="1090" spans="1:22" s="158" customFormat="1" x14ac:dyDescent="0.3">
      <c r="A1090" s="153" t="s">
        <v>778</v>
      </c>
      <c r="B1090" s="155">
        <v>2</v>
      </c>
      <c r="C1090" s="154">
        <v>1009</v>
      </c>
      <c r="D1090" s="156" t="str">
        <f t="shared" si="389"/>
        <v>Kumite</v>
      </c>
      <c r="E1090" s="156" t="str">
        <f t="shared" ref="E1090:E1098" si="393">"Kumite, Serdülő/U14 fiú 45-54,9kg"</f>
        <v>Kumite, Serdülő/U14 fiú 45-54,9kg</v>
      </c>
      <c r="F1090" s="156" t="s">
        <v>534</v>
      </c>
      <c r="G1090" s="157" t="str">
        <f t="shared" ref="G1090:G1098" si="394">"9"</f>
        <v>9</v>
      </c>
      <c r="H1090" s="156" t="str">
        <f t="shared" ref="H1090:H1098" si="395">"16 fős egyenes kiesés"</f>
        <v>16 fős egyenes kiesés</v>
      </c>
      <c r="I1090" s="157" t="str">
        <f>"1"</f>
        <v>1</v>
      </c>
      <c r="J1090" s="156" t="str">
        <f>"Vig Bendegúz"</f>
        <v>Vig Bendegúz</v>
      </c>
      <c r="K1090" s="156" t="str">
        <f>"VTSE"</f>
        <v>VTSE</v>
      </c>
      <c r="L1090" s="156" t="str">
        <f t="shared" si="390"/>
        <v>HUN</v>
      </c>
      <c r="M1090" s="163">
        <v>8</v>
      </c>
      <c r="O1090" s="154" t="s">
        <v>246</v>
      </c>
      <c r="P1090" s="159">
        <v>46081</v>
      </c>
      <c r="Q1090" s="154" t="str">
        <f t="shared" si="391"/>
        <v>Vig Bendegúz - VTSE</v>
      </c>
      <c r="R1090" s="154" t="s">
        <v>637</v>
      </c>
      <c r="S1090" s="154" t="str">
        <f t="shared" si="392"/>
        <v>VTSE</v>
      </c>
      <c r="T1090" s="154" t="s">
        <v>645</v>
      </c>
      <c r="U1090" s="154" t="s">
        <v>797</v>
      </c>
      <c r="V1090" s="154"/>
    </row>
    <row r="1091" spans="1:22" s="158" customFormat="1" x14ac:dyDescent="0.3">
      <c r="A1091" s="153" t="s">
        <v>778</v>
      </c>
      <c r="B1091" s="155">
        <v>2</v>
      </c>
      <c r="C1091" s="154">
        <v>1010</v>
      </c>
      <c r="D1091" s="156" t="str">
        <f t="shared" si="389"/>
        <v>Kumite</v>
      </c>
      <c r="E1091" s="156" t="str">
        <f t="shared" si="393"/>
        <v>Kumite, Serdülő/U14 fiú 45-54,9kg</v>
      </c>
      <c r="F1091" s="156" t="s">
        <v>534</v>
      </c>
      <c r="G1091" s="157" t="str">
        <f t="shared" si="394"/>
        <v>9</v>
      </c>
      <c r="H1091" s="156" t="str">
        <f t="shared" si="395"/>
        <v>16 fős egyenes kiesés</v>
      </c>
      <c r="I1091" s="157" t="str">
        <f>"2"</f>
        <v>2</v>
      </c>
      <c r="J1091" s="156" t="str">
        <f>"Orosz Márkó"</f>
        <v>Orosz Márkó</v>
      </c>
      <c r="K1091" s="156" t="str">
        <f>"KKE - Spartacus"</f>
        <v>KKE - Spartacus</v>
      </c>
      <c r="L1091" s="156" t="str">
        <f t="shared" si="390"/>
        <v>HUN</v>
      </c>
      <c r="M1091" s="163">
        <v>6</v>
      </c>
      <c r="O1091" s="154" t="s">
        <v>246</v>
      </c>
      <c r="P1091" s="159">
        <v>46081</v>
      </c>
      <c r="Q1091" s="154" t="str">
        <f t="shared" si="391"/>
        <v>Orosz Márkó - KKE - Spartacus</v>
      </c>
      <c r="R1091" s="154" t="s">
        <v>636</v>
      </c>
      <c r="S1091" s="154" t="str">
        <f t="shared" si="392"/>
        <v>KKE - Spartacus</v>
      </c>
      <c r="T1091" s="154" t="s">
        <v>645</v>
      </c>
      <c r="U1091" s="154" t="s">
        <v>797</v>
      </c>
      <c r="V1091" s="154"/>
    </row>
    <row r="1092" spans="1:22" s="158" customFormat="1" x14ac:dyDescent="0.3">
      <c r="A1092" s="153" t="s">
        <v>778</v>
      </c>
      <c r="B1092" s="155">
        <v>2</v>
      </c>
      <c r="C1092" s="154">
        <v>1011</v>
      </c>
      <c r="D1092" s="156" t="str">
        <f t="shared" si="389"/>
        <v>Kumite</v>
      </c>
      <c r="E1092" s="156" t="str">
        <f t="shared" si="393"/>
        <v>Kumite, Serdülő/U14 fiú 45-54,9kg</v>
      </c>
      <c r="F1092" s="156" t="s">
        <v>534</v>
      </c>
      <c r="G1092" s="157" t="str">
        <f t="shared" si="394"/>
        <v>9</v>
      </c>
      <c r="H1092" s="156" t="str">
        <f t="shared" si="395"/>
        <v>16 fős egyenes kiesés</v>
      </c>
      <c r="I1092" s="157" t="str">
        <f>"3"</f>
        <v>3</v>
      </c>
      <c r="J1092" s="156" t="str">
        <f>"Tóth Kornél"</f>
        <v>Tóth Kornél</v>
      </c>
      <c r="K1092" s="156" t="str">
        <f>"KKE - Spartacus"</f>
        <v>KKE - Spartacus</v>
      </c>
      <c r="L1092" s="156" t="str">
        <f t="shared" si="390"/>
        <v>HUN</v>
      </c>
      <c r="M1092" s="163">
        <v>4</v>
      </c>
      <c r="O1092" s="154" t="s">
        <v>246</v>
      </c>
      <c r="P1092" s="159">
        <v>46081</v>
      </c>
      <c r="Q1092" s="154" t="str">
        <f t="shared" si="391"/>
        <v>Tóth Kornél - KKE - Spartacus</v>
      </c>
      <c r="R1092" s="154" t="s">
        <v>636</v>
      </c>
      <c r="S1092" s="154" t="str">
        <f t="shared" si="392"/>
        <v>KKE - Spartacus</v>
      </c>
      <c r="T1092" s="154" t="s">
        <v>645</v>
      </c>
      <c r="U1092" s="154" t="s">
        <v>797</v>
      </c>
      <c r="V1092" s="154"/>
    </row>
    <row r="1093" spans="1:22" s="158" customFormat="1" x14ac:dyDescent="0.3">
      <c r="A1093" s="153" t="s">
        <v>778</v>
      </c>
      <c r="B1093" s="155">
        <v>2</v>
      </c>
      <c r="C1093" s="154">
        <v>1012</v>
      </c>
      <c r="D1093" s="156" t="str">
        <f t="shared" si="389"/>
        <v>Kumite</v>
      </c>
      <c r="E1093" s="156" t="str">
        <f t="shared" si="393"/>
        <v>Kumite, Serdülő/U14 fiú 45-54,9kg</v>
      </c>
      <c r="F1093" s="156" t="s">
        <v>534</v>
      </c>
      <c r="G1093" s="157" t="str">
        <f t="shared" si="394"/>
        <v>9</v>
      </c>
      <c r="H1093" s="156" t="str">
        <f t="shared" si="395"/>
        <v>16 fős egyenes kiesés</v>
      </c>
      <c r="I1093" s="157" t="str">
        <f>"3"</f>
        <v>3</v>
      </c>
      <c r="J1093" s="156" t="str">
        <f>"Viszugyel Bálint"</f>
        <v>Viszugyel Bálint</v>
      </c>
      <c r="K1093" s="156" t="str">
        <f>"VTSE"</f>
        <v>VTSE</v>
      </c>
      <c r="L1093" s="156" t="str">
        <f t="shared" si="390"/>
        <v>HUN</v>
      </c>
      <c r="M1093" s="163">
        <v>4</v>
      </c>
      <c r="O1093" s="154" t="s">
        <v>246</v>
      </c>
      <c r="P1093" s="159">
        <v>46081</v>
      </c>
      <c r="Q1093" s="154" t="str">
        <f t="shared" si="391"/>
        <v>Viszugyel Bálint - VTSE</v>
      </c>
      <c r="R1093" s="154" t="s">
        <v>637</v>
      </c>
      <c r="S1093" s="154" t="str">
        <f t="shared" si="392"/>
        <v>VTSE</v>
      </c>
      <c r="T1093" s="154" t="s">
        <v>645</v>
      </c>
      <c r="U1093" s="154" t="s">
        <v>797</v>
      </c>
      <c r="V1093" s="154"/>
    </row>
    <row r="1094" spans="1:22" s="158" customFormat="1" x14ac:dyDescent="0.3">
      <c r="A1094" s="153" t="s">
        <v>778</v>
      </c>
      <c r="B1094" s="155">
        <v>2</v>
      </c>
      <c r="C1094" s="154">
        <v>1013</v>
      </c>
      <c r="D1094" s="156" t="str">
        <f t="shared" si="389"/>
        <v>Kumite</v>
      </c>
      <c r="E1094" s="156" t="str">
        <f t="shared" si="393"/>
        <v>Kumite, Serdülő/U14 fiú 45-54,9kg</v>
      </c>
      <c r="F1094" s="156" t="s">
        <v>534</v>
      </c>
      <c r="G1094" s="157" t="str">
        <f t="shared" si="394"/>
        <v>9</v>
      </c>
      <c r="H1094" s="156" t="str">
        <f t="shared" si="395"/>
        <v>16 fős egyenes kiesés</v>
      </c>
      <c r="I1094" s="157" t="str">
        <f>"5"</f>
        <v>5</v>
      </c>
      <c r="J1094" s="156" t="str">
        <f>"Hadnagy Barnabás"</f>
        <v>Hadnagy Barnabás</v>
      </c>
      <c r="K1094" s="156" t="str">
        <f>"Rokku KKSE"</f>
        <v>Rokku KKSE</v>
      </c>
      <c r="L1094" s="156" t="str">
        <f t="shared" si="390"/>
        <v>HUN</v>
      </c>
      <c r="M1094" s="163">
        <v>0</v>
      </c>
      <c r="N1094" s="158" t="s">
        <v>704</v>
      </c>
      <c r="O1094" s="154" t="s">
        <v>246</v>
      </c>
      <c r="P1094" s="159">
        <v>46081</v>
      </c>
      <c r="Q1094" s="154" t="str">
        <f t="shared" si="391"/>
        <v>Hadnagy Barnabás - Rokku KKSE</v>
      </c>
      <c r="R1094" s="154" t="s">
        <v>636</v>
      </c>
      <c r="S1094" s="154" t="str">
        <f t="shared" si="392"/>
        <v>Rokku KKSE</v>
      </c>
      <c r="T1094" s="154" t="s">
        <v>645</v>
      </c>
      <c r="U1094" s="154" t="s">
        <v>797</v>
      </c>
      <c r="V1094" s="154"/>
    </row>
    <row r="1095" spans="1:22" s="158" customFormat="1" x14ac:dyDescent="0.3">
      <c r="A1095" s="153" t="s">
        <v>778</v>
      </c>
      <c r="B1095" s="155">
        <v>2</v>
      </c>
      <c r="C1095" s="154">
        <v>1014</v>
      </c>
      <c r="D1095" s="156" t="str">
        <f t="shared" si="389"/>
        <v>Kumite</v>
      </c>
      <c r="E1095" s="156" t="str">
        <f t="shared" si="393"/>
        <v>Kumite, Serdülő/U14 fiú 45-54,9kg</v>
      </c>
      <c r="F1095" s="156" t="s">
        <v>534</v>
      </c>
      <c r="G1095" s="157" t="str">
        <f t="shared" si="394"/>
        <v>9</v>
      </c>
      <c r="H1095" s="156" t="str">
        <f t="shared" si="395"/>
        <v>16 fős egyenes kiesés</v>
      </c>
      <c r="I1095" s="157" t="str">
        <f>"6"</f>
        <v>6</v>
      </c>
      <c r="J1095" s="156" t="str">
        <f>"Munkácsi Ádám"</f>
        <v>Munkácsi Ádám</v>
      </c>
      <c r="K1095" s="156" t="str">
        <f>"Főnix Dojo"</f>
        <v>Főnix Dojo</v>
      </c>
      <c r="L1095" s="156" t="str">
        <f t="shared" si="390"/>
        <v>HUN</v>
      </c>
      <c r="M1095" s="163">
        <v>0</v>
      </c>
      <c r="N1095" s="158" t="s">
        <v>704</v>
      </c>
      <c r="O1095" s="154" t="s">
        <v>246</v>
      </c>
      <c r="P1095" s="159">
        <v>46081</v>
      </c>
      <c r="Q1095" s="154" t="str">
        <f t="shared" si="391"/>
        <v>Munkácsi Ádám - Főnix Dojo</v>
      </c>
      <c r="R1095" s="154" t="s">
        <v>636</v>
      </c>
      <c r="S1095" s="154" t="str">
        <f t="shared" si="392"/>
        <v>Főnix Dojo</v>
      </c>
      <c r="T1095" s="154" t="s">
        <v>645</v>
      </c>
      <c r="U1095" s="154" t="s">
        <v>797</v>
      </c>
      <c r="V1095" s="154"/>
    </row>
    <row r="1096" spans="1:22" s="158" customFormat="1" x14ac:dyDescent="0.3">
      <c r="A1096" s="153" t="s">
        <v>778</v>
      </c>
      <c r="B1096" s="155">
        <v>2</v>
      </c>
      <c r="C1096" s="154">
        <v>1015</v>
      </c>
      <c r="D1096" s="156" t="str">
        <f t="shared" si="389"/>
        <v>Kumite</v>
      </c>
      <c r="E1096" s="156" t="str">
        <f t="shared" si="393"/>
        <v>Kumite, Serdülő/U14 fiú 45-54,9kg</v>
      </c>
      <c r="F1096" s="156" t="s">
        <v>534</v>
      </c>
      <c r="G1096" s="157" t="str">
        <f t="shared" si="394"/>
        <v>9</v>
      </c>
      <c r="H1096" s="156" t="str">
        <f t="shared" si="395"/>
        <v>16 fős egyenes kiesés</v>
      </c>
      <c r="I1096" s="157" t="str">
        <f>"7-8"</f>
        <v>7-8</v>
      </c>
      <c r="J1096" s="156" t="str">
        <f>"Ujj Szabolcs"</f>
        <v>Ujj Szabolcs</v>
      </c>
      <c r="K1096" s="156" t="str">
        <f>"Marcali SKK"</f>
        <v>Marcali SKK</v>
      </c>
      <c r="L1096" s="156" t="str">
        <f t="shared" si="390"/>
        <v>HUN</v>
      </c>
      <c r="M1096" s="163">
        <v>0</v>
      </c>
      <c r="N1096" s="158" t="s">
        <v>704</v>
      </c>
      <c r="O1096" s="154" t="s">
        <v>246</v>
      </c>
      <c r="P1096" s="159">
        <v>46081</v>
      </c>
      <c r="Q1096" s="154" t="str">
        <f t="shared" si="391"/>
        <v>Ujj Szabolcs - Marcali SKK</v>
      </c>
      <c r="R1096" s="154" t="s">
        <v>636</v>
      </c>
      <c r="S1096" s="154" t="str">
        <f t="shared" si="392"/>
        <v>Marcali SKK</v>
      </c>
      <c r="T1096" s="154" t="s">
        <v>645</v>
      </c>
      <c r="U1096" s="154" t="s">
        <v>797</v>
      </c>
      <c r="V1096" s="154"/>
    </row>
    <row r="1097" spans="1:22" s="158" customFormat="1" x14ac:dyDescent="0.3">
      <c r="A1097" s="153" t="s">
        <v>778</v>
      </c>
      <c r="B1097" s="155">
        <v>2</v>
      </c>
      <c r="C1097" s="154">
        <v>1016</v>
      </c>
      <c r="D1097" s="156" t="str">
        <f t="shared" si="389"/>
        <v>Kumite</v>
      </c>
      <c r="E1097" s="156" t="str">
        <f t="shared" si="393"/>
        <v>Kumite, Serdülő/U14 fiú 45-54,9kg</v>
      </c>
      <c r="F1097" s="156" t="s">
        <v>534</v>
      </c>
      <c r="G1097" s="157" t="str">
        <f t="shared" si="394"/>
        <v>9</v>
      </c>
      <c r="H1097" s="156" t="str">
        <f t="shared" si="395"/>
        <v>16 fős egyenes kiesés</v>
      </c>
      <c r="I1097" s="157" t="str">
        <f>"7-8"</f>
        <v>7-8</v>
      </c>
      <c r="J1097" s="156" t="str">
        <f>"Lőrincz Bence"</f>
        <v>Lőrincz Bence</v>
      </c>
      <c r="K1097" s="156" t="str">
        <f>"ASE Bulldog KKSZCS"</f>
        <v>ASE Bulldog KKSZCS</v>
      </c>
      <c r="L1097" s="156" t="str">
        <f t="shared" si="390"/>
        <v>HUN</v>
      </c>
      <c r="M1097" s="163">
        <v>0</v>
      </c>
      <c r="N1097" s="158" t="s">
        <v>704</v>
      </c>
      <c r="O1097" s="154" t="s">
        <v>246</v>
      </c>
      <c r="P1097" s="159">
        <v>46081</v>
      </c>
      <c r="Q1097" s="154" t="str">
        <f t="shared" si="391"/>
        <v>Lőrincz Bence - ASE Bulldog KKSZCS</v>
      </c>
      <c r="R1097" s="154" t="s">
        <v>636</v>
      </c>
      <c r="S1097" s="154" t="str">
        <f t="shared" si="392"/>
        <v>ASE Bulldog KKSZCS</v>
      </c>
      <c r="T1097" s="154" t="s">
        <v>645</v>
      </c>
      <c r="U1097" s="154" t="s">
        <v>797</v>
      </c>
      <c r="V1097" s="154"/>
    </row>
    <row r="1098" spans="1:22" s="158" customFormat="1" x14ac:dyDescent="0.3">
      <c r="A1098" s="153" t="s">
        <v>778</v>
      </c>
      <c r="B1098" s="155">
        <v>2</v>
      </c>
      <c r="C1098" s="154">
        <v>1017</v>
      </c>
      <c r="D1098" s="156" t="str">
        <f t="shared" si="389"/>
        <v>Kumite</v>
      </c>
      <c r="E1098" s="156" t="str">
        <f t="shared" si="393"/>
        <v>Kumite, Serdülő/U14 fiú 45-54,9kg</v>
      </c>
      <c r="F1098" s="156" t="s">
        <v>534</v>
      </c>
      <c r="G1098" s="157" t="str">
        <f t="shared" si="394"/>
        <v>9</v>
      </c>
      <c r="H1098" s="156" t="str">
        <f t="shared" si="395"/>
        <v>16 fős egyenes kiesés</v>
      </c>
      <c r="I1098" s="157" t="str">
        <f>"11-16"</f>
        <v>11-16</v>
      </c>
      <c r="J1098" s="156" t="str">
        <f>"Kámán Márton"</f>
        <v>Kámán Márton</v>
      </c>
      <c r="K1098" s="156" t="str">
        <f>"Rakurai"</f>
        <v>Rakurai</v>
      </c>
      <c r="L1098" s="156" t="str">
        <f t="shared" si="390"/>
        <v>HUN</v>
      </c>
      <c r="M1098" s="163">
        <v>0</v>
      </c>
      <c r="O1098" s="154" t="s">
        <v>246</v>
      </c>
      <c r="P1098" s="159">
        <v>46081</v>
      </c>
      <c r="Q1098" s="154" t="str">
        <f t="shared" si="391"/>
        <v>Kámán Márton - Rakurai</v>
      </c>
      <c r="R1098" s="154" t="s">
        <v>636</v>
      </c>
      <c r="S1098" s="154" t="str">
        <f t="shared" si="392"/>
        <v>Rakurai</v>
      </c>
      <c r="T1098" s="154" t="s">
        <v>645</v>
      </c>
      <c r="U1098" s="154" t="s">
        <v>797</v>
      </c>
      <c r="V1098" s="154"/>
    </row>
    <row r="1099" spans="1:22" s="158" customFormat="1" x14ac:dyDescent="0.3">
      <c r="A1099" s="153" t="s">
        <v>778</v>
      </c>
      <c r="B1099" s="155">
        <v>2</v>
      </c>
      <c r="C1099" s="154">
        <v>1018</v>
      </c>
      <c r="D1099" s="156" t="str">
        <f t="shared" si="389"/>
        <v>Kumite</v>
      </c>
      <c r="E1099" s="156" t="str">
        <f>"Kumite, Serdülő/U14 fiú 55-64,9kg"</f>
        <v>Kumite, Serdülő/U14 fiú 55-64,9kg</v>
      </c>
      <c r="F1099" s="156" t="s">
        <v>784</v>
      </c>
      <c r="G1099" s="157" t="str">
        <f>"2"</f>
        <v>2</v>
      </c>
      <c r="H1099" s="156" t="str">
        <f>"2 fős egyenes kiesés"</f>
        <v>2 fős egyenes kiesés</v>
      </c>
      <c r="I1099" s="157" t="str">
        <f>"1"</f>
        <v>1</v>
      </c>
      <c r="J1099" s="156" t="str">
        <f>"Bánfi Botond"</f>
        <v>Bánfi Botond</v>
      </c>
      <c r="K1099" s="156" t="str">
        <f>"Rokku KKSE"</f>
        <v>Rokku KKSE</v>
      </c>
      <c r="L1099" s="156" t="str">
        <f t="shared" si="390"/>
        <v>HUN</v>
      </c>
      <c r="M1099" s="163">
        <v>3</v>
      </c>
      <c r="O1099" s="154" t="s">
        <v>246</v>
      </c>
      <c r="P1099" s="159">
        <v>46081</v>
      </c>
      <c r="Q1099" s="154" t="str">
        <f t="shared" si="391"/>
        <v>Bánfi Botond - Rokku KKSE</v>
      </c>
      <c r="R1099" s="154" t="s">
        <v>636</v>
      </c>
      <c r="S1099" s="154" t="str">
        <f t="shared" si="392"/>
        <v>Rokku KKSE</v>
      </c>
      <c r="T1099" s="154" t="s">
        <v>645</v>
      </c>
      <c r="U1099" s="154" t="s">
        <v>797</v>
      </c>
      <c r="V1099" s="154"/>
    </row>
    <row r="1100" spans="1:22" s="158" customFormat="1" x14ac:dyDescent="0.3">
      <c r="A1100" s="153" t="s">
        <v>778</v>
      </c>
      <c r="B1100" s="155">
        <v>2</v>
      </c>
      <c r="C1100" s="154">
        <v>1019</v>
      </c>
      <c r="D1100" s="156" t="str">
        <f t="shared" si="389"/>
        <v>Kumite</v>
      </c>
      <c r="E1100" s="156" t="str">
        <f>"Kumite, Serdülő/U14 fiú 55-64,9kg"</f>
        <v>Kumite, Serdülő/U14 fiú 55-64,9kg</v>
      </c>
      <c r="F1100" s="156" t="s">
        <v>784</v>
      </c>
      <c r="G1100" s="157" t="str">
        <f>"2"</f>
        <v>2</v>
      </c>
      <c r="H1100" s="156" t="str">
        <f>"2 fős egyenes kiesés"</f>
        <v>2 fős egyenes kiesés</v>
      </c>
      <c r="I1100" s="157" t="str">
        <f>"2"</f>
        <v>2</v>
      </c>
      <c r="J1100" s="156" t="str">
        <f>"Reinhofer Patrik"</f>
        <v>Reinhofer Patrik</v>
      </c>
      <c r="K1100" s="156" t="str">
        <f>"Rokku KKSE"</f>
        <v>Rokku KKSE</v>
      </c>
      <c r="L1100" s="156" t="str">
        <f t="shared" si="390"/>
        <v>HUN</v>
      </c>
      <c r="M1100" s="163">
        <v>0</v>
      </c>
      <c r="O1100" s="154" t="s">
        <v>246</v>
      </c>
      <c r="P1100" s="159">
        <v>46081</v>
      </c>
      <c r="Q1100" s="154" t="str">
        <f t="shared" si="391"/>
        <v>Reinhofer Patrik - Rokku KKSE</v>
      </c>
      <c r="R1100" s="154" t="s">
        <v>636</v>
      </c>
      <c r="S1100" s="154" t="str">
        <f t="shared" si="392"/>
        <v>Rokku KKSE</v>
      </c>
      <c r="T1100" s="154" t="s">
        <v>645</v>
      </c>
      <c r="U1100" s="154" t="s">
        <v>797</v>
      </c>
      <c r="V1100" s="154"/>
    </row>
    <row r="1101" spans="1:22" s="158" customFormat="1" x14ac:dyDescent="0.3">
      <c r="A1101" s="153" t="s">
        <v>778</v>
      </c>
      <c r="B1101" s="155">
        <v>2</v>
      </c>
      <c r="C1101" s="154">
        <v>1020</v>
      </c>
      <c r="D1101" s="156" t="str">
        <f t="shared" si="389"/>
        <v>Kumite</v>
      </c>
      <c r="E1101" s="156" t="str">
        <f t="shared" ref="E1101:E1108" si="396">"Kumite, Serdülő/U14 fiú 65-kg"</f>
        <v>Kumite, Serdülő/U14 fiú 65-kg</v>
      </c>
      <c r="F1101" s="156" t="s">
        <v>785</v>
      </c>
      <c r="G1101" s="157" t="str">
        <f t="shared" ref="G1101:G1108" si="397">"8"</f>
        <v>8</v>
      </c>
      <c r="H1101" s="156" t="str">
        <f t="shared" ref="H1101:H1108" si="398">"8 fős egyenes kiesés"</f>
        <v>8 fős egyenes kiesés</v>
      </c>
      <c r="I1101" s="157" t="str">
        <f>"1"</f>
        <v>1</v>
      </c>
      <c r="J1101" s="156" t="str">
        <f>"Villasenor Babos Viktor Éliás"</f>
        <v>Villasenor Babos Viktor Éliás</v>
      </c>
      <c r="K1101" s="156" t="str">
        <f>"Rakurai"</f>
        <v>Rakurai</v>
      </c>
      <c r="L1101" s="156" t="str">
        <f t="shared" si="390"/>
        <v>HUN</v>
      </c>
      <c r="M1101" s="163">
        <v>6</v>
      </c>
      <c r="O1101" s="154" t="s">
        <v>246</v>
      </c>
      <c r="P1101" s="159">
        <v>46081</v>
      </c>
      <c r="Q1101" s="154" t="str">
        <f t="shared" si="391"/>
        <v>Villasenor Babos Viktor Éliás - Rakurai</v>
      </c>
      <c r="R1101" s="154" t="s">
        <v>636</v>
      </c>
      <c r="S1101" s="154" t="str">
        <f t="shared" si="392"/>
        <v>Rakurai</v>
      </c>
      <c r="T1101" s="154" t="s">
        <v>645</v>
      </c>
      <c r="U1101" s="154" t="s">
        <v>797</v>
      </c>
      <c r="V1101" s="154"/>
    </row>
    <row r="1102" spans="1:22" s="158" customFormat="1" x14ac:dyDescent="0.3">
      <c r="A1102" s="153" t="s">
        <v>778</v>
      </c>
      <c r="B1102" s="155">
        <v>2</v>
      </c>
      <c r="C1102" s="154">
        <v>1021</v>
      </c>
      <c r="D1102" s="156" t="str">
        <f t="shared" si="389"/>
        <v>Kumite</v>
      </c>
      <c r="E1102" s="156" t="str">
        <f t="shared" si="396"/>
        <v>Kumite, Serdülő/U14 fiú 65-kg</v>
      </c>
      <c r="F1102" s="156" t="s">
        <v>785</v>
      </c>
      <c r="G1102" s="157" t="str">
        <f t="shared" si="397"/>
        <v>8</v>
      </c>
      <c r="H1102" s="156" t="str">
        <f t="shared" si="398"/>
        <v>8 fős egyenes kiesés</v>
      </c>
      <c r="I1102" s="157" t="str">
        <f>"2"</f>
        <v>2</v>
      </c>
      <c r="J1102" s="156" t="str">
        <f>"Finta Csanád"</f>
        <v>Finta Csanád</v>
      </c>
      <c r="K1102" s="156" t="str">
        <f>"Rakurai"</f>
        <v>Rakurai</v>
      </c>
      <c r="L1102" s="156" t="str">
        <f t="shared" si="390"/>
        <v>HUN</v>
      </c>
      <c r="M1102" s="163">
        <v>5</v>
      </c>
      <c r="O1102" s="154" t="s">
        <v>246</v>
      </c>
      <c r="P1102" s="159">
        <v>46081</v>
      </c>
      <c r="Q1102" s="154" t="str">
        <f t="shared" si="391"/>
        <v>Finta Csanád - Rakurai</v>
      </c>
      <c r="R1102" s="154" t="s">
        <v>636</v>
      </c>
      <c r="S1102" s="154" t="str">
        <f t="shared" si="392"/>
        <v>Rakurai</v>
      </c>
      <c r="T1102" s="154" t="s">
        <v>645</v>
      </c>
      <c r="U1102" s="154" t="s">
        <v>797</v>
      </c>
      <c r="V1102" s="154"/>
    </row>
    <row r="1103" spans="1:22" s="158" customFormat="1" x14ac:dyDescent="0.3">
      <c r="A1103" s="153" t="s">
        <v>778</v>
      </c>
      <c r="B1103" s="155">
        <v>2</v>
      </c>
      <c r="C1103" s="154">
        <v>1022</v>
      </c>
      <c r="D1103" s="156" t="str">
        <f t="shared" si="389"/>
        <v>Kumite</v>
      </c>
      <c r="E1103" s="156" t="str">
        <f t="shared" si="396"/>
        <v>Kumite, Serdülő/U14 fiú 65-kg</v>
      </c>
      <c r="F1103" s="156" t="s">
        <v>785</v>
      </c>
      <c r="G1103" s="157" t="str">
        <f t="shared" si="397"/>
        <v>8</v>
      </c>
      <c r="H1103" s="156" t="str">
        <f t="shared" si="398"/>
        <v>8 fős egyenes kiesés</v>
      </c>
      <c r="I1103" s="157" t="str">
        <f>"3"</f>
        <v>3</v>
      </c>
      <c r="J1103" s="156" t="str">
        <f>"Nagy Kevin "</f>
        <v xml:space="preserve">Nagy Kevin </v>
      </c>
      <c r="K1103" s="156" t="str">
        <f>"KKE - Spartacus"</f>
        <v>KKE - Spartacus</v>
      </c>
      <c r="L1103" s="156" t="str">
        <f t="shared" si="390"/>
        <v>HUN</v>
      </c>
      <c r="M1103" s="163">
        <v>3</v>
      </c>
      <c r="O1103" s="154" t="s">
        <v>246</v>
      </c>
      <c r="P1103" s="159">
        <v>46081</v>
      </c>
      <c r="Q1103" s="154" t="str">
        <f t="shared" si="391"/>
        <v>Nagy Kevin  - KKE - Spartacus</v>
      </c>
      <c r="R1103" s="154" t="s">
        <v>636</v>
      </c>
      <c r="S1103" s="154" t="str">
        <f t="shared" si="392"/>
        <v>KKE - Spartacus</v>
      </c>
      <c r="T1103" s="154" t="s">
        <v>645</v>
      </c>
      <c r="U1103" s="154" t="s">
        <v>797</v>
      </c>
      <c r="V1103" s="154"/>
    </row>
    <row r="1104" spans="1:22" s="158" customFormat="1" x14ac:dyDescent="0.3">
      <c r="A1104" s="153" t="s">
        <v>778</v>
      </c>
      <c r="B1104" s="155">
        <v>2</v>
      </c>
      <c r="C1104" s="154">
        <v>1023</v>
      </c>
      <c r="D1104" s="156" t="str">
        <f t="shared" si="389"/>
        <v>Kumite</v>
      </c>
      <c r="E1104" s="156" t="str">
        <f t="shared" si="396"/>
        <v>Kumite, Serdülő/U14 fiú 65-kg</v>
      </c>
      <c r="F1104" s="156" t="s">
        <v>785</v>
      </c>
      <c r="G1104" s="157" t="str">
        <f t="shared" si="397"/>
        <v>8</v>
      </c>
      <c r="H1104" s="156" t="str">
        <f t="shared" si="398"/>
        <v>8 fős egyenes kiesés</v>
      </c>
      <c r="I1104" s="157" t="str">
        <f>"3"</f>
        <v>3</v>
      </c>
      <c r="J1104" s="156" t="str">
        <f>"Nagy Richárd"</f>
        <v>Nagy Richárd</v>
      </c>
      <c r="K1104" s="156" t="str">
        <f>"POWER SE."</f>
        <v>POWER SE.</v>
      </c>
      <c r="L1104" s="156" t="str">
        <f t="shared" si="390"/>
        <v>HUN</v>
      </c>
      <c r="M1104" s="163">
        <v>3</v>
      </c>
      <c r="O1104" s="154" t="s">
        <v>246</v>
      </c>
      <c r="P1104" s="159">
        <v>46081</v>
      </c>
      <c r="Q1104" s="154" t="str">
        <f t="shared" si="391"/>
        <v>Nagy Richárd - POWER SE.</v>
      </c>
      <c r="R1104" s="154" t="s">
        <v>636</v>
      </c>
      <c r="S1104" s="154" t="str">
        <f t="shared" si="392"/>
        <v>POWER SE.</v>
      </c>
      <c r="T1104" s="154" t="s">
        <v>645</v>
      </c>
      <c r="U1104" s="154" t="s">
        <v>797</v>
      </c>
      <c r="V1104" s="154"/>
    </row>
    <row r="1105" spans="1:22" s="158" customFormat="1" x14ac:dyDescent="0.3">
      <c r="A1105" s="153" t="s">
        <v>778</v>
      </c>
      <c r="B1105" s="155">
        <v>2</v>
      </c>
      <c r="C1105" s="154">
        <v>1024</v>
      </c>
      <c r="D1105" s="156" t="str">
        <f t="shared" si="389"/>
        <v>Kumite</v>
      </c>
      <c r="E1105" s="156" t="str">
        <f t="shared" si="396"/>
        <v>Kumite, Serdülő/U14 fiú 65-kg</v>
      </c>
      <c r="F1105" s="156" t="s">
        <v>785</v>
      </c>
      <c r="G1105" s="157" t="str">
        <f t="shared" si="397"/>
        <v>8</v>
      </c>
      <c r="H1105" s="156" t="str">
        <f t="shared" si="398"/>
        <v>8 fős egyenes kiesés</v>
      </c>
      <c r="I1105" s="157" t="str">
        <f>"5"</f>
        <v>5</v>
      </c>
      <c r="J1105" s="156" t="str">
        <f>"Gaál-Vajai Tamás"</f>
        <v>Gaál-Vajai Tamás</v>
      </c>
      <c r="K1105" s="156" t="str">
        <f>"Főnix Dojo"</f>
        <v>Főnix Dojo</v>
      </c>
      <c r="L1105" s="156" t="str">
        <f t="shared" si="390"/>
        <v>HUN</v>
      </c>
      <c r="M1105" s="163">
        <v>0</v>
      </c>
      <c r="O1105" s="154" t="s">
        <v>246</v>
      </c>
      <c r="P1105" s="159">
        <v>46081</v>
      </c>
      <c r="Q1105" s="154" t="str">
        <f t="shared" si="391"/>
        <v>Gaál-Vajai Tamás - Főnix Dojo</v>
      </c>
      <c r="R1105" s="154" t="s">
        <v>636</v>
      </c>
      <c r="S1105" s="154" t="str">
        <f t="shared" si="392"/>
        <v>Főnix Dojo</v>
      </c>
      <c r="T1105" s="154" t="s">
        <v>645</v>
      </c>
      <c r="U1105" s="154" t="s">
        <v>797</v>
      </c>
      <c r="V1105" s="154"/>
    </row>
    <row r="1106" spans="1:22" s="158" customFormat="1" x14ac:dyDescent="0.3">
      <c r="A1106" s="153" t="s">
        <v>778</v>
      </c>
      <c r="B1106" s="155">
        <v>2</v>
      </c>
      <c r="C1106" s="154">
        <v>1025</v>
      </c>
      <c r="D1106" s="156" t="str">
        <f t="shared" si="389"/>
        <v>Kumite</v>
      </c>
      <c r="E1106" s="156" t="str">
        <f t="shared" si="396"/>
        <v>Kumite, Serdülő/U14 fiú 65-kg</v>
      </c>
      <c r="F1106" s="156" t="s">
        <v>785</v>
      </c>
      <c r="G1106" s="157" t="str">
        <f t="shared" si="397"/>
        <v>8</v>
      </c>
      <c r="H1106" s="156" t="str">
        <f t="shared" si="398"/>
        <v>8 fős egyenes kiesés</v>
      </c>
      <c r="I1106" s="157" t="str">
        <f>"6"</f>
        <v>6</v>
      </c>
      <c r="J1106" s="156" t="str">
        <f>"Salga Márton"</f>
        <v>Salga Márton</v>
      </c>
      <c r="K1106" s="156" t="str">
        <f>"Rokku KKSE"</f>
        <v>Rokku KKSE</v>
      </c>
      <c r="L1106" s="156" t="str">
        <f t="shared" si="390"/>
        <v>HUN</v>
      </c>
      <c r="M1106" s="163">
        <v>0</v>
      </c>
      <c r="O1106" s="154" t="s">
        <v>246</v>
      </c>
      <c r="P1106" s="159">
        <v>46081</v>
      </c>
      <c r="Q1106" s="154" t="str">
        <f t="shared" si="391"/>
        <v>Salga Márton - Rokku KKSE</v>
      </c>
      <c r="R1106" s="154" t="s">
        <v>636</v>
      </c>
      <c r="S1106" s="154" t="str">
        <f t="shared" si="392"/>
        <v>Rokku KKSE</v>
      </c>
      <c r="T1106" s="154" t="s">
        <v>645</v>
      </c>
      <c r="U1106" s="154" t="s">
        <v>797</v>
      </c>
      <c r="V1106" s="154"/>
    </row>
    <row r="1107" spans="1:22" s="158" customFormat="1" x14ac:dyDescent="0.3">
      <c r="A1107" s="153" t="s">
        <v>778</v>
      </c>
      <c r="B1107" s="155">
        <v>2</v>
      </c>
      <c r="C1107" s="154">
        <v>1026</v>
      </c>
      <c r="D1107" s="156" t="str">
        <f t="shared" si="389"/>
        <v>Kumite</v>
      </c>
      <c r="E1107" s="156" t="str">
        <f t="shared" si="396"/>
        <v>Kumite, Serdülő/U14 fiú 65-kg</v>
      </c>
      <c r="F1107" s="156" t="s">
        <v>785</v>
      </c>
      <c r="G1107" s="157" t="str">
        <f t="shared" si="397"/>
        <v>8</v>
      </c>
      <c r="H1107" s="156" t="str">
        <f t="shared" si="398"/>
        <v>8 fős egyenes kiesés</v>
      </c>
      <c r="I1107" s="157" t="str">
        <f>"7-8"</f>
        <v>7-8</v>
      </c>
      <c r="J1107" s="156" t="str">
        <f>"Tóth Dominik István"</f>
        <v>Tóth Dominik István</v>
      </c>
      <c r="K1107" s="156" t="str">
        <f>"Griff SE"</f>
        <v>Griff SE</v>
      </c>
      <c r="L1107" s="156" t="str">
        <f t="shared" si="390"/>
        <v>HUN</v>
      </c>
      <c r="M1107" s="163">
        <v>0</v>
      </c>
      <c r="O1107" s="154" t="s">
        <v>246</v>
      </c>
      <c r="P1107" s="159">
        <v>46081</v>
      </c>
      <c r="Q1107" s="154" t="str">
        <f t="shared" si="391"/>
        <v>Tóth Dominik István - Griff SE</v>
      </c>
      <c r="R1107" s="154" t="s">
        <v>636</v>
      </c>
      <c r="S1107" s="154" t="str">
        <f t="shared" si="392"/>
        <v>Griff SE</v>
      </c>
      <c r="T1107" s="154" t="s">
        <v>645</v>
      </c>
      <c r="U1107" s="154" t="s">
        <v>797</v>
      </c>
      <c r="V1107" s="154"/>
    </row>
    <row r="1108" spans="1:22" s="158" customFormat="1" x14ac:dyDescent="0.3">
      <c r="A1108" s="153" t="s">
        <v>778</v>
      </c>
      <c r="B1108" s="155">
        <v>2</v>
      </c>
      <c r="C1108" s="154">
        <v>1027</v>
      </c>
      <c r="D1108" s="156" t="str">
        <f t="shared" si="389"/>
        <v>Kumite</v>
      </c>
      <c r="E1108" s="156" t="str">
        <f t="shared" si="396"/>
        <v>Kumite, Serdülő/U14 fiú 65-kg</v>
      </c>
      <c r="F1108" s="156" t="s">
        <v>785</v>
      </c>
      <c r="G1108" s="157" t="str">
        <f t="shared" si="397"/>
        <v>8</v>
      </c>
      <c r="H1108" s="156" t="str">
        <f t="shared" si="398"/>
        <v>8 fős egyenes kiesés</v>
      </c>
      <c r="I1108" s="157" t="str">
        <f>"7-8"</f>
        <v>7-8</v>
      </c>
      <c r="J1108" s="156" t="str">
        <f>"Nagy Nimród"</f>
        <v>Nagy Nimród</v>
      </c>
      <c r="K1108" s="156" t="str">
        <f>"Rakurai"</f>
        <v>Rakurai</v>
      </c>
      <c r="L1108" s="156" t="str">
        <f t="shared" si="390"/>
        <v>HUN</v>
      </c>
      <c r="M1108" s="163">
        <v>0</v>
      </c>
      <c r="O1108" s="154" t="s">
        <v>246</v>
      </c>
      <c r="P1108" s="159">
        <v>46081</v>
      </c>
      <c r="Q1108" s="154" t="str">
        <f t="shared" si="391"/>
        <v>Nagy Nimród - Rakurai</v>
      </c>
      <c r="R1108" s="154" t="s">
        <v>636</v>
      </c>
      <c r="S1108" s="154" t="str">
        <f t="shared" si="392"/>
        <v>Rakurai</v>
      </c>
      <c r="T1108" s="154" t="s">
        <v>645</v>
      </c>
      <c r="U1108" s="154" t="s">
        <v>797</v>
      </c>
      <c r="V1108" s="154"/>
    </row>
    <row r="1109" spans="1:22" s="158" customFormat="1" x14ac:dyDescent="0.3">
      <c r="A1109" s="153" t="s">
        <v>778</v>
      </c>
      <c r="B1109" s="155">
        <v>2</v>
      </c>
      <c r="C1109" s="154">
        <v>1028</v>
      </c>
      <c r="D1109" s="156" t="str">
        <f t="shared" si="389"/>
        <v>Kumite</v>
      </c>
      <c r="E1109" s="156" t="str">
        <f>"Kumite, Serdülő/U14 lány 40-44,9kg"</f>
        <v>Kumite, Serdülő/U14 lány 40-44,9kg</v>
      </c>
      <c r="F1109" s="156" t="s">
        <v>536</v>
      </c>
      <c r="G1109" s="157" t="str">
        <f>"2"</f>
        <v>2</v>
      </c>
      <c r="H1109" s="156" t="str">
        <f>"2 fős egyenes kiesés"</f>
        <v>2 fős egyenes kiesés</v>
      </c>
      <c r="I1109" s="157" t="str">
        <f>"1"</f>
        <v>1</v>
      </c>
      <c r="J1109" s="156" t="str">
        <f>"Bogdán Szonja Boróka"</f>
        <v>Bogdán Szonja Boróka</v>
      </c>
      <c r="K1109" s="156" t="str">
        <f>"Rakurai"</f>
        <v>Rakurai</v>
      </c>
      <c r="L1109" s="156" t="str">
        <f t="shared" si="390"/>
        <v>HUN</v>
      </c>
      <c r="M1109" s="163">
        <v>3</v>
      </c>
      <c r="O1109" s="154" t="s">
        <v>246</v>
      </c>
      <c r="P1109" s="159">
        <v>46081</v>
      </c>
      <c r="Q1109" s="154" t="str">
        <f t="shared" si="391"/>
        <v>Bogdán Szonja Boróka - Rakurai</v>
      </c>
      <c r="R1109" s="154" t="s">
        <v>636</v>
      </c>
      <c r="S1109" s="154" t="str">
        <f t="shared" si="392"/>
        <v>Rakurai</v>
      </c>
      <c r="T1109" s="154" t="s">
        <v>645</v>
      </c>
      <c r="U1109" s="154" t="s">
        <v>797</v>
      </c>
      <c r="V1109" s="154"/>
    </row>
    <row r="1110" spans="1:22" s="158" customFormat="1" x14ac:dyDescent="0.3">
      <c r="A1110" s="153" t="s">
        <v>778</v>
      </c>
      <c r="B1110" s="155">
        <v>2</v>
      </c>
      <c r="C1110" s="154">
        <v>1029</v>
      </c>
      <c r="D1110" s="156" t="str">
        <f t="shared" si="389"/>
        <v>Kumite</v>
      </c>
      <c r="E1110" s="156" t="str">
        <f>"Kumite, Serdülő/U14 lány 40-44,9kg"</f>
        <v>Kumite, Serdülő/U14 lány 40-44,9kg</v>
      </c>
      <c r="F1110" s="156" t="s">
        <v>536</v>
      </c>
      <c r="G1110" s="157" t="str">
        <f>"2"</f>
        <v>2</v>
      </c>
      <c r="H1110" s="156" t="str">
        <f>"2 fős egyenes kiesés"</f>
        <v>2 fős egyenes kiesés</v>
      </c>
      <c r="I1110" s="157" t="str">
        <f>"2"</f>
        <v>2</v>
      </c>
      <c r="J1110" s="156" t="str">
        <f>"Horváth Liliána"</f>
        <v>Horváth Liliána</v>
      </c>
      <c r="K1110" s="156" t="str">
        <f>"Kamikaze S"</f>
        <v>Kamikaze S</v>
      </c>
      <c r="L1110" s="156" t="str">
        <f t="shared" si="390"/>
        <v>HUN</v>
      </c>
      <c r="M1110" s="163">
        <v>0</v>
      </c>
      <c r="O1110" s="154" t="s">
        <v>246</v>
      </c>
      <c r="P1110" s="159">
        <v>46081</v>
      </c>
      <c r="Q1110" s="154" t="str">
        <f t="shared" si="391"/>
        <v>Horváth Liliána - Kamikaze S</v>
      </c>
      <c r="R1110" s="154" t="s">
        <v>636</v>
      </c>
      <c r="S1110" s="154" t="str">
        <f t="shared" si="392"/>
        <v>Kamikaze S</v>
      </c>
      <c r="T1110" s="154" t="s">
        <v>645</v>
      </c>
      <c r="U1110" s="154" t="s">
        <v>797</v>
      </c>
      <c r="V1110" s="154"/>
    </row>
    <row r="1111" spans="1:22" s="158" customFormat="1" x14ac:dyDescent="0.3">
      <c r="A1111" s="153" t="s">
        <v>778</v>
      </c>
      <c r="B1111" s="155">
        <v>2</v>
      </c>
      <c r="C1111" s="154">
        <v>1030</v>
      </c>
      <c r="D1111" s="156" t="str">
        <f t="shared" si="389"/>
        <v>Kumite</v>
      </c>
      <c r="E1111" s="156" t="str">
        <f>"Kumite, Serdülő/U14 lány 45-54,9kg"</f>
        <v>Kumite, Serdülő/U14 lány 45-54,9kg</v>
      </c>
      <c r="F1111" s="156" t="s">
        <v>539</v>
      </c>
      <c r="G1111" s="157" t="str">
        <f>"6"</f>
        <v>6</v>
      </c>
      <c r="H1111" s="156" t="str">
        <f>"6 fős vegyes"</f>
        <v>6 fős vegyes</v>
      </c>
      <c r="I1111" s="157" t="str">
        <f>"1"</f>
        <v>1</v>
      </c>
      <c r="J1111" s="156" t="str">
        <f>"Nagy Anna"</f>
        <v>Nagy Anna</v>
      </c>
      <c r="K1111" s="156" t="str">
        <f>"Főnix Dojo"</f>
        <v>Főnix Dojo</v>
      </c>
      <c r="L1111" s="156" t="str">
        <f t="shared" si="390"/>
        <v>HUN</v>
      </c>
      <c r="M1111" s="163">
        <v>6</v>
      </c>
      <c r="O1111" s="154" t="s">
        <v>246</v>
      </c>
      <c r="P1111" s="159">
        <v>46081</v>
      </c>
      <c r="Q1111" s="154" t="str">
        <f t="shared" si="391"/>
        <v>Nagy Anna - Főnix Dojo</v>
      </c>
      <c r="R1111" s="154" t="s">
        <v>636</v>
      </c>
      <c r="S1111" s="154" t="str">
        <f t="shared" si="392"/>
        <v>Főnix Dojo</v>
      </c>
      <c r="T1111" s="154" t="s">
        <v>645</v>
      </c>
      <c r="U1111" s="154" t="s">
        <v>797</v>
      </c>
      <c r="V1111" s="154"/>
    </row>
    <row r="1112" spans="1:22" s="158" customFormat="1" x14ac:dyDescent="0.3">
      <c r="A1112" s="153" t="s">
        <v>778</v>
      </c>
      <c r="B1112" s="155">
        <v>2</v>
      </c>
      <c r="C1112" s="154">
        <v>1031</v>
      </c>
      <c r="D1112" s="156" t="str">
        <f t="shared" si="389"/>
        <v>Kumite</v>
      </c>
      <c r="E1112" s="156" t="str">
        <f>"Kumite, Serdülő/U14 lány 45-54,9kg"</f>
        <v>Kumite, Serdülő/U14 lány 45-54,9kg</v>
      </c>
      <c r="F1112" s="156" t="s">
        <v>539</v>
      </c>
      <c r="G1112" s="157" t="str">
        <f>"6"</f>
        <v>6</v>
      </c>
      <c r="H1112" s="156" t="str">
        <f>"6 fős vegyes"</f>
        <v>6 fős vegyes</v>
      </c>
      <c r="I1112" s="157" t="str">
        <f>"2"</f>
        <v>2</v>
      </c>
      <c r="J1112" s="156" t="str">
        <f>"Reichert Hanna "</f>
        <v xml:space="preserve">Reichert Hanna </v>
      </c>
      <c r="K1112" s="156" t="str">
        <f>"VTSE"</f>
        <v>VTSE</v>
      </c>
      <c r="L1112" s="156" t="str">
        <f t="shared" si="390"/>
        <v>HUN</v>
      </c>
      <c r="M1112" s="163">
        <v>5</v>
      </c>
      <c r="O1112" s="154" t="s">
        <v>246</v>
      </c>
      <c r="P1112" s="159">
        <v>46081</v>
      </c>
      <c r="Q1112" s="154" t="str">
        <f t="shared" si="391"/>
        <v>Reichert Hanna  - VTSE</v>
      </c>
      <c r="R1112" s="154" t="s">
        <v>637</v>
      </c>
      <c r="S1112" s="154" t="str">
        <f t="shared" si="392"/>
        <v>VTSE</v>
      </c>
      <c r="T1112" s="154" t="s">
        <v>645</v>
      </c>
      <c r="U1112" s="154" t="s">
        <v>797</v>
      </c>
      <c r="V1112" s="154"/>
    </row>
    <row r="1113" spans="1:22" s="158" customFormat="1" x14ac:dyDescent="0.3">
      <c r="A1113" s="153" t="s">
        <v>778</v>
      </c>
      <c r="B1113" s="155">
        <v>2</v>
      </c>
      <c r="C1113" s="154">
        <v>1032</v>
      </c>
      <c r="D1113" s="156" t="str">
        <f t="shared" si="389"/>
        <v>Kumite</v>
      </c>
      <c r="E1113" s="156" t="str">
        <f>"Kumite, Serdülő/U14 lány 45-54,9kg"</f>
        <v>Kumite, Serdülő/U14 lány 45-54,9kg</v>
      </c>
      <c r="F1113" s="156" t="s">
        <v>539</v>
      </c>
      <c r="G1113" s="157" t="str">
        <f>"6"</f>
        <v>6</v>
      </c>
      <c r="H1113" s="156" t="str">
        <f>"6 fős vegyes"</f>
        <v>6 fős vegyes</v>
      </c>
      <c r="I1113" s="157" t="str">
        <f>"3"</f>
        <v>3</v>
      </c>
      <c r="J1113" s="156" t="str">
        <f>"Kiss-Juhász Hanga"</f>
        <v>Kiss-Juhász Hanga</v>
      </c>
      <c r="K1113" s="156" t="str">
        <f>"Tora HSE"</f>
        <v>Tora HSE</v>
      </c>
      <c r="L1113" s="156" t="str">
        <f t="shared" si="390"/>
        <v>HUN</v>
      </c>
      <c r="M1113" s="163">
        <v>3</v>
      </c>
      <c r="O1113" s="154" t="s">
        <v>246</v>
      </c>
      <c r="P1113" s="159">
        <v>46081</v>
      </c>
      <c r="Q1113" s="154" t="str">
        <f t="shared" si="391"/>
        <v>Kiss-Juhász Hanga - Tora HSE</v>
      </c>
      <c r="R1113" s="154" t="s">
        <v>637</v>
      </c>
      <c r="S1113" s="154" t="str">
        <f t="shared" si="392"/>
        <v>Tora HSE</v>
      </c>
      <c r="T1113" s="154" t="s">
        <v>645</v>
      </c>
      <c r="U1113" s="154" t="s">
        <v>797</v>
      </c>
      <c r="V1113" s="154"/>
    </row>
    <row r="1114" spans="1:22" s="158" customFormat="1" x14ac:dyDescent="0.3">
      <c r="A1114" s="153" t="s">
        <v>778</v>
      </c>
      <c r="B1114" s="155">
        <v>2</v>
      </c>
      <c r="C1114" s="154">
        <v>1033</v>
      </c>
      <c r="D1114" s="156" t="str">
        <f t="shared" si="389"/>
        <v>Kumite</v>
      </c>
      <c r="E1114" s="156" t="str">
        <f>"Kumite, Serdülő/U14 lány 55-64,9kg"</f>
        <v>Kumite, Serdülő/U14 lány 55-64,9kg</v>
      </c>
      <c r="F1114" s="156" t="s">
        <v>540</v>
      </c>
      <c r="G1114" s="157" t="str">
        <f t="shared" ref="G1114:G1122" si="399">"3"</f>
        <v>3</v>
      </c>
      <c r="H1114" s="156" t="str">
        <f t="shared" ref="H1114:H1122" si="400">"3 fős körmérkőzés"</f>
        <v>3 fős körmérkőzés</v>
      </c>
      <c r="I1114" s="157" t="str">
        <f>"1"</f>
        <v>1</v>
      </c>
      <c r="J1114" s="156" t="str">
        <f>"Bennárik Bella"</f>
        <v>Bennárik Bella</v>
      </c>
      <c r="K1114" s="156" t="str">
        <f>"WARRIORS TEAM"</f>
        <v>WARRIORS TEAM</v>
      </c>
      <c r="L1114" s="156" t="str">
        <f t="shared" si="390"/>
        <v>HUN</v>
      </c>
      <c r="M1114" s="163">
        <v>4</v>
      </c>
      <c r="O1114" s="154" t="s">
        <v>246</v>
      </c>
      <c r="P1114" s="159">
        <v>46081</v>
      </c>
      <c r="Q1114" s="154" t="str">
        <f t="shared" si="391"/>
        <v>Bennárik Bella - WARRIORS TEAM</v>
      </c>
      <c r="R1114" s="154" t="s">
        <v>636</v>
      </c>
      <c r="S1114" s="154" t="str">
        <f t="shared" si="392"/>
        <v>WARRIORS TEAM</v>
      </c>
      <c r="T1114" s="154" t="s">
        <v>645</v>
      </c>
      <c r="U1114" s="154" t="s">
        <v>797</v>
      </c>
      <c r="V1114" s="154"/>
    </row>
    <row r="1115" spans="1:22" s="158" customFormat="1" x14ac:dyDescent="0.3">
      <c r="A1115" s="153" t="s">
        <v>778</v>
      </c>
      <c r="B1115" s="155">
        <v>2</v>
      </c>
      <c r="C1115" s="154">
        <v>1034</v>
      </c>
      <c r="D1115" s="156" t="str">
        <f t="shared" si="389"/>
        <v>Kumite</v>
      </c>
      <c r="E1115" s="156" t="str">
        <f>"Kumite, Serdülő/U14 lány 55-64,9kg"</f>
        <v>Kumite, Serdülő/U14 lány 55-64,9kg</v>
      </c>
      <c r="F1115" s="156" t="s">
        <v>540</v>
      </c>
      <c r="G1115" s="157" t="str">
        <f t="shared" si="399"/>
        <v>3</v>
      </c>
      <c r="H1115" s="156" t="str">
        <f t="shared" si="400"/>
        <v>3 fős körmérkőzés</v>
      </c>
      <c r="I1115" s="157" t="str">
        <f>"2"</f>
        <v>2</v>
      </c>
      <c r="J1115" s="156" t="str">
        <f>"Szabó Anna Tímea"</f>
        <v>Szabó Anna Tímea</v>
      </c>
      <c r="K1115" s="156" t="str">
        <f>"Katana SE"</f>
        <v>Katana SE</v>
      </c>
      <c r="L1115" s="156" t="str">
        <f t="shared" si="390"/>
        <v>HUN</v>
      </c>
      <c r="M1115" s="163">
        <v>3</v>
      </c>
      <c r="O1115" s="154" t="s">
        <v>246</v>
      </c>
      <c r="P1115" s="159">
        <v>46081</v>
      </c>
      <c r="Q1115" s="154" t="str">
        <f t="shared" si="391"/>
        <v>Szabó Anna Tímea - Katana SE</v>
      </c>
      <c r="R1115" s="154" t="s">
        <v>636</v>
      </c>
      <c r="S1115" s="154" t="str">
        <f t="shared" si="392"/>
        <v>Katana SE</v>
      </c>
      <c r="T1115" s="154" t="s">
        <v>645</v>
      </c>
      <c r="U1115" s="154" t="s">
        <v>797</v>
      </c>
      <c r="V1115" s="154"/>
    </row>
    <row r="1116" spans="1:22" s="158" customFormat="1" x14ac:dyDescent="0.3">
      <c r="A1116" s="153" t="s">
        <v>778</v>
      </c>
      <c r="B1116" s="155">
        <v>2</v>
      </c>
      <c r="C1116" s="154">
        <v>1035</v>
      </c>
      <c r="D1116" s="156" t="str">
        <f t="shared" si="389"/>
        <v>Kumite</v>
      </c>
      <c r="E1116" s="156" t="str">
        <f>"Kumite, Serdülő/U14 lány 55-64,9kg"</f>
        <v>Kumite, Serdülő/U14 lány 55-64,9kg</v>
      </c>
      <c r="F1116" s="156" t="s">
        <v>540</v>
      </c>
      <c r="G1116" s="157" t="str">
        <f t="shared" si="399"/>
        <v>3</v>
      </c>
      <c r="H1116" s="156" t="str">
        <f t="shared" si="400"/>
        <v>3 fős körmérkőzés</v>
      </c>
      <c r="I1116" s="157" t="str">
        <f>"3"</f>
        <v>3</v>
      </c>
      <c r="J1116" s="156" t="str">
        <f>"Virág Boglárka Csenge"</f>
        <v>Virág Boglárka Csenge</v>
      </c>
      <c r="K1116" s="156" t="str">
        <f>"Keszth.KKK"</f>
        <v>Keszth.KKK</v>
      </c>
      <c r="L1116" s="156" t="str">
        <f t="shared" si="390"/>
        <v>HUN</v>
      </c>
      <c r="M1116" s="163">
        <v>0</v>
      </c>
      <c r="O1116" s="154" t="s">
        <v>246</v>
      </c>
      <c r="P1116" s="159">
        <v>46081</v>
      </c>
      <c r="Q1116" s="154" t="str">
        <f t="shared" si="391"/>
        <v>Virág Boglárka Csenge - Keszth.KKK</v>
      </c>
      <c r="R1116" s="154" t="s">
        <v>636</v>
      </c>
      <c r="S1116" s="154" t="str">
        <f t="shared" si="392"/>
        <v>Keszth.KKK</v>
      </c>
      <c r="T1116" s="154" t="s">
        <v>645</v>
      </c>
      <c r="U1116" s="154" t="s">
        <v>797</v>
      </c>
      <c r="V1116" s="154"/>
    </row>
    <row r="1117" spans="1:22" s="158" customFormat="1" x14ac:dyDescent="0.3">
      <c r="A1117" s="153" t="s">
        <v>778</v>
      </c>
      <c r="B1117" s="155">
        <v>2</v>
      </c>
      <c r="C1117" s="154">
        <v>1036</v>
      </c>
      <c r="D1117" s="156" t="str">
        <f t="shared" si="389"/>
        <v>Kumite</v>
      </c>
      <c r="E1117" s="156" t="str">
        <f>"Kumite, Serdülő/U14 lány 65-kg"</f>
        <v>Kumite, Serdülő/U14 lány 65-kg</v>
      </c>
      <c r="F1117" s="156" t="s">
        <v>543</v>
      </c>
      <c r="G1117" s="157" t="str">
        <f t="shared" si="399"/>
        <v>3</v>
      </c>
      <c r="H1117" s="156" t="str">
        <f t="shared" si="400"/>
        <v>3 fős körmérkőzés</v>
      </c>
      <c r="I1117" s="157" t="str">
        <f>"1"</f>
        <v>1</v>
      </c>
      <c r="J1117" s="156" t="str">
        <f>"Szente Beatrix"</f>
        <v>Szente Beatrix</v>
      </c>
      <c r="K1117" s="156" t="str">
        <f>"VTSE"</f>
        <v>VTSE</v>
      </c>
      <c r="L1117" s="156" t="str">
        <f t="shared" si="390"/>
        <v>HUN</v>
      </c>
      <c r="M1117" s="163">
        <v>4</v>
      </c>
      <c r="O1117" s="154" t="s">
        <v>246</v>
      </c>
      <c r="P1117" s="159">
        <v>46081</v>
      </c>
      <c r="Q1117" s="154" t="str">
        <f t="shared" si="391"/>
        <v>Szente Beatrix - VTSE</v>
      </c>
      <c r="R1117" s="154" t="s">
        <v>637</v>
      </c>
      <c r="S1117" s="154" t="str">
        <f t="shared" si="392"/>
        <v>VTSE</v>
      </c>
      <c r="T1117" s="154" t="s">
        <v>645</v>
      </c>
      <c r="U1117" s="154" t="s">
        <v>797</v>
      </c>
      <c r="V1117" s="154"/>
    </row>
    <row r="1118" spans="1:22" s="158" customFormat="1" x14ac:dyDescent="0.3">
      <c r="A1118" s="153" t="s">
        <v>778</v>
      </c>
      <c r="B1118" s="155">
        <v>2</v>
      </c>
      <c r="C1118" s="154">
        <v>1037</v>
      </c>
      <c r="D1118" s="156" t="str">
        <f t="shared" si="389"/>
        <v>Kumite</v>
      </c>
      <c r="E1118" s="156" t="str">
        <f>"Kumite, Serdülő/U14 lány 65-kg"</f>
        <v>Kumite, Serdülő/U14 lány 65-kg</v>
      </c>
      <c r="F1118" s="156" t="s">
        <v>543</v>
      </c>
      <c r="G1118" s="157" t="str">
        <f t="shared" si="399"/>
        <v>3</v>
      </c>
      <c r="H1118" s="156" t="str">
        <f t="shared" si="400"/>
        <v>3 fős körmérkőzés</v>
      </c>
      <c r="I1118" s="157" t="str">
        <f>"2"</f>
        <v>2</v>
      </c>
      <c r="J1118" s="156" t="str">
        <f>"Bota Sára"</f>
        <v>Bota Sára</v>
      </c>
      <c r="K1118" s="156" t="str">
        <f>"Rakurai"</f>
        <v>Rakurai</v>
      </c>
      <c r="L1118" s="156" t="str">
        <f t="shared" si="390"/>
        <v>HUN</v>
      </c>
      <c r="M1118" s="163">
        <v>3</v>
      </c>
      <c r="O1118" s="154" t="s">
        <v>246</v>
      </c>
      <c r="P1118" s="159">
        <v>46081</v>
      </c>
      <c r="Q1118" s="154" t="str">
        <f t="shared" si="391"/>
        <v>Bota Sára - Rakurai</v>
      </c>
      <c r="R1118" s="154" t="s">
        <v>636</v>
      </c>
      <c r="S1118" s="154" t="str">
        <f t="shared" si="392"/>
        <v>Rakurai</v>
      </c>
      <c r="T1118" s="154" t="s">
        <v>645</v>
      </c>
      <c r="U1118" s="154" t="s">
        <v>797</v>
      </c>
      <c r="V1118" s="154"/>
    </row>
    <row r="1119" spans="1:22" s="158" customFormat="1" x14ac:dyDescent="0.3">
      <c r="A1119" s="153" t="s">
        <v>778</v>
      </c>
      <c r="B1119" s="155">
        <v>2</v>
      </c>
      <c r="C1119" s="154">
        <v>1038</v>
      </c>
      <c r="D1119" s="156" t="str">
        <f t="shared" si="389"/>
        <v>Kumite</v>
      </c>
      <c r="E1119" s="156" t="str">
        <f>"Kumite, Serdülő/U14 lány 65-kg"</f>
        <v>Kumite, Serdülő/U14 lány 65-kg</v>
      </c>
      <c r="F1119" s="156" t="s">
        <v>543</v>
      </c>
      <c r="G1119" s="157" t="str">
        <f t="shared" si="399"/>
        <v>3</v>
      </c>
      <c r="H1119" s="156" t="str">
        <f t="shared" si="400"/>
        <v>3 fős körmérkőzés</v>
      </c>
      <c r="I1119" s="157" t="str">
        <f>"3"</f>
        <v>3</v>
      </c>
      <c r="J1119" s="156" t="str">
        <f>"Tóth-Krisó Míra"</f>
        <v>Tóth-Krisó Míra</v>
      </c>
      <c r="K1119" s="156" t="str">
        <f>"Katana SE"</f>
        <v>Katana SE</v>
      </c>
      <c r="L1119" s="156" t="str">
        <f t="shared" si="390"/>
        <v>HUN</v>
      </c>
      <c r="M1119" s="163">
        <v>0</v>
      </c>
      <c r="O1119" s="154" t="s">
        <v>246</v>
      </c>
      <c r="P1119" s="159">
        <v>46081</v>
      </c>
      <c r="Q1119" s="154" t="str">
        <f t="shared" si="391"/>
        <v>Tóth-Krisó Míra - Katana SE</v>
      </c>
      <c r="R1119" s="154" t="s">
        <v>636</v>
      </c>
      <c r="S1119" s="154" t="str">
        <f t="shared" si="392"/>
        <v>Katana SE</v>
      </c>
      <c r="T1119" s="154" t="s">
        <v>645</v>
      </c>
      <c r="U1119" s="154" t="s">
        <v>797</v>
      </c>
      <c r="V1119" s="154"/>
    </row>
    <row r="1120" spans="1:22" s="158" customFormat="1" x14ac:dyDescent="0.3">
      <c r="A1120" s="153" t="s">
        <v>778</v>
      </c>
      <c r="B1120" s="155">
        <v>2</v>
      </c>
      <c r="C1120" s="154">
        <v>1039</v>
      </c>
      <c r="D1120" s="156" t="str">
        <f t="shared" si="389"/>
        <v>Kumite</v>
      </c>
      <c r="E1120" s="156" t="str">
        <f>"Kumite, Ifjúsági/U16 lány 0-49,9kg"</f>
        <v>Kumite, Ifjúsági/U16 lány 0-49,9kg</v>
      </c>
      <c r="F1120" s="156" t="s">
        <v>546</v>
      </c>
      <c r="G1120" s="157" t="str">
        <f t="shared" si="399"/>
        <v>3</v>
      </c>
      <c r="H1120" s="156" t="str">
        <f t="shared" si="400"/>
        <v>3 fős körmérkőzés</v>
      </c>
      <c r="I1120" s="157" t="str">
        <f>"1"</f>
        <v>1</v>
      </c>
      <c r="J1120" s="156" t="str">
        <f>"Nagy Hanna Míra"</f>
        <v>Nagy Hanna Míra</v>
      </c>
      <c r="K1120" s="156" t="str">
        <f>"Genbu dojo"</f>
        <v>Genbu dojo</v>
      </c>
      <c r="L1120" s="156" t="str">
        <f t="shared" si="390"/>
        <v>HUN</v>
      </c>
      <c r="M1120" s="163">
        <v>4</v>
      </c>
      <c r="O1120" s="154" t="s">
        <v>246</v>
      </c>
      <c r="P1120" s="159">
        <v>46081</v>
      </c>
      <c r="Q1120" s="154" t="str">
        <f t="shared" si="391"/>
        <v>Nagy Hanna Míra - Genbu dojo</v>
      </c>
      <c r="R1120" s="154" t="s">
        <v>637</v>
      </c>
      <c r="S1120" s="154" t="str">
        <f t="shared" si="392"/>
        <v>Genbu dojo</v>
      </c>
      <c r="T1120" s="154" t="s">
        <v>645</v>
      </c>
      <c r="U1120" s="154" t="s">
        <v>798</v>
      </c>
      <c r="V1120" s="154"/>
    </row>
    <row r="1121" spans="1:22" s="158" customFormat="1" x14ac:dyDescent="0.3">
      <c r="A1121" s="153" t="s">
        <v>778</v>
      </c>
      <c r="B1121" s="155">
        <v>2</v>
      </c>
      <c r="C1121" s="154">
        <v>1040</v>
      </c>
      <c r="D1121" s="156" t="str">
        <f t="shared" si="389"/>
        <v>Kumite</v>
      </c>
      <c r="E1121" s="156" t="str">
        <f>"Kumite, Ifjúsági/U16 lány 0-49,9kg"</f>
        <v>Kumite, Ifjúsági/U16 lány 0-49,9kg</v>
      </c>
      <c r="F1121" s="156" t="s">
        <v>546</v>
      </c>
      <c r="G1121" s="157" t="str">
        <f t="shared" si="399"/>
        <v>3</v>
      </c>
      <c r="H1121" s="156" t="str">
        <f t="shared" si="400"/>
        <v>3 fős körmérkőzés</v>
      </c>
      <c r="I1121" s="157" t="str">
        <f>"2"</f>
        <v>2</v>
      </c>
      <c r="J1121" s="156" t="str">
        <f>"Sülyi Luca"</f>
        <v>Sülyi Luca</v>
      </c>
      <c r="K1121" s="156" t="str">
        <f>"Főnix Dojo"</f>
        <v>Főnix Dojo</v>
      </c>
      <c r="L1121" s="156" t="str">
        <f t="shared" si="390"/>
        <v>HUN</v>
      </c>
      <c r="M1121" s="163">
        <v>3</v>
      </c>
      <c r="O1121" s="154" t="s">
        <v>246</v>
      </c>
      <c r="P1121" s="159">
        <v>46081</v>
      </c>
      <c r="Q1121" s="154" t="str">
        <f t="shared" si="391"/>
        <v>Sülyi Luca - Főnix Dojo</v>
      </c>
      <c r="R1121" s="154" t="s">
        <v>636</v>
      </c>
      <c r="S1121" s="154" t="str">
        <f t="shared" si="392"/>
        <v>Főnix Dojo</v>
      </c>
      <c r="T1121" s="154" t="s">
        <v>645</v>
      </c>
      <c r="U1121" s="154" t="s">
        <v>798</v>
      </c>
      <c r="V1121" s="154"/>
    </row>
    <row r="1122" spans="1:22" s="158" customFormat="1" x14ac:dyDescent="0.3">
      <c r="A1122" s="153" t="s">
        <v>778</v>
      </c>
      <c r="B1122" s="155">
        <v>2</v>
      </c>
      <c r="C1122" s="154">
        <v>1041</v>
      </c>
      <c r="D1122" s="156" t="str">
        <f t="shared" si="389"/>
        <v>Kumite</v>
      </c>
      <c r="E1122" s="156" t="str">
        <f>"Kumite, Ifjúsági/U16 lány 0-49,9kg"</f>
        <v>Kumite, Ifjúsági/U16 lány 0-49,9kg</v>
      </c>
      <c r="F1122" s="156" t="s">
        <v>546</v>
      </c>
      <c r="G1122" s="157" t="str">
        <f t="shared" si="399"/>
        <v>3</v>
      </c>
      <c r="H1122" s="156" t="str">
        <f t="shared" si="400"/>
        <v>3 fős körmérkőzés</v>
      </c>
      <c r="I1122" s="157" t="str">
        <f>"3"</f>
        <v>3</v>
      </c>
      <c r="J1122" s="156" t="str">
        <f>"Balogh Dóra Panna"</f>
        <v>Balogh Dóra Panna</v>
      </c>
      <c r="K1122" s="156" t="str">
        <f>"POWER SE."</f>
        <v>POWER SE.</v>
      </c>
      <c r="L1122" s="156" t="str">
        <f t="shared" si="390"/>
        <v>HUN</v>
      </c>
      <c r="M1122" s="163">
        <v>0</v>
      </c>
      <c r="O1122" s="154" t="s">
        <v>246</v>
      </c>
      <c r="P1122" s="159">
        <v>46081</v>
      </c>
      <c r="Q1122" s="154" t="str">
        <f t="shared" si="391"/>
        <v>Balogh Dóra Panna - POWER SE.</v>
      </c>
      <c r="R1122" s="154" t="s">
        <v>636</v>
      </c>
      <c r="S1122" s="154" t="str">
        <f t="shared" si="392"/>
        <v>POWER SE.</v>
      </c>
      <c r="T1122" s="154" t="s">
        <v>645</v>
      </c>
      <c r="U1122" s="154" t="s">
        <v>798</v>
      </c>
      <c r="V1122" s="154"/>
    </row>
    <row r="1123" spans="1:22" s="158" customFormat="1" x14ac:dyDescent="0.3">
      <c r="A1123" s="153" t="s">
        <v>778</v>
      </c>
      <c r="B1123" s="155">
        <v>2</v>
      </c>
      <c r="C1123" s="154">
        <v>1042</v>
      </c>
      <c r="D1123" s="156" t="str">
        <f t="shared" si="389"/>
        <v>Kumite</v>
      </c>
      <c r="E1123" s="156" t="str">
        <f>"Kumite, Ifjúsági/U16 lány 50-54,9kg"</f>
        <v>Kumite, Ifjúsági/U16 lány 50-54,9kg</v>
      </c>
      <c r="F1123" s="156" t="s">
        <v>550</v>
      </c>
      <c r="G1123" s="157" t="str">
        <f>"2"</f>
        <v>2</v>
      </c>
      <c r="H1123" s="156" t="str">
        <f>"2 fős egyenes kiesés"</f>
        <v>2 fős egyenes kiesés</v>
      </c>
      <c r="I1123" s="157" t="str">
        <f>"1"</f>
        <v>1</v>
      </c>
      <c r="J1123" s="156" t="str">
        <f>"Ható Amanda"</f>
        <v>Ható Amanda</v>
      </c>
      <c r="K1123" s="156" t="str">
        <f>"Rakurai"</f>
        <v>Rakurai</v>
      </c>
      <c r="L1123" s="156" t="str">
        <f t="shared" si="390"/>
        <v>HUN</v>
      </c>
      <c r="M1123" s="163">
        <v>3</v>
      </c>
      <c r="O1123" s="154" t="s">
        <v>246</v>
      </c>
      <c r="P1123" s="159">
        <v>46081</v>
      </c>
      <c r="Q1123" s="154" t="str">
        <f t="shared" si="391"/>
        <v>Ható Amanda - Rakurai</v>
      </c>
      <c r="R1123" s="154" t="s">
        <v>636</v>
      </c>
      <c r="S1123" s="154" t="str">
        <f t="shared" si="392"/>
        <v>Rakurai</v>
      </c>
      <c r="T1123" s="154" t="s">
        <v>645</v>
      </c>
      <c r="U1123" s="154" t="s">
        <v>798</v>
      </c>
      <c r="V1123" s="154"/>
    </row>
    <row r="1124" spans="1:22" s="158" customFormat="1" x14ac:dyDescent="0.3">
      <c r="A1124" s="153" t="s">
        <v>778</v>
      </c>
      <c r="B1124" s="155">
        <v>2</v>
      </c>
      <c r="C1124" s="154">
        <v>1043</v>
      </c>
      <c r="D1124" s="156" t="str">
        <f t="shared" si="389"/>
        <v>Kumite</v>
      </c>
      <c r="E1124" s="156" t="str">
        <f>"Kumite, Ifjúsági/U16 lány 50-54,9kg"</f>
        <v>Kumite, Ifjúsági/U16 lány 50-54,9kg</v>
      </c>
      <c r="F1124" s="156" t="s">
        <v>550</v>
      </c>
      <c r="G1124" s="157" t="str">
        <f>"2"</f>
        <v>2</v>
      </c>
      <c r="H1124" s="156" t="str">
        <f>"2 fős egyenes kiesés"</f>
        <v>2 fős egyenes kiesés</v>
      </c>
      <c r="I1124" s="157" t="str">
        <f>"2"</f>
        <v>2</v>
      </c>
      <c r="J1124" s="156" t="str">
        <f>"Apjok Réka"</f>
        <v>Apjok Réka</v>
      </c>
      <c r="K1124" s="156" t="str">
        <f>"Tora HSE"</f>
        <v>Tora HSE</v>
      </c>
      <c r="L1124" s="156" t="str">
        <f t="shared" si="390"/>
        <v>HUN</v>
      </c>
      <c r="M1124" s="163">
        <v>0</v>
      </c>
      <c r="O1124" s="154" t="s">
        <v>246</v>
      </c>
      <c r="P1124" s="159">
        <v>46081</v>
      </c>
      <c r="Q1124" s="154" t="str">
        <f t="shared" si="391"/>
        <v>Apjok Réka - Tora HSE</v>
      </c>
      <c r="R1124" s="154" t="s">
        <v>637</v>
      </c>
      <c r="S1124" s="154" t="str">
        <f t="shared" si="392"/>
        <v>Tora HSE</v>
      </c>
      <c r="T1124" s="154" t="s">
        <v>645</v>
      </c>
      <c r="U1124" s="154" t="s">
        <v>798</v>
      </c>
      <c r="V1124" s="154"/>
    </row>
    <row r="1125" spans="1:22" s="158" customFormat="1" x14ac:dyDescent="0.3">
      <c r="A1125" s="153" t="s">
        <v>778</v>
      </c>
      <c r="B1125" s="155">
        <v>2</v>
      </c>
      <c r="C1125" s="154">
        <v>1044</v>
      </c>
      <c r="D1125" s="156" t="str">
        <f t="shared" si="389"/>
        <v>Kumite</v>
      </c>
      <c r="E1125" s="156" t="str">
        <f>"Kumite, Ifjúsági/U16 lány 55-59,9kg"</f>
        <v>Kumite, Ifjúsági/U16 lány 55-59,9kg</v>
      </c>
      <c r="F1125" s="156" t="s">
        <v>551</v>
      </c>
      <c r="G1125" s="157" t="str">
        <f>"4"</f>
        <v>4</v>
      </c>
      <c r="H1125" s="156" t="str">
        <f>"4 fős körmérkőzés"</f>
        <v>4 fős körmérkőzés</v>
      </c>
      <c r="I1125" s="157" t="str">
        <f>"1"</f>
        <v>1</v>
      </c>
      <c r="J1125" s="156" t="str">
        <f>"Zsin Zsófia"</f>
        <v>Zsin Zsófia</v>
      </c>
      <c r="K1125" s="156" t="str">
        <f>"BHMSE"</f>
        <v>BHMSE</v>
      </c>
      <c r="L1125" s="156" t="str">
        <f t="shared" si="390"/>
        <v>HUN</v>
      </c>
      <c r="M1125" s="163">
        <v>6</v>
      </c>
      <c r="O1125" s="154" t="s">
        <v>246</v>
      </c>
      <c r="P1125" s="159">
        <v>46081</v>
      </c>
      <c r="Q1125" s="154" t="str">
        <f t="shared" si="391"/>
        <v>Zsin Zsófia - BHMSE</v>
      </c>
      <c r="R1125" s="154" t="s">
        <v>636</v>
      </c>
      <c r="S1125" s="154" t="str">
        <f t="shared" si="392"/>
        <v>BHMSE</v>
      </c>
      <c r="T1125" s="154" t="s">
        <v>645</v>
      </c>
      <c r="U1125" s="154" t="s">
        <v>798</v>
      </c>
      <c r="V1125" s="154"/>
    </row>
    <row r="1126" spans="1:22" s="158" customFormat="1" x14ac:dyDescent="0.3">
      <c r="A1126" s="153" t="s">
        <v>778</v>
      </c>
      <c r="B1126" s="155">
        <v>2</v>
      </c>
      <c r="C1126" s="154">
        <v>1045</v>
      </c>
      <c r="D1126" s="156" t="str">
        <f t="shared" si="389"/>
        <v>Kumite</v>
      </c>
      <c r="E1126" s="156" t="str">
        <f>"Kumite, Ifjúsági/U16 lány 55-59,9kg"</f>
        <v>Kumite, Ifjúsági/U16 lány 55-59,9kg</v>
      </c>
      <c r="F1126" s="156" t="s">
        <v>551</v>
      </c>
      <c r="G1126" s="157" t="str">
        <f>"4"</f>
        <v>4</v>
      </c>
      <c r="H1126" s="156" t="str">
        <f>"4 fős körmérkőzés"</f>
        <v>4 fős körmérkőzés</v>
      </c>
      <c r="I1126" s="157" t="str">
        <f>"2"</f>
        <v>2</v>
      </c>
      <c r="J1126" s="156" t="str">
        <f>"Lukács Éva"</f>
        <v>Lukács Éva</v>
      </c>
      <c r="K1126" s="156" t="str">
        <f>"VTSE"</f>
        <v>VTSE</v>
      </c>
      <c r="L1126" s="156" t="str">
        <f t="shared" si="390"/>
        <v>HUN</v>
      </c>
      <c r="M1126" s="163">
        <v>5</v>
      </c>
      <c r="O1126" s="154" t="s">
        <v>246</v>
      </c>
      <c r="P1126" s="159">
        <v>46081</v>
      </c>
      <c r="Q1126" s="154" t="str">
        <f t="shared" si="391"/>
        <v>Lukács Éva - VTSE</v>
      </c>
      <c r="R1126" s="154" t="s">
        <v>637</v>
      </c>
      <c r="S1126" s="154" t="str">
        <f t="shared" si="392"/>
        <v>VTSE</v>
      </c>
      <c r="T1126" s="154" t="s">
        <v>645</v>
      </c>
      <c r="U1126" s="154" t="s">
        <v>798</v>
      </c>
      <c r="V1126" s="154"/>
    </row>
    <row r="1127" spans="1:22" s="158" customFormat="1" x14ac:dyDescent="0.3">
      <c r="A1127" s="153" t="s">
        <v>778</v>
      </c>
      <c r="B1127" s="155">
        <v>2</v>
      </c>
      <c r="C1127" s="154">
        <v>1046</v>
      </c>
      <c r="D1127" s="156" t="str">
        <f t="shared" si="389"/>
        <v>Kumite</v>
      </c>
      <c r="E1127" s="156" t="str">
        <f>"Kumite, Ifjúsági/U16 lány 55-59,9kg"</f>
        <v>Kumite, Ifjúsági/U16 lány 55-59,9kg</v>
      </c>
      <c r="F1127" s="156" t="s">
        <v>551</v>
      </c>
      <c r="G1127" s="157" t="str">
        <f>"4"</f>
        <v>4</v>
      </c>
      <c r="H1127" s="156" t="str">
        <f>"4 fős körmérkőzés"</f>
        <v>4 fős körmérkőzés</v>
      </c>
      <c r="I1127" s="157" t="str">
        <f>"3"</f>
        <v>3</v>
      </c>
      <c r="J1127" s="156" t="str">
        <f>"Demeter Zsófia"</f>
        <v>Demeter Zsófia</v>
      </c>
      <c r="K1127" s="156" t="str">
        <f>"WARRIORS TEAM"</f>
        <v>WARRIORS TEAM</v>
      </c>
      <c r="L1127" s="156" t="str">
        <f t="shared" si="390"/>
        <v>HUN</v>
      </c>
      <c r="M1127" s="163">
        <v>3</v>
      </c>
      <c r="O1127" s="154" t="s">
        <v>246</v>
      </c>
      <c r="P1127" s="159">
        <v>46081</v>
      </c>
      <c r="Q1127" s="154" t="str">
        <f t="shared" si="391"/>
        <v>Demeter Zsófia - WARRIORS TEAM</v>
      </c>
      <c r="R1127" s="154" t="s">
        <v>636</v>
      </c>
      <c r="S1127" s="154" t="str">
        <f t="shared" si="392"/>
        <v>WARRIORS TEAM</v>
      </c>
      <c r="T1127" s="154" t="s">
        <v>645</v>
      </c>
      <c r="U1127" s="154" t="s">
        <v>798</v>
      </c>
      <c r="V1127" s="154"/>
    </row>
    <row r="1128" spans="1:22" s="158" customFormat="1" x14ac:dyDescent="0.3">
      <c r="A1128" s="153" t="s">
        <v>778</v>
      </c>
      <c r="B1128" s="155">
        <v>2</v>
      </c>
      <c r="C1128" s="154">
        <v>1047</v>
      </c>
      <c r="D1128" s="156" t="str">
        <f t="shared" si="389"/>
        <v>Kumite</v>
      </c>
      <c r="E1128" s="156" t="str">
        <f>"Kumite, Ifjúsági/U16 lány 65-kg"</f>
        <v>Kumite, Ifjúsági/U16 lány 65-kg</v>
      </c>
      <c r="F1128" s="156" t="s">
        <v>553</v>
      </c>
      <c r="G1128" s="157" t="str">
        <f>"2"</f>
        <v>2</v>
      </c>
      <c r="H1128" s="156" t="str">
        <f>"2 fős egyenes kiesés"</f>
        <v>2 fős egyenes kiesés</v>
      </c>
      <c r="I1128" s="157" t="str">
        <f>"1"</f>
        <v>1</v>
      </c>
      <c r="J1128" s="156" t="str">
        <f>"Csonka Kata"</f>
        <v>Csonka Kata</v>
      </c>
      <c r="K1128" s="156" t="str">
        <f>"Kamikaze S"</f>
        <v>Kamikaze S</v>
      </c>
      <c r="L1128" s="156" t="str">
        <f t="shared" si="390"/>
        <v>HUN</v>
      </c>
      <c r="M1128" s="163">
        <v>3</v>
      </c>
      <c r="O1128" s="154" t="s">
        <v>246</v>
      </c>
      <c r="P1128" s="159">
        <v>46081</v>
      </c>
      <c r="Q1128" s="154" t="str">
        <f t="shared" si="391"/>
        <v>Csonka Kata - Kamikaze S</v>
      </c>
      <c r="R1128" s="154" t="s">
        <v>636</v>
      </c>
      <c r="S1128" s="154" t="str">
        <f t="shared" si="392"/>
        <v>Kamikaze S</v>
      </c>
      <c r="T1128" s="154" t="s">
        <v>645</v>
      </c>
      <c r="U1128" s="154" t="s">
        <v>798</v>
      </c>
      <c r="V1128" s="154"/>
    </row>
    <row r="1129" spans="1:22" s="158" customFormat="1" x14ac:dyDescent="0.3">
      <c r="A1129" s="153" t="s">
        <v>778</v>
      </c>
      <c r="B1129" s="155">
        <v>2</v>
      </c>
      <c r="C1129" s="154">
        <v>1048</v>
      </c>
      <c r="D1129" s="156" t="str">
        <f t="shared" si="389"/>
        <v>Kumite</v>
      </c>
      <c r="E1129" s="156" t="str">
        <f>"Kumite, Ifjúsági/U16 lány 65-kg"</f>
        <v>Kumite, Ifjúsági/U16 lány 65-kg</v>
      </c>
      <c r="F1129" s="156" t="s">
        <v>553</v>
      </c>
      <c r="G1129" s="157" t="str">
        <f>"2"</f>
        <v>2</v>
      </c>
      <c r="H1129" s="156" t="str">
        <f>"2 fős egyenes kiesés"</f>
        <v>2 fős egyenes kiesés</v>
      </c>
      <c r="I1129" s="157" t="str">
        <f>"2"</f>
        <v>2</v>
      </c>
      <c r="J1129" s="156" t="str">
        <f>"Komondi Veronika Nilla"</f>
        <v>Komondi Veronika Nilla</v>
      </c>
      <c r="K1129" s="156" t="str">
        <f>"Keszth.KKK"</f>
        <v>Keszth.KKK</v>
      </c>
      <c r="L1129" s="156" t="str">
        <f t="shared" si="390"/>
        <v>HUN</v>
      </c>
      <c r="M1129" s="163">
        <v>0</v>
      </c>
      <c r="O1129" s="154" t="s">
        <v>246</v>
      </c>
      <c r="P1129" s="159">
        <v>46081</v>
      </c>
      <c r="Q1129" s="154" t="str">
        <f t="shared" si="391"/>
        <v>Komondi Veronika Nilla - Keszth.KKK</v>
      </c>
      <c r="R1129" s="154" t="s">
        <v>636</v>
      </c>
      <c r="S1129" s="154" t="str">
        <f t="shared" si="392"/>
        <v>Keszth.KKK</v>
      </c>
      <c r="T1129" s="154" t="s">
        <v>645</v>
      </c>
      <c r="U1129" s="154" t="s">
        <v>798</v>
      </c>
      <c r="V1129" s="154"/>
    </row>
    <row r="1130" spans="1:22" s="158" customFormat="1" x14ac:dyDescent="0.3">
      <c r="A1130" s="153" t="s">
        <v>779</v>
      </c>
      <c r="B1130" s="155">
        <v>2</v>
      </c>
      <c r="C1130" s="154">
        <v>1050</v>
      </c>
      <c r="D1130" s="156" t="str">
        <f t="shared" ref="D1130:D1163" si="401">"Kumite"</f>
        <v>Kumite</v>
      </c>
      <c r="E1130" s="156" t="str">
        <f>"Kumite, U 12/Gyermek II. fiú 0-39,9 kg"</f>
        <v>Kumite, U 12/Gyermek II. fiú 0-39,9 kg</v>
      </c>
      <c r="F1130" s="156" t="s">
        <v>518</v>
      </c>
      <c r="G1130" s="157" t="str">
        <f>"5"</f>
        <v>5</v>
      </c>
      <c r="H1130" s="156" t="str">
        <f>"5 fős körmérkőzés"</f>
        <v>5 fős körmérkőzés</v>
      </c>
      <c r="I1130" s="157" t="str">
        <f>"1"</f>
        <v>1</v>
      </c>
      <c r="J1130" s="156" t="str">
        <f>"Balogh Levente"</f>
        <v>Balogh Levente</v>
      </c>
      <c r="K1130" s="156" t="str">
        <f>"Magna Dojo"</f>
        <v>Magna Dojo</v>
      </c>
      <c r="L1130" s="156" t="str">
        <f t="shared" ref="L1130:L1163" si="402">"HUN"</f>
        <v>HUN</v>
      </c>
      <c r="M1130" s="163">
        <v>8</v>
      </c>
      <c r="O1130" s="154" t="s">
        <v>248</v>
      </c>
      <c r="P1130" s="159">
        <v>46088</v>
      </c>
      <c r="Q1130" s="154" t="str">
        <f t="shared" ref="Q1130:Q1163" si="403">J1130&amp;" - "&amp;K1130</f>
        <v>Balogh Levente - Magna Dojo</v>
      </c>
      <c r="R1130" s="154" t="s">
        <v>636</v>
      </c>
      <c r="S1130" s="154" t="str">
        <f t="shared" ref="S1130:S1163" si="404">K1130</f>
        <v>Magna Dojo</v>
      </c>
      <c r="T1130" s="154" t="s">
        <v>645</v>
      </c>
      <c r="U1130" s="154" t="s">
        <v>796</v>
      </c>
      <c r="V1130" s="154"/>
    </row>
    <row r="1131" spans="1:22" s="158" customFormat="1" x14ac:dyDescent="0.3">
      <c r="A1131" s="153" t="s">
        <v>779</v>
      </c>
      <c r="B1131" s="155">
        <v>2</v>
      </c>
      <c r="C1131" s="154">
        <v>1051</v>
      </c>
      <c r="D1131" s="156" t="str">
        <f t="shared" si="401"/>
        <v>Kumite</v>
      </c>
      <c r="E1131" s="156" t="str">
        <f>"Kumite, U 12/Gyermek II. fiú 0-39,9 kg"</f>
        <v>Kumite, U 12/Gyermek II. fiú 0-39,9 kg</v>
      </c>
      <c r="F1131" s="156" t="s">
        <v>518</v>
      </c>
      <c r="G1131" s="157" t="str">
        <f>"5"</f>
        <v>5</v>
      </c>
      <c r="H1131" s="156" t="str">
        <f>"5 fős körmérkőzés"</f>
        <v>5 fős körmérkőzés</v>
      </c>
      <c r="I1131" s="157" t="str">
        <f>"2"</f>
        <v>2</v>
      </c>
      <c r="J1131" s="156" t="str">
        <f>"Eszenyi Barnabás"</f>
        <v>Eszenyi Barnabás</v>
      </c>
      <c r="K1131" s="156" t="str">
        <f>"Shogun"</f>
        <v>Shogun</v>
      </c>
      <c r="L1131" s="156" t="str">
        <f t="shared" si="402"/>
        <v>HUN</v>
      </c>
      <c r="M1131" s="163">
        <v>6</v>
      </c>
      <c r="O1131" s="154" t="s">
        <v>248</v>
      </c>
      <c r="P1131" s="159">
        <v>46088</v>
      </c>
      <c r="Q1131" s="154" t="str">
        <f t="shared" si="403"/>
        <v>Eszenyi Barnabás - Shogun</v>
      </c>
      <c r="R1131" s="154" t="s">
        <v>636</v>
      </c>
      <c r="S1131" s="154" t="str">
        <f t="shared" si="404"/>
        <v>Shogun</v>
      </c>
      <c r="T1131" s="154" t="s">
        <v>645</v>
      </c>
      <c r="U1131" s="154" t="s">
        <v>796</v>
      </c>
      <c r="V1131" s="154"/>
    </row>
    <row r="1132" spans="1:22" s="158" customFormat="1" x14ac:dyDescent="0.3">
      <c r="A1132" s="153" t="s">
        <v>779</v>
      </c>
      <c r="B1132" s="155">
        <v>2</v>
      </c>
      <c r="C1132" s="154">
        <v>1052</v>
      </c>
      <c r="D1132" s="156" t="str">
        <f t="shared" si="401"/>
        <v>Kumite</v>
      </c>
      <c r="E1132" s="156" t="str">
        <f>"Kumite, U 12/Gyermek II. fiú 0-39,9 kg"</f>
        <v>Kumite, U 12/Gyermek II. fiú 0-39,9 kg</v>
      </c>
      <c r="F1132" s="156" t="s">
        <v>518</v>
      </c>
      <c r="G1132" s="157" t="str">
        <f>"5"</f>
        <v>5</v>
      </c>
      <c r="H1132" s="156" t="str">
        <f>"5 fős körmérkőzés"</f>
        <v>5 fős körmérkőzés</v>
      </c>
      <c r="I1132" s="157" t="str">
        <f>"3"</f>
        <v>3</v>
      </c>
      <c r="J1132" s="156" t="str">
        <f>"Tarr Bence"</f>
        <v>Tarr Bence</v>
      </c>
      <c r="K1132" s="156" t="str">
        <f>"Shogun"</f>
        <v>Shogun</v>
      </c>
      <c r="L1132" s="156" t="str">
        <f t="shared" si="402"/>
        <v>HUN</v>
      </c>
      <c r="M1132" s="163">
        <v>4</v>
      </c>
      <c r="O1132" s="154" t="s">
        <v>248</v>
      </c>
      <c r="P1132" s="159">
        <v>46088</v>
      </c>
      <c r="Q1132" s="154" t="str">
        <f t="shared" ref="Q1132" si="405">J1132&amp;" - "&amp;K1132</f>
        <v>Tarr Bence - Shogun</v>
      </c>
      <c r="R1132" s="154" t="s">
        <v>636</v>
      </c>
      <c r="S1132" s="154" t="str">
        <f t="shared" ref="S1132" si="406">K1132</f>
        <v>Shogun</v>
      </c>
      <c r="T1132" s="154" t="s">
        <v>645</v>
      </c>
      <c r="U1132" s="154" t="s">
        <v>796</v>
      </c>
      <c r="V1132" s="154"/>
    </row>
    <row r="1133" spans="1:22" s="158" customFormat="1" x14ac:dyDescent="0.3">
      <c r="A1133" s="153" t="s">
        <v>779</v>
      </c>
      <c r="B1133" s="155">
        <v>2</v>
      </c>
      <c r="C1133" s="154">
        <v>1052</v>
      </c>
      <c r="D1133" s="156" t="str">
        <f t="shared" si="401"/>
        <v>Kumite</v>
      </c>
      <c r="E1133" s="156" t="str">
        <f>"Kumite, U 12/Gyermek II. fiú 0-39,9 kg"</f>
        <v>Kumite, U 12/Gyermek II. fiú 0-39,9 kg</v>
      </c>
      <c r="F1133" s="156" t="s">
        <v>518</v>
      </c>
      <c r="G1133" s="157" t="str">
        <f>"5"</f>
        <v>5</v>
      </c>
      <c r="H1133" s="156" t="str">
        <f>"5 fős körmérkőzés"</f>
        <v>5 fős körmérkőzés</v>
      </c>
      <c r="I1133" s="157">
        <v>4</v>
      </c>
      <c r="J1133" s="156" t="s">
        <v>445</v>
      </c>
      <c r="K1133" s="156" t="s">
        <v>326</v>
      </c>
      <c r="L1133" s="156" t="str">
        <f t="shared" si="402"/>
        <v>HUN</v>
      </c>
      <c r="M1133" s="163">
        <v>3</v>
      </c>
      <c r="O1133" s="154" t="s">
        <v>248</v>
      </c>
      <c r="P1133" s="159">
        <v>46088</v>
      </c>
      <c r="Q1133" s="154" t="str">
        <f t="shared" si="403"/>
        <v>Hegedűs Botond - Keizoku SE</v>
      </c>
      <c r="R1133" s="154" t="s">
        <v>636</v>
      </c>
      <c r="S1133" s="154" t="str">
        <f t="shared" si="404"/>
        <v>Keizoku SE</v>
      </c>
      <c r="T1133" s="154" t="s">
        <v>645</v>
      </c>
      <c r="U1133" s="154" t="s">
        <v>796</v>
      </c>
      <c r="V1133" s="154"/>
    </row>
    <row r="1134" spans="1:22" s="158" customFormat="1" x14ac:dyDescent="0.3">
      <c r="A1134" s="153" t="s">
        <v>779</v>
      </c>
      <c r="B1134" s="155">
        <v>2</v>
      </c>
      <c r="C1134" s="154">
        <v>1053</v>
      </c>
      <c r="D1134" s="156" t="str">
        <f t="shared" si="401"/>
        <v>Kumite</v>
      </c>
      <c r="E1134" s="156" t="str">
        <f>"Kumite, U 12/Gyermek II. fiú 40-44,9 kg"</f>
        <v>Kumite, U 12/Gyermek II. fiú 40-44,9 kg</v>
      </c>
      <c r="F1134" s="156" t="s">
        <v>521</v>
      </c>
      <c r="G1134" s="157" t="str">
        <f>"3"</f>
        <v>3</v>
      </c>
      <c r="H1134" s="156" t="str">
        <f>"3 fős körmérkőzés"</f>
        <v>3 fős körmérkőzés</v>
      </c>
      <c r="I1134" s="157" t="str">
        <f>"1"</f>
        <v>1</v>
      </c>
      <c r="J1134" s="156" t="str">
        <f>"Ratkai János"</f>
        <v>Ratkai János</v>
      </c>
      <c r="K1134" s="156" t="str">
        <f>"KHSE"</f>
        <v>KHSE</v>
      </c>
      <c r="L1134" s="156" t="str">
        <f t="shared" si="402"/>
        <v>HUN</v>
      </c>
      <c r="M1134" s="163">
        <v>4</v>
      </c>
      <c r="O1134" s="154" t="s">
        <v>248</v>
      </c>
      <c r="P1134" s="159">
        <v>46088</v>
      </c>
      <c r="Q1134" s="154" t="str">
        <f t="shared" si="403"/>
        <v>Ratkai János - KHSE</v>
      </c>
      <c r="R1134" s="154" t="s">
        <v>636</v>
      </c>
      <c r="S1134" s="154" t="str">
        <f t="shared" si="404"/>
        <v>KHSE</v>
      </c>
      <c r="T1134" s="154" t="s">
        <v>645</v>
      </c>
      <c r="U1134" s="154" t="s">
        <v>796</v>
      </c>
      <c r="V1134" s="154"/>
    </row>
    <row r="1135" spans="1:22" s="158" customFormat="1" x14ac:dyDescent="0.3">
      <c r="A1135" s="153" t="s">
        <v>779</v>
      </c>
      <c r="B1135" s="155">
        <v>2</v>
      </c>
      <c r="C1135" s="154">
        <v>1054</v>
      </c>
      <c r="D1135" s="156" t="str">
        <f t="shared" si="401"/>
        <v>Kumite</v>
      </c>
      <c r="E1135" s="156" t="str">
        <f>"Kumite, U 12/Gyermek II. fiú 40-44,9 kg"</f>
        <v>Kumite, U 12/Gyermek II. fiú 40-44,9 kg</v>
      </c>
      <c r="F1135" s="156" t="s">
        <v>521</v>
      </c>
      <c r="G1135" s="157" t="str">
        <f>"3"</f>
        <v>3</v>
      </c>
      <c r="H1135" s="156" t="str">
        <f>"3 fős körmérkőzés"</f>
        <v>3 fős körmérkőzés</v>
      </c>
      <c r="I1135" s="157" t="str">
        <f>"2"</f>
        <v>2</v>
      </c>
      <c r="J1135" s="156" t="str">
        <f>"Kerékgyártó Tamás"</f>
        <v>Kerékgyártó Tamás</v>
      </c>
      <c r="K1135" s="156" t="str">
        <f>"Wheelmaker dojo SE"</f>
        <v>Wheelmaker dojo SE</v>
      </c>
      <c r="L1135" s="156" t="str">
        <f t="shared" si="402"/>
        <v>HUN</v>
      </c>
      <c r="M1135" s="163">
        <v>3</v>
      </c>
      <c r="O1135" s="154" t="s">
        <v>248</v>
      </c>
      <c r="P1135" s="159">
        <v>46088</v>
      </c>
      <c r="Q1135" s="154" t="str">
        <f t="shared" si="403"/>
        <v>Kerékgyártó Tamás - Wheelmaker dojo SE</v>
      </c>
      <c r="R1135" s="154" t="s">
        <v>637</v>
      </c>
      <c r="S1135" s="154" t="str">
        <f t="shared" si="404"/>
        <v>Wheelmaker dojo SE</v>
      </c>
      <c r="T1135" s="154" t="s">
        <v>645</v>
      </c>
      <c r="U1135" s="154" t="s">
        <v>796</v>
      </c>
      <c r="V1135" s="154"/>
    </row>
    <row r="1136" spans="1:22" s="158" customFormat="1" x14ac:dyDescent="0.3">
      <c r="A1136" s="153" t="s">
        <v>779</v>
      </c>
      <c r="B1136" s="155">
        <v>2</v>
      </c>
      <c r="C1136" s="154">
        <v>1055</v>
      </c>
      <c r="D1136" s="156" t="str">
        <f t="shared" si="401"/>
        <v>Kumite</v>
      </c>
      <c r="E1136" s="156" t="str">
        <f>"Kumite, U 12/Gyermek II. fiú 40-44,9 kg"</f>
        <v>Kumite, U 12/Gyermek II. fiú 40-44,9 kg</v>
      </c>
      <c r="F1136" s="156" t="s">
        <v>521</v>
      </c>
      <c r="G1136" s="157" t="str">
        <f>"3"</f>
        <v>3</v>
      </c>
      <c r="H1136" s="156" t="str">
        <f>"3 fős körmérkőzés"</f>
        <v>3 fős körmérkőzés</v>
      </c>
      <c r="I1136" s="157" t="str">
        <f>"3"</f>
        <v>3</v>
      </c>
      <c r="J1136" s="156" t="str">
        <f>"Borsi Krisztián"</f>
        <v>Borsi Krisztián</v>
      </c>
      <c r="K1136" s="156" t="str">
        <f>"KHSE"</f>
        <v>KHSE</v>
      </c>
      <c r="L1136" s="156" t="str">
        <f t="shared" si="402"/>
        <v>HUN</v>
      </c>
      <c r="M1136" s="163">
        <v>0</v>
      </c>
      <c r="O1136" s="154" t="s">
        <v>248</v>
      </c>
      <c r="P1136" s="159">
        <v>46088</v>
      </c>
      <c r="Q1136" s="154" t="str">
        <f t="shared" si="403"/>
        <v>Borsi Krisztián - KHSE</v>
      </c>
      <c r="R1136" s="154" t="s">
        <v>636</v>
      </c>
      <c r="S1136" s="154" t="str">
        <f t="shared" si="404"/>
        <v>KHSE</v>
      </c>
      <c r="T1136" s="154" t="s">
        <v>645</v>
      </c>
      <c r="U1136" s="154" t="s">
        <v>796</v>
      </c>
      <c r="V1136" s="154"/>
    </row>
    <row r="1137" spans="1:22" s="158" customFormat="1" x14ac:dyDescent="0.3">
      <c r="A1137" s="153" t="s">
        <v>779</v>
      </c>
      <c r="B1137" s="155">
        <v>2</v>
      </c>
      <c r="C1137" s="154">
        <v>1056</v>
      </c>
      <c r="D1137" s="156" t="str">
        <f t="shared" si="401"/>
        <v>Kumite</v>
      </c>
      <c r="E1137" s="156" t="str">
        <f t="shared" ref="E1137:E1143" si="407">"Kumite, U 12/Gyermek II. fiú 50- kg"</f>
        <v>Kumite, U 12/Gyermek II. fiú 50- kg</v>
      </c>
      <c r="F1137" s="156" t="s">
        <v>783</v>
      </c>
      <c r="G1137" s="157" t="str">
        <f t="shared" ref="G1137:G1143" si="408">"7"</f>
        <v>7</v>
      </c>
      <c r="H1137" s="156" t="str">
        <f t="shared" ref="H1137:H1143" si="409">"8 fős egyenes kiesés"</f>
        <v>8 fős egyenes kiesés</v>
      </c>
      <c r="I1137" s="157" t="str">
        <f>"1"</f>
        <v>1</v>
      </c>
      <c r="J1137" s="156" t="str">
        <f>"Borsi Balázs"</f>
        <v>Borsi Balázs</v>
      </c>
      <c r="K1137" s="156" t="str">
        <f>"KHSE"</f>
        <v>KHSE</v>
      </c>
      <c r="L1137" s="156" t="str">
        <f t="shared" si="402"/>
        <v>HUN</v>
      </c>
      <c r="M1137" s="163">
        <v>6</v>
      </c>
      <c r="O1137" s="154" t="s">
        <v>248</v>
      </c>
      <c r="P1137" s="159">
        <v>46088</v>
      </c>
      <c r="Q1137" s="154" t="str">
        <f t="shared" si="403"/>
        <v>Borsi Balázs - KHSE</v>
      </c>
      <c r="R1137" s="154" t="s">
        <v>636</v>
      </c>
      <c r="S1137" s="154" t="str">
        <f t="shared" si="404"/>
        <v>KHSE</v>
      </c>
      <c r="T1137" s="154" t="s">
        <v>645</v>
      </c>
      <c r="U1137" s="154" t="s">
        <v>796</v>
      </c>
      <c r="V1137" s="154"/>
    </row>
    <row r="1138" spans="1:22" s="158" customFormat="1" x14ac:dyDescent="0.3">
      <c r="A1138" s="153" t="s">
        <v>779</v>
      </c>
      <c r="B1138" s="155">
        <v>2</v>
      </c>
      <c r="C1138" s="154">
        <v>1057</v>
      </c>
      <c r="D1138" s="156" t="str">
        <f t="shared" si="401"/>
        <v>Kumite</v>
      </c>
      <c r="E1138" s="156" t="str">
        <f t="shared" si="407"/>
        <v>Kumite, U 12/Gyermek II. fiú 50- kg</v>
      </c>
      <c r="F1138" s="156" t="s">
        <v>783</v>
      </c>
      <c r="G1138" s="157" t="str">
        <f t="shared" si="408"/>
        <v>7</v>
      </c>
      <c r="H1138" s="156" t="str">
        <f t="shared" si="409"/>
        <v>8 fős egyenes kiesés</v>
      </c>
      <c r="I1138" s="157" t="str">
        <f>"2"</f>
        <v>2</v>
      </c>
      <c r="J1138" s="156" t="str">
        <f>"Kiss Levente"</f>
        <v>Kiss Levente</v>
      </c>
      <c r="K1138" s="156" t="str">
        <f>"Derecske BUDO"</f>
        <v>Derecske BUDO</v>
      </c>
      <c r="L1138" s="156" t="str">
        <f t="shared" si="402"/>
        <v>HUN</v>
      </c>
      <c r="M1138" s="163">
        <v>5</v>
      </c>
      <c r="O1138" s="154" t="s">
        <v>248</v>
      </c>
      <c r="P1138" s="159">
        <v>46088</v>
      </c>
      <c r="Q1138" s="154" t="str">
        <f t="shared" si="403"/>
        <v>Kiss Levente - Derecske BUDO</v>
      </c>
      <c r="R1138" s="154" t="s">
        <v>636</v>
      </c>
      <c r="S1138" s="154" t="str">
        <f t="shared" si="404"/>
        <v>Derecske BUDO</v>
      </c>
      <c r="T1138" s="154" t="s">
        <v>645</v>
      </c>
      <c r="U1138" s="154" t="s">
        <v>796</v>
      </c>
      <c r="V1138" s="154"/>
    </row>
    <row r="1139" spans="1:22" s="158" customFormat="1" x14ac:dyDescent="0.3">
      <c r="A1139" s="153" t="s">
        <v>779</v>
      </c>
      <c r="B1139" s="155">
        <v>2</v>
      </c>
      <c r="C1139" s="154">
        <v>1058</v>
      </c>
      <c r="D1139" s="156" t="str">
        <f t="shared" si="401"/>
        <v>Kumite</v>
      </c>
      <c r="E1139" s="156" t="str">
        <f t="shared" si="407"/>
        <v>Kumite, U 12/Gyermek II. fiú 50- kg</v>
      </c>
      <c r="F1139" s="156" t="s">
        <v>783</v>
      </c>
      <c r="G1139" s="157" t="str">
        <f t="shared" si="408"/>
        <v>7</v>
      </c>
      <c r="H1139" s="156" t="str">
        <f t="shared" si="409"/>
        <v>8 fős egyenes kiesés</v>
      </c>
      <c r="I1139" s="157" t="str">
        <f>"3"</f>
        <v>3</v>
      </c>
      <c r="J1139" s="156" t="str">
        <f>"Kiss István"</f>
        <v>Kiss István</v>
      </c>
      <c r="K1139" s="156" t="str">
        <f>"Derecske BUDO"</f>
        <v>Derecske BUDO</v>
      </c>
      <c r="L1139" s="156" t="str">
        <f t="shared" si="402"/>
        <v>HUN</v>
      </c>
      <c r="M1139" s="163">
        <v>3</v>
      </c>
      <c r="O1139" s="154" t="s">
        <v>248</v>
      </c>
      <c r="P1139" s="159">
        <v>46088</v>
      </c>
      <c r="Q1139" s="154" t="str">
        <f t="shared" si="403"/>
        <v>Kiss István - Derecske BUDO</v>
      </c>
      <c r="R1139" s="154" t="s">
        <v>636</v>
      </c>
      <c r="S1139" s="154" t="str">
        <f t="shared" si="404"/>
        <v>Derecske BUDO</v>
      </c>
      <c r="T1139" s="154" t="s">
        <v>645</v>
      </c>
      <c r="U1139" s="154" t="s">
        <v>796</v>
      </c>
      <c r="V1139" s="154"/>
    </row>
    <row r="1140" spans="1:22" s="158" customFormat="1" x14ac:dyDescent="0.3">
      <c r="A1140" s="153" t="s">
        <v>779</v>
      </c>
      <c r="B1140" s="155">
        <v>2</v>
      </c>
      <c r="C1140" s="154">
        <v>1059</v>
      </c>
      <c r="D1140" s="156" t="str">
        <f t="shared" si="401"/>
        <v>Kumite</v>
      </c>
      <c r="E1140" s="156" t="str">
        <f t="shared" si="407"/>
        <v>Kumite, U 12/Gyermek II. fiú 50- kg</v>
      </c>
      <c r="F1140" s="156" t="s">
        <v>783</v>
      </c>
      <c r="G1140" s="157" t="str">
        <f t="shared" si="408"/>
        <v>7</v>
      </c>
      <c r="H1140" s="156" t="str">
        <f t="shared" si="409"/>
        <v>8 fős egyenes kiesés</v>
      </c>
      <c r="I1140" s="157" t="str">
        <f>"3"</f>
        <v>3</v>
      </c>
      <c r="J1140" s="156" t="str">
        <f>"Némethy Balázs"</f>
        <v>Némethy Balázs</v>
      </c>
      <c r="K1140" s="156" t="str">
        <f>"Shogun"</f>
        <v>Shogun</v>
      </c>
      <c r="L1140" s="156" t="str">
        <f t="shared" si="402"/>
        <v>HUN</v>
      </c>
      <c r="M1140" s="163">
        <v>3</v>
      </c>
      <c r="O1140" s="154" t="s">
        <v>248</v>
      </c>
      <c r="P1140" s="159">
        <v>46088</v>
      </c>
      <c r="Q1140" s="154" t="str">
        <f t="shared" si="403"/>
        <v>Némethy Balázs - Shogun</v>
      </c>
      <c r="R1140" s="154" t="s">
        <v>636</v>
      </c>
      <c r="S1140" s="154" t="str">
        <f t="shared" si="404"/>
        <v>Shogun</v>
      </c>
      <c r="T1140" s="154" t="s">
        <v>645</v>
      </c>
      <c r="U1140" s="154" t="s">
        <v>796</v>
      </c>
      <c r="V1140" s="154"/>
    </row>
    <row r="1141" spans="1:22" s="158" customFormat="1" x14ac:dyDescent="0.3">
      <c r="A1141" s="153" t="s">
        <v>779</v>
      </c>
      <c r="B1141" s="155">
        <v>2</v>
      </c>
      <c r="C1141" s="154">
        <v>1060</v>
      </c>
      <c r="D1141" s="156" t="str">
        <f t="shared" si="401"/>
        <v>Kumite</v>
      </c>
      <c r="E1141" s="156" t="str">
        <f t="shared" si="407"/>
        <v>Kumite, U 12/Gyermek II. fiú 50- kg</v>
      </c>
      <c r="F1141" s="156" t="s">
        <v>783</v>
      </c>
      <c r="G1141" s="157" t="str">
        <f t="shared" si="408"/>
        <v>7</v>
      </c>
      <c r="H1141" s="156" t="str">
        <f t="shared" si="409"/>
        <v>8 fős egyenes kiesés</v>
      </c>
      <c r="I1141" s="157" t="str">
        <f>"5"</f>
        <v>5</v>
      </c>
      <c r="J1141" s="156" t="str">
        <f>"Bervanger Bálint"</f>
        <v>Bervanger Bálint</v>
      </c>
      <c r="K1141" s="156" t="str">
        <f>"Shogun"</f>
        <v>Shogun</v>
      </c>
      <c r="L1141" s="156" t="str">
        <f t="shared" si="402"/>
        <v>HUN</v>
      </c>
      <c r="M1141" s="163">
        <v>0</v>
      </c>
      <c r="O1141" s="154" t="s">
        <v>248</v>
      </c>
      <c r="P1141" s="159">
        <v>46088</v>
      </c>
      <c r="Q1141" s="154" t="str">
        <f t="shared" si="403"/>
        <v>Bervanger Bálint - Shogun</v>
      </c>
      <c r="R1141" s="154" t="s">
        <v>636</v>
      </c>
      <c r="S1141" s="154" t="str">
        <f t="shared" si="404"/>
        <v>Shogun</v>
      </c>
      <c r="T1141" s="154" t="s">
        <v>645</v>
      </c>
      <c r="U1141" s="154" t="s">
        <v>796</v>
      </c>
      <c r="V1141" s="154"/>
    </row>
    <row r="1142" spans="1:22" s="158" customFormat="1" x14ac:dyDescent="0.3">
      <c r="A1142" s="153" t="s">
        <v>779</v>
      </c>
      <c r="B1142" s="155">
        <v>2</v>
      </c>
      <c r="C1142" s="154">
        <v>1061</v>
      </c>
      <c r="D1142" s="156" t="str">
        <f t="shared" si="401"/>
        <v>Kumite</v>
      </c>
      <c r="E1142" s="156" t="str">
        <f t="shared" si="407"/>
        <v>Kumite, U 12/Gyermek II. fiú 50- kg</v>
      </c>
      <c r="F1142" s="156" t="s">
        <v>783</v>
      </c>
      <c r="G1142" s="157" t="str">
        <f t="shared" si="408"/>
        <v>7</v>
      </c>
      <c r="H1142" s="156" t="str">
        <f t="shared" si="409"/>
        <v>8 fős egyenes kiesés</v>
      </c>
      <c r="I1142" s="157" t="str">
        <f>"7-8"</f>
        <v>7-8</v>
      </c>
      <c r="J1142" s="156" t="str">
        <f>"Vágó Ákos"</f>
        <v>Vágó Ákos</v>
      </c>
      <c r="K1142" s="156" t="str">
        <f>"KHSE"</f>
        <v>KHSE</v>
      </c>
      <c r="L1142" s="156" t="str">
        <f t="shared" si="402"/>
        <v>HUN</v>
      </c>
      <c r="M1142" s="163">
        <v>0</v>
      </c>
      <c r="O1142" s="154" t="s">
        <v>248</v>
      </c>
      <c r="P1142" s="159">
        <v>46088</v>
      </c>
      <c r="Q1142" s="154" t="str">
        <f t="shared" si="403"/>
        <v>Vágó Ákos - KHSE</v>
      </c>
      <c r="R1142" s="154" t="s">
        <v>636</v>
      </c>
      <c r="S1142" s="154" t="str">
        <f t="shared" si="404"/>
        <v>KHSE</v>
      </c>
      <c r="T1142" s="154" t="s">
        <v>645</v>
      </c>
      <c r="U1142" s="154" t="s">
        <v>796</v>
      </c>
      <c r="V1142" s="154"/>
    </row>
    <row r="1143" spans="1:22" s="158" customFormat="1" x14ac:dyDescent="0.3">
      <c r="A1143" s="153" t="s">
        <v>779</v>
      </c>
      <c r="B1143" s="155">
        <v>2</v>
      </c>
      <c r="C1143" s="154">
        <v>1062</v>
      </c>
      <c r="D1143" s="156" t="str">
        <f t="shared" si="401"/>
        <v>Kumite</v>
      </c>
      <c r="E1143" s="156" t="str">
        <f t="shared" si="407"/>
        <v>Kumite, U 12/Gyermek II. fiú 50- kg</v>
      </c>
      <c r="F1143" s="156" t="s">
        <v>783</v>
      </c>
      <c r="G1143" s="157" t="str">
        <f t="shared" si="408"/>
        <v>7</v>
      </c>
      <c r="H1143" s="156" t="str">
        <f t="shared" si="409"/>
        <v>8 fős egyenes kiesés</v>
      </c>
      <c r="I1143" s="157" t="str">
        <f>"7-8"</f>
        <v>7-8</v>
      </c>
      <c r="J1143" s="156" t="str">
        <f>"Gyuricska Benedek"</f>
        <v>Gyuricska Benedek</v>
      </c>
      <c r="K1143" s="156" t="str">
        <f>"Shogun"</f>
        <v>Shogun</v>
      </c>
      <c r="L1143" s="156" t="str">
        <f t="shared" si="402"/>
        <v>HUN</v>
      </c>
      <c r="M1143" s="163">
        <v>0</v>
      </c>
      <c r="O1143" s="154" t="s">
        <v>248</v>
      </c>
      <c r="P1143" s="159">
        <v>46088</v>
      </c>
      <c r="Q1143" s="154" t="str">
        <f t="shared" si="403"/>
        <v>Gyuricska Benedek - Shogun</v>
      </c>
      <c r="R1143" s="154" t="s">
        <v>636</v>
      </c>
      <c r="S1143" s="154" t="str">
        <f t="shared" si="404"/>
        <v>Shogun</v>
      </c>
      <c r="T1143" s="154" t="s">
        <v>645</v>
      </c>
      <c r="U1143" s="154" t="s">
        <v>796</v>
      </c>
      <c r="V1143" s="154"/>
    </row>
    <row r="1144" spans="1:22" s="158" customFormat="1" x14ac:dyDescent="0.3">
      <c r="A1144" s="153" t="s">
        <v>779</v>
      </c>
      <c r="B1144" s="155">
        <v>2</v>
      </c>
      <c r="C1144" s="154">
        <v>1063</v>
      </c>
      <c r="D1144" s="156" t="str">
        <f t="shared" si="401"/>
        <v>Kumite</v>
      </c>
      <c r="E1144" s="156" t="str">
        <f>"Kumite, U 12/Gyermek II. lány 0-34,9 kg"</f>
        <v>Kumite, U 12/Gyermek II. lány 0-34,9 kg</v>
      </c>
      <c r="F1144" s="156" t="s">
        <v>517</v>
      </c>
      <c r="G1144" s="157" t="str">
        <f>"2"</f>
        <v>2</v>
      </c>
      <c r="H1144" s="156" t="str">
        <f>"2 fős egyenes kiesés"</f>
        <v>2 fős egyenes kiesés</v>
      </c>
      <c r="I1144" s="157" t="str">
        <f>"1"</f>
        <v>1</v>
      </c>
      <c r="J1144" s="156" t="str">
        <f>"Fürjesi Eszter"</f>
        <v>Fürjesi Eszter</v>
      </c>
      <c r="K1144" s="156" t="str">
        <f>"Shogun"</f>
        <v>Shogun</v>
      </c>
      <c r="L1144" s="156" t="str">
        <f t="shared" si="402"/>
        <v>HUN</v>
      </c>
      <c r="M1144" s="163">
        <v>3</v>
      </c>
      <c r="O1144" s="154" t="s">
        <v>248</v>
      </c>
      <c r="P1144" s="159">
        <v>46088</v>
      </c>
      <c r="Q1144" s="154" t="str">
        <f t="shared" si="403"/>
        <v>Fürjesi Eszter - Shogun</v>
      </c>
      <c r="R1144" s="154" t="s">
        <v>636</v>
      </c>
      <c r="S1144" s="154" t="str">
        <f t="shared" si="404"/>
        <v>Shogun</v>
      </c>
      <c r="T1144" s="154" t="s">
        <v>645</v>
      </c>
      <c r="U1144" s="154" t="s">
        <v>796</v>
      </c>
      <c r="V1144" s="154"/>
    </row>
    <row r="1145" spans="1:22" s="158" customFormat="1" x14ac:dyDescent="0.3">
      <c r="A1145" s="153" t="s">
        <v>779</v>
      </c>
      <c r="B1145" s="155">
        <v>2</v>
      </c>
      <c r="C1145" s="154">
        <v>1064</v>
      </c>
      <c r="D1145" s="156" t="str">
        <f t="shared" si="401"/>
        <v>Kumite</v>
      </c>
      <c r="E1145" s="156" t="str">
        <f>"Kumite, U 12/Gyermek II. lány 0-34,9 kg"</f>
        <v>Kumite, U 12/Gyermek II. lány 0-34,9 kg</v>
      </c>
      <c r="F1145" s="156" t="s">
        <v>517</v>
      </c>
      <c r="G1145" s="157" t="str">
        <f>"2"</f>
        <v>2</v>
      </c>
      <c r="H1145" s="156" t="str">
        <f>"2 fős egyenes kiesés"</f>
        <v>2 fős egyenes kiesés</v>
      </c>
      <c r="I1145" s="157" t="str">
        <f>"2"</f>
        <v>2</v>
      </c>
      <c r="J1145" s="156" t="str">
        <f>"Huszár Hanna"</f>
        <v>Huszár Hanna</v>
      </c>
      <c r="K1145" s="156" t="str">
        <f>"Kemecse SE"</f>
        <v>Kemecse SE</v>
      </c>
      <c r="L1145" s="156" t="str">
        <f t="shared" si="402"/>
        <v>HUN</v>
      </c>
      <c r="M1145" s="163">
        <v>0</v>
      </c>
      <c r="O1145" s="154" t="s">
        <v>248</v>
      </c>
      <c r="P1145" s="159">
        <v>46088</v>
      </c>
      <c r="Q1145" s="154" t="str">
        <f t="shared" si="403"/>
        <v>Huszár Hanna - Kemecse SE</v>
      </c>
      <c r="R1145" s="154" t="s">
        <v>636</v>
      </c>
      <c r="S1145" s="154" t="str">
        <f t="shared" si="404"/>
        <v>Kemecse SE</v>
      </c>
      <c r="T1145" s="154" t="s">
        <v>645</v>
      </c>
      <c r="U1145" s="154" t="s">
        <v>796</v>
      </c>
      <c r="V1145" s="154"/>
    </row>
    <row r="1146" spans="1:22" s="158" customFormat="1" x14ac:dyDescent="0.3">
      <c r="A1146" s="153" t="s">
        <v>779</v>
      </c>
      <c r="B1146" s="155">
        <v>2</v>
      </c>
      <c r="C1146" s="154">
        <v>1065</v>
      </c>
      <c r="D1146" s="156" t="str">
        <f t="shared" si="401"/>
        <v>Kumite</v>
      </c>
      <c r="E1146" s="156" t="str">
        <f>"Kumite, U 12/Gyermek II. lány 45- kg"</f>
        <v>Kumite, U 12/Gyermek II. lány 45- kg</v>
      </c>
      <c r="F1146" s="156" t="s">
        <v>528</v>
      </c>
      <c r="G1146" s="157" t="str">
        <f>"2"</f>
        <v>2</v>
      </c>
      <c r="H1146" s="156" t="str">
        <f>"2 fős egyenes kiesés"</f>
        <v>2 fős egyenes kiesés</v>
      </c>
      <c r="I1146" s="157" t="str">
        <f>"1"</f>
        <v>1</v>
      </c>
      <c r="J1146" s="156" t="str">
        <f>"Matkó Gréta"</f>
        <v>Matkó Gréta</v>
      </c>
      <c r="K1146" s="156" t="str">
        <f>"KHSE"</f>
        <v>KHSE</v>
      </c>
      <c r="L1146" s="156" t="str">
        <f t="shared" si="402"/>
        <v>HUN</v>
      </c>
      <c r="M1146" s="163">
        <v>3</v>
      </c>
      <c r="O1146" s="154" t="s">
        <v>248</v>
      </c>
      <c r="P1146" s="159">
        <v>46088</v>
      </c>
      <c r="Q1146" s="154" t="str">
        <f t="shared" si="403"/>
        <v>Matkó Gréta - KHSE</v>
      </c>
      <c r="R1146" s="154" t="s">
        <v>636</v>
      </c>
      <c r="S1146" s="154" t="str">
        <f t="shared" si="404"/>
        <v>KHSE</v>
      </c>
      <c r="T1146" s="154" t="s">
        <v>645</v>
      </c>
      <c r="U1146" s="154" t="s">
        <v>796</v>
      </c>
      <c r="V1146" s="154"/>
    </row>
    <row r="1147" spans="1:22" s="158" customFormat="1" x14ac:dyDescent="0.3">
      <c r="A1147" s="153" t="s">
        <v>779</v>
      </c>
      <c r="B1147" s="155">
        <v>2</v>
      </c>
      <c r="C1147" s="154">
        <v>1066</v>
      </c>
      <c r="D1147" s="156" t="str">
        <f t="shared" si="401"/>
        <v>Kumite</v>
      </c>
      <c r="E1147" s="156" t="str">
        <f>"Kumite, U 12/Gyermek II. lány 45- kg"</f>
        <v>Kumite, U 12/Gyermek II. lány 45- kg</v>
      </c>
      <c r="F1147" s="156" t="s">
        <v>528</v>
      </c>
      <c r="G1147" s="157" t="str">
        <f>"2"</f>
        <v>2</v>
      </c>
      <c r="H1147" s="156" t="str">
        <f>"2 fős egyenes kiesés"</f>
        <v>2 fős egyenes kiesés</v>
      </c>
      <c r="I1147" s="157" t="str">
        <f>"2"</f>
        <v>2</v>
      </c>
      <c r="J1147" s="156" t="str">
        <f>"Dászkál Dorottya"</f>
        <v>Dászkál Dorottya</v>
      </c>
      <c r="K1147" s="156" t="str">
        <f>"Shogun"</f>
        <v>Shogun</v>
      </c>
      <c r="L1147" s="156" t="str">
        <f t="shared" si="402"/>
        <v>HUN</v>
      </c>
      <c r="M1147" s="163">
        <v>0</v>
      </c>
      <c r="O1147" s="154" t="s">
        <v>248</v>
      </c>
      <c r="P1147" s="159">
        <v>46088</v>
      </c>
      <c r="Q1147" s="154" t="str">
        <f t="shared" si="403"/>
        <v>Dászkál Dorottya - Shogun</v>
      </c>
      <c r="R1147" s="154" t="s">
        <v>636</v>
      </c>
      <c r="S1147" s="154" t="str">
        <f t="shared" si="404"/>
        <v>Shogun</v>
      </c>
      <c r="T1147" s="154" t="s">
        <v>645</v>
      </c>
      <c r="U1147" s="154" t="s">
        <v>796</v>
      </c>
      <c r="V1147" s="154"/>
    </row>
    <row r="1148" spans="1:22" s="158" customFormat="1" x14ac:dyDescent="0.3">
      <c r="A1148" s="153" t="s">
        <v>779</v>
      </c>
      <c r="B1148" s="155">
        <v>2</v>
      </c>
      <c r="C1148" s="154">
        <v>1067</v>
      </c>
      <c r="D1148" s="156" t="str">
        <f t="shared" si="401"/>
        <v>Kumite</v>
      </c>
      <c r="E1148" s="156" t="str">
        <f>"Kumite, U 14/Serdülő fiú 0-44,9 kg"</f>
        <v>Kumite, U 14/Serdülő fiú 0-44,9 kg</v>
      </c>
      <c r="F1148" s="156" t="s">
        <v>530</v>
      </c>
      <c r="G1148" s="157" t="str">
        <f>"3"</f>
        <v>3</v>
      </c>
      <c r="H1148" s="156" t="str">
        <f>"3 fős körmérkőzés"</f>
        <v>3 fős körmérkőzés</v>
      </c>
      <c r="I1148" s="157" t="str">
        <f>"1"</f>
        <v>1</v>
      </c>
      <c r="J1148" s="156" t="str">
        <f>"Székely Lázár"</f>
        <v>Székely Lázár</v>
      </c>
      <c r="K1148" s="156" t="str">
        <f>"KYO Fighter SE"</f>
        <v>KYO Fighter SE</v>
      </c>
      <c r="L1148" s="156" t="str">
        <f t="shared" si="402"/>
        <v>HUN</v>
      </c>
      <c r="M1148" s="163">
        <v>4</v>
      </c>
      <c r="O1148" s="154" t="s">
        <v>248</v>
      </c>
      <c r="P1148" s="159">
        <v>46088</v>
      </c>
      <c r="Q1148" s="154" t="str">
        <f t="shared" si="403"/>
        <v>Székely Lázár - KYO Fighter SE</v>
      </c>
      <c r="R1148" s="154" t="s">
        <v>636</v>
      </c>
      <c r="S1148" s="154" t="str">
        <f t="shared" si="404"/>
        <v>KYO Fighter SE</v>
      </c>
      <c r="T1148" s="154" t="s">
        <v>645</v>
      </c>
      <c r="U1148" s="154" t="s">
        <v>797</v>
      </c>
      <c r="V1148" s="154"/>
    </row>
    <row r="1149" spans="1:22" s="158" customFormat="1" x14ac:dyDescent="0.3">
      <c r="A1149" s="153" t="s">
        <v>779</v>
      </c>
      <c r="B1149" s="155">
        <v>2</v>
      </c>
      <c r="C1149" s="154">
        <v>1068</v>
      </c>
      <c r="D1149" s="156" t="str">
        <f t="shared" si="401"/>
        <v>Kumite</v>
      </c>
      <c r="E1149" s="156" t="str">
        <f>"Kumite, U 14/Serdülő fiú 0-44,9 kg"</f>
        <v>Kumite, U 14/Serdülő fiú 0-44,9 kg</v>
      </c>
      <c r="F1149" s="156" t="s">
        <v>530</v>
      </c>
      <c r="G1149" s="157" t="str">
        <f>"3"</f>
        <v>3</v>
      </c>
      <c r="H1149" s="156" t="str">
        <f>"3 fős körmérkőzés"</f>
        <v>3 fős körmérkőzés</v>
      </c>
      <c r="I1149" s="157" t="str">
        <f>"2"</f>
        <v>2</v>
      </c>
      <c r="J1149" s="156" t="str">
        <f>"Palmer Ádám"</f>
        <v>Palmer Ádám</v>
      </c>
      <c r="K1149" s="156" t="str">
        <f>"Wheelmaker dojo SE"</f>
        <v>Wheelmaker dojo SE</v>
      </c>
      <c r="L1149" s="156" t="str">
        <f t="shared" si="402"/>
        <v>HUN</v>
      </c>
      <c r="M1149" s="163">
        <v>3</v>
      </c>
      <c r="O1149" s="154" t="s">
        <v>248</v>
      </c>
      <c r="P1149" s="159">
        <v>46088</v>
      </c>
      <c r="Q1149" s="154" t="str">
        <f t="shared" si="403"/>
        <v>Palmer Ádám - Wheelmaker dojo SE</v>
      </c>
      <c r="R1149" s="154" t="s">
        <v>637</v>
      </c>
      <c r="S1149" s="154" t="str">
        <f t="shared" si="404"/>
        <v>Wheelmaker dojo SE</v>
      </c>
      <c r="T1149" s="154" t="s">
        <v>645</v>
      </c>
      <c r="U1149" s="154" t="s">
        <v>797</v>
      </c>
      <c r="V1149" s="154"/>
    </row>
    <row r="1150" spans="1:22" s="158" customFormat="1" x14ac:dyDescent="0.3">
      <c r="A1150" s="153" t="s">
        <v>779</v>
      </c>
      <c r="B1150" s="155">
        <v>2</v>
      </c>
      <c r="C1150" s="154">
        <v>1069</v>
      </c>
      <c r="D1150" s="156" t="str">
        <f t="shared" si="401"/>
        <v>Kumite</v>
      </c>
      <c r="E1150" s="156" t="str">
        <f>"Kumite, U 14/Serdülő fiú 0-44,9 kg"</f>
        <v>Kumite, U 14/Serdülő fiú 0-44,9 kg</v>
      </c>
      <c r="F1150" s="156" t="s">
        <v>530</v>
      </c>
      <c r="G1150" s="157" t="str">
        <f>"3"</f>
        <v>3</v>
      </c>
      <c r="H1150" s="156" t="str">
        <f>"3 fős körmérkőzés"</f>
        <v>3 fős körmérkőzés</v>
      </c>
      <c r="I1150" s="157" t="str">
        <f>"3"</f>
        <v>3</v>
      </c>
      <c r="J1150" s="156" t="str">
        <f>"Bara András"</f>
        <v>Bara András</v>
      </c>
      <c r="K1150" s="156" t="str">
        <f>"Wheelmaker dojo SE"</f>
        <v>Wheelmaker dojo SE</v>
      </c>
      <c r="L1150" s="156" t="str">
        <f t="shared" si="402"/>
        <v>HUN</v>
      </c>
      <c r="M1150" s="163">
        <v>0</v>
      </c>
      <c r="O1150" s="154" t="s">
        <v>248</v>
      </c>
      <c r="P1150" s="159">
        <v>46088</v>
      </c>
      <c r="Q1150" s="154" t="str">
        <f t="shared" si="403"/>
        <v>Bara András - Wheelmaker dojo SE</v>
      </c>
      <c r="R1150" s="154" t="s">
        <v>637</v>
      </c>
      <c r="S1150" s="154" t="str">
        <f t="shared" si="404"/>
        <v>Wheelmaker dojo SE</v>
      </c>
      <c r="T1150" s="154" t="s">
        <v>645</v>
      </c>
      <c r="U1150" s="154" t="s">
        <v>797</v>
      </c>
      <c r="V1150" s="154"/>
    </row>
    <row r="1151" spans="1:22" s="158" customFormat="1" x14ac:dyDescent="0.3">
      <c r="A1151" s="153" t="s">
        <v>779</v>
      </c>
      <c r="B1151" s="155">
        <v>2</v>
      </c>
      <c r="C1151" s="154">
        <v>1070</v>
      </c>
      <c r="D1151" s="156" t="str">
        <f t="shared" si="401"/>
        <v>Kumite</v>
      </c>
      <c r="E1151" s="156" t="str">
        <f>"Kumite, U 14/Serdülő fiú 45-54,9 kg"</f>
        <v>Kumite, U 14/Serdülő fiú 45-54,9 kg</v>
      </c>
      <c r="F1151" s="156" t="s">
        <v>534</v>
      </c>
      <c r="G1151" s="157" t="str">
        <f>"4"</f>
        <v>4</v>
      </c>
      <c r="H1151" s="156" t="str">
        <f>"4 fős körmérkőzés"</f>
        <v>4 fős körmérkőzés</v>
      </c>
      <c r="I1151" s="157" t="str">
        <f>"1"</f>
        <v>1</v>
      </c>
      <c r="J1151" s="156" t="str">
        <f>"Vékony Márk"</f>
        <v>Vékony Márk</v>
      </c>
      <c r="K1151" s="156" t="str">
        <f>"Wheelmaker dojo SE"</f>
        <v>Wheelmaker dojo SE</v>
      </c>
      <c r="L1151" s="156" t="str">
        <f t="shared" si="402"/>
        <v>HUN</v>
      </c>
      <c r="M1151" s="163">
        <v>6</v>
      </c>
      <c r="O1151" s="154" t="s">
        <v>248</v>
      </c>
      <c r="P1151" s="159">
        <v>46088</v>
      </c>
      <c r="Q1151" s="154" t="str">
        <f t="shared" si="403"/>
        <v>Vékony Márk - Wheelmaker dojo SE</v>
      </c>
      <c r="R1151" s="154" t="s">
        <v>637</v>
      </c>
      <c r="S1151" s="154" t="str">
        <f t="shared" si="404"/>
        <v>Wheelmaker dojo SE</v>
      </c>
      <c r="T1151" s="154" t="s">
        <v>645</v>
      </c>
      <c r="U1151" s="154" t="s">
        <v>797</v>
      </c>
      <c r="V1151" s="154"/>
    </row>
    <row r="1152" spans="1:22" s="158" customFormat="1" x14ac:dyDescent="0.3">
      <c r="A1152" s="153" t="s">
        <v>779</v>
      </c>
      <c r="B1152" s="155">
        <v>2</v>
      </c>
      <c r="C1152" s="154">
        <v>1071</v>
      </c>
      <c r="D1152" s="156" t="str">
        <f t="shared" si="401"/>
        <v>Kumite</v>
      </c>
      <c r="E1152" s="156" t="str">
        <f>"Kumite, U 14/Serdülő fiú 45-54,9 kg"</f>
        <v>Kumite, U 14/Serdülő fiú 45-54,9 kg</v>
      </c>
      <c r="F1152" s="156" t="s">
        <v>534</v>
      </c>
      <c r="G1152" s="157" t="str">
        <f>"4"</f>
        <v>4</v>
      </c>
      <c r="H1152" s="156" t="str">
        <f>"4 fős körmérkőzés"</f>
        <v>4 fős körmérkőzés</v>
      </c>
      <c r="I1152" s="157" t="str">
        <f>"2"</f>
        <v>2</v>
      </c>
      <c r="J1152" s="156" t="str">
        <f>"Simao Roberto"</f>
        <v>Simao Roberto</v>
      </c>
      <c r="K1152" s="156" t="str">
        <f>"Délegyházi Karate SE"</f>
        <v>Délegyházi Karate SE</v>
      </c>
      <c r="L1152" s="156" t="str">
        <f t="shared" si="402"/>
        <v>HUN</v>
      </c>
      <c r="M1152" s="163">
        <v>5</v>
      </c>
      <c r="O1152" s="154" t="s">
        <v>248</v>
      </c>
      <c r="P1152" s="159">
        <v>46088</v>
      </c>
      <c r="Q1152" s="154" t="str">
        <f t="shared" si="403"/>
        <v>Simao Roberto - Délegyházi Karate SE</v>
      </c>
      <c r="R1152" s="154" t="s">
        <v>637</v>
      </c>
      <c r="S1152" s="154" t="str">
        <f t="shared" si="404"/>
        <v>Délegyházi Karate SE</v>
      </c>
      <c r="T1152" s="154" t="s">
        <v>645</v>
      </c>
      <c r="U1152" s="154" t="s">
        <v>797</v>
      </c>
      <c r="V1152" s="154"/>
    </row>
    <row r="1153" spans="1:22" s="158" customFormat="1" x14ac:dyDescent="0.3">
      <c r="A1153" s="153" t="s">
        <v>779</v>
      </c>
      <c r="B1153" s="155">
        <v>2</v>
      </c>
      <c r="C1153" s="154">
        <v>1072</v>
      </c>
      <c r="D1153" s="156" t="str">
        <f t="shared" si="401"/>
        <v>Kumite</v>
      </c>
      <c r="E1153" s="156" t="str">
        <f>"Kumite, U 14/Serdülő fiú 45-54,9 kg"</f>
        <v>Kumite, U 14/Serdülő fiú 45-54,9 kg</v>
      </c>
      <c r="F1153" s="156" t="s">
        <v>534</v>
      </c>
      <c r="G1153" s="157" t="str">
        <f>"4"</f>
        <v>4</v>
      </c>
      <c r="H1153" s="156" t="str">
        <f>"4 fős körmérkőzés"</f>
        <v>4 fős körmérkőzés</v>
      </c>
      <c r="I1153" s="157" t="str">
        <f>"3"</f>
        <v>3</v>
      </c>
      <c r="J1153" s="156" t="str">
        <f>"Kollár Gergő"</f>
        <v>Kollár Gergő</v>
      </c>
      <c r="K1153" s="156" t="str">
        <f>"TADASHII "</f>
        <v xml:space="preserve">TADASHII </v>
      </c>
      <c r="L1153" s="156" t="str">
        <f t="shared" si="402"/>
        <v>HUN</v>
      </c>
      <c r="M1153" s="163">
        <v>3</v>
      </c>
      <c r="O1153" s="154" t="s">
        <v>248</v>
      </c>
      <c r="P1153" s="159">
        <v>46088</v>
      </c>
      <c r="Q1153" s="154" t="str">
        <f t="shared" si="403"/>
        <v xml:space="preserve">Kollár Gergő - TADASHII </v>
      </c>
      <c r="R1153" s="154" t="s">
        <v>637</v>
      </c>
      <c r="S1153" s="154" t="str">
        <f t="shared" si="404"/>
        <v xml:space="preserve">TADASHII </v>
      </c>
      <c r="T1153" s="154" t="s">
        <v>645</v>
      </c>
      <c r="U1153" s="154" t="s">
        <v>797</v>
      </c>
      <c r="V1153" s="154"/>
    </row>
    <row r="1154" spans="1:22" s="158" customFormat="1" x14ac:dyDescent="0.3">
      <c r="A1154" s="153" t="s">
        <v>779</v>
      </c>
      <c r="B1154" s="155">
        <v>2</v>
      </c>
      <c r="C1154" s="154">
        <v>1073</v>
      </c>
      <c r="D1154" s="156" t="str">
        <f t="shared" si="401"/>
        <v>Kumite</v>
      </c>
      <c r="E1154" s="156" t="str">
        <f>"Kumite, U 14/Serdülő fiú 55-64,9 kg"</f>
        <v>Kumite, U 14/Serdülő fiú 55-64,9 kg</v>
      </c>
      <c r="F1154" s="156" t="s">
        <v>784</v>
      </c>
      <c r="G1154" s="157" t="str">
        <f t="shared" ref="G1154:G1159" si="410">"2"</f>
        <v>2</v>
      </c>
      <c r="H1154" s="156" t="str">
        <f t="shared" ref="H1154:H1159" si="411">"2 fős egyenes kiesés"</f>
        <v>2 fős egyenes kiesés</v>
      </c>
      <c r="I1154" s="157" t="str">
        <f>"1"</f>
        <v>1</v>
      </c>
      <c r="J1154" s="156" t="str">
        <f>"Száraz Zsombor"</f>
        <v>Száraz Zsombor</v>
      </c>
      <c r="K1154" s="156" t="str">
        <f>"Derecske BUDO"</f>
        <v>Derecske BUDO</v>
      </c>
      <c r="L1154" s="156" t="str">
        <f t="shared" si="402"/>
        <v>HUN</v>
      </c>
      <c r="M1154" s="163">
        <v>3</v>
      </c>
      <c r="O1154" s="154" t="s">
        <v>248</v>
      </c>
      <c r="P1154" s="159">
        <v>46088</v>
      </c>
      <c r="Q1154" s="154" t="str">
        <f t="shared" si="403"/>
        <v>Száraz Zsombor - Derecske BUDO</v>
      </c>
      <c r="R1154" s="154" t="s">
        <v>636</v>
      </c>
      <c r="S1154" s="154" t="str">
        <f t="shared" si="404"/>
        <v>Derecske BUDO</v>
      </c>
      <c r="T1154" s="154" t="s">
        <v>645</v>
      </c>
      <c r="U1154" s="154" t="s">
        <v>797</v>
      </c>
      <c r="V1154" s="154"/>
    </row>
    <row r="1155" spans="1:22" s="158" customFormat="1" x14ac:dyDescent="0.3">
      <c r="A1155" s="153" t="s">
        <v>779</v>
      </c>
      <c r="B1155" s="155">
        <v>2</v>
      </c>
      <c r="C1155" s="154">
        <v>1074</v>
      </c>
      <c r="D1155" s="156" t="str">
        <f t="shared" si="401"/>
        <v>Kumite</v>
      </c>
      <c r="E1155" s="156" t="str">
        <f>"Kumite, U 14/Serdülő fiú 55-64,9 kg"</f>
        <v>Kumite, U 14/Serdülő fiú 55-64,9 kg</v>
      </c>
      <c r="F1155" s="156" t="s">
        <v>784</v>
      </c>
      <c r="G1155" s="157" t="str">
        <f t="shared" si="410"/>
        <v>2</v>
      </c>
      <c r="H1155" s="156" t="str">
        <f t="shared" si="411"/>
        <v>2 fős egyenes kiesés</v>
      </c>
      <c r="I1155" s="157" t="str">
        <f>"2"</f>
        <v>2</v>
      </c>
      <c r="J1155" s="156" t="str">
        <f>"Tokaji Bocsárd Norbert"</f>
        <v>Tokaji Bocsárd Norbert</v>
      </c>
      <c r="K1155" s="156" t="str">
        <f>"KHSE"</f>
        <v>KHSE</v>
      </c>
      <c r="L1155" s="156" t="str">
        <f t="shared" si="402"/>
        <v>HUN</v>
      </c>
      <c r="M1155" s="163">
        <v>0</v>
      </c>
      <c r="O1155" s="154" t="s">
        <v>248</v>
      </c>
      <c r="P1155" s="159">
        <v>46088</v>
      </c>
      <c r="Q1155" s="154" t="str">
        <f t="shared" si="403"/>
        <v>Tokaji Bocsárd Norbert - KHSE</v>
      </c>
      <c r="R1155" s="154" t="s">
        <v>636</v>
      </c>
      <c r="S1155" s="154" t="str">
        <f t="shared" si="404"/>
        <v>KHSE</v>
      </c>
      <c r="T1155" s="154" t="s">
        <v>645</v>
      </c>
      <c r="U1155" s="154" t="s">
        <v>797</v>
      </c>
      <c r="V1155" s="154"/>
    </row>
    <row r="1156" spans="1:22" s="158" customFormat="1" x14ac:dyDescent="0.3">
      <c r="A1156" s="153" t="s">
        <v>779</v>
      </c>
      <c r="B1156" s="155">
        <v>2</v>
      </c>
      <c r="C1156" s="154">
        <v>1075</v>
      </c>
      <c r="D1156" s="156" t="str">
        <f t="shared" si="401"/>
        <v>Kumite</v>
      </c>
      <c r="E1156" s="156" t="str">
        <f>"Kumite, U 14/Serdülő fiú 65- kg"</f>
        <v>Kumite, U 14/Serdülő fiú 65- kg</v>
      </c>
      <c r="F1156" s="156" t="s">
        <v>785</v>
      </c>
      <c r="G1156" s="157" t="str">
        <f t="shared" si="410"/>
        <v>2</v>
      </c>
      <c r="H1156" s="156" t="str">
        <f t="shared" si="411"/>
        <v>2 fős egyenes kiesés</v>
      </c>
      <c r="I1156" s="157" t="str">
        <f>"1"</f>
        <v>1</v>
      </c>
      <c r="J1156" s="156" t="str">
        <f>"Virág Marcell Máté"</f>
        <v>Virág Marcell Máté</v>
      </c>
      <c r="K1156" s="156" t="str">
        <f>"KHSE"</f>
        <v>KHSE</v>
      </c>
      <c r="L1156" s="156" t="str">
        <f t="shared" si="402"/>
        <v>HUN</v>
      </c>
      <c r="M1156" s="163">
        <v>3</v>
      </c>
      <c r="O1156" s="154" t="s">
        <v>248</v>
      </c>
      <c r="P1156" s="159">
        <v>46088</v>
      </c>
      <c r="Q1156" s="154" t="str">
        <f t="shared" si="403"/>
        <v>Virág Marcell Máté - KHSE</v>
      </c>
      <c r="R1156" s="154" t="s">
        <v>636</v>
      </c>
      <c r="S1156" s="154" t="str">
        <f t="shared" si="404"/>
        <v>KHSE</v>
      </c>
      <c r="T1156" s="154" t="s">
        <v>645</v>
      </c>
      <c r="U1156" s="154" t="s">
        <v>797</v>
      </c>
      <c r="V1156" s="154"/>
    </row>
    <row r="1157" spans="1:22" s="158" customFormat="1" x14ac:dyDescent="0.3">
      <c r="A1157" s="153" t="s">
        <v>779</v>
      </c>
      <c r="B1157" s="155">
        <v>2</v>
      </c>
      <c r="C1157" s="154">
        <v>1076</v>
      </c>
      <c r="D1157" s="156" t="str">
        <f t="shared" si="401"/>
        <v>Kumite</v>
      </c>
      <c r="E1157" s="156" t="str">
        <f>"Kumite, U 14/Serdülő fiú 65- kg"</f>
        <v>Kumite, U 14/Serdülő fiú 65- kg</v>
      </c>
      <c r="F1157" s="156" t="s">
        <v>785</v>
      </c>
      <c r="G1157" s="157" t="str">
        <f t="shared" si="410"/>
        <v>2</v>
      </c>
      <c r="H1157" s="156" t="str">
        <f t="shared" si="411"/>
        <v>2 fős egyenes kiesés</v>
      </c>
      <c r="I1157" s="157" t="str">
        <f>"2"</f>
        <v>2</v>
      </c>
      <c r="J1157" s="156" t="str">
        <f>"Elek János"</f>
        <v>Elek János</v>
      </c>
      <c r="K1157" s="156" t="str">
        <f>"KHSE"</f>
        <v>KHSE</v>
      </c>
      <c r="L1157" s="156" t="str">
        <f t="shared" si="402"/>
        <v>HUN</v>
      </c>
      <c r="M1157" s="163">
        <v>0</v>
      </c>
      <c r="O1157" s="154" t="s">
        <v>248</v>
      </c>
      <c r="P1157" s="159">
        <v>46088</v>
      </c>
      <c r="Q1157" s="154" t="str">
        <f t="shared" si="403"/>
        <v>Elek János - KHSE</v>
      </c>
      <c r="R1157" s="154" t="s">
        <v>636</v>
      </c>
      <c r="S1157" s="154" t="str">
        <f t="shared" si="404"/>
        <v>KHSE</v>
      </c>
      <c r="T1157" s="154" t="s">
        <v>645</v>
      </c>
      <c r="U1157" s="154" t="s">
        <v>797</v>
      </c>
      <c r="V1157" s="154"/>
    </row>
    <row r="1158" spans="1:22" s="158" customFormat="1" x14ac:dyDescent="0.3">
      <c r="A1158" s="153" t="s">
        <v>779</v>
      </c>
      <c r="B1158" s="155">
        <v>2</v>
      </c>
      <c r="C1158" s="154">
        <v>1077</v>
      </c>
      <c r="D1158" s="156" t="str">
        <f t="shared" si="401"/>
        <v>Kumite</v>
      </c>
      <c r="E1158" s="156" t="str">
        <f>"Kumite, U 16/Ifjúsági lány 50-54,9 kg"</f>
        <v>Kumite, U 16/Ifjúsági lány 50-54,9 kg</v>
      </c>
      <c r="F1158" s="156" t="s">
        <v>550</v>
      </c>
      <c r="G1158" s="157" t="str">
        <f t="shared" si="410"/>
        <v>2</v>
      </c>
      <c r="H1158" s="156" t="str">
        <f t="shared" si="411"/>
        <v>2 fős egyenes kiesés</v>
      </c>
      <c r="I1158" s="157" t="str">
        <f>"1"</f>
        <v>1</v>
      </c>
      <c r="J1158" s="156" t="str">
        <f>"Furó Liliána"</f>
        <v>Furó Liliána</v>
      </c>
      <c r="K1158" s="156" t="str">
        <f>"KHSE"</f>
        <v>KHSE</v>
      </c>
      <c r="L1158" s="156" t="str">
        <f t="shared" si="402"/>
        <v>HUN</v>
      </c>
      <c r="M1158" s="163">
        <v>3</v>
      </c>
      <c r="O1158" s="154" t="s">
        <v>248</v>
      </c>
      <c r="P1158" s="159">
        <v>46088</v>
      </c>
      <c r="Q1158" s="154" t="str">
        <f t="shared" si="403"/>
        <v>Furó Liliána - KHSE</v>
      </c>
      <c r="R1158" s="154" t="s">
        <v>636</v>
      </c>
      <c r="S1158" s="154" t="str">
        <f t="shared" si="404"/>
        <v>KHSE</v>
      </c>
      <c r="T1158" s="154" t="s">
        <v>645</v>
      </c>
      <c r="U1158" s="154" t="s">
        <v>798</v>
      </c>
      <c r="V1158" s="154"/>
    </row>
    <row r="1159" spans="1:22" s="158" customFormat="1" x14ac:dyDescent="0.3">
      <c r="A1159" s="153" t="s">
        <v>779</v>
      </c>
      <c r="B1159" s="155">
        <v>2</v>
      </c>
      <c r="C1159" s="154">
        <v>1078</v>
      </c>
      <c r="D1159" s="156" t="str">
        <f t="shared" si="401"/>
        <v>Kumite</v>
      </c>
      <c r="E1159" s="156" t="str">
        <f>"Kumite, U 16/Ifjúsági lány 50-54,9 kg"</f>
        <v>Kumite, U 16/Ifjúsági lány 50-54,9 kg</v>
      </c>
      <c r="F1159" s="156" t="s">
        <v>550</v>
      </c>
      <c r="G1159" s="157" t="str">
        <f t="shared" si="410"/>
        <v>2</v>
      </c>
      <c r="H1159" s="156" t="str">
        <f t="shared" si="411"/>
        <v>2 fős egyenes kiesés</v>
      </c>
      <c r="I1159" s="157" t="str">
        <f>"2"</f>
        <v>2</v>
      </c>
      <c r="J1159" s="156" t="str">
        <f>"Kiss Boglárka"</f>
        <v>Kiss Boglárka</v>
      </c>
      <c r="K1159" s="156" t="str">
        <f>"Derecske BUDO"</f>
        <v>Derecske BUDO</v>
      </c>
      <c r="L1159" s="156" t="str">
        <f t="shared" si="402"/>
        <v>HUN</v>
      </c>
      <c r="M1159" s="163">
        <v>0</v>
      </c>
      <c r="O1159" s="154" t="s">
        <v>248</v>
      </c>
      <c r="P1159" s="159">
        <v>46088</v>
      </c>
      <c r="Q1159" s="154" t="str">
        <f t="shared" si="403"/>
        <v>Kiss Boglárka - Derecske BUDO</v>
      </c>
      <c r="R1159" s="154" t="s">
        <v>636</v>
      </c>
      <c r="S1159" s="154" t="str">
        <f t="shared" si="404"/>
        <v>Derecske BUDO</v>
      </c>
      <c r="T1159" s="154" t="s">
        <v>645</v>
      </c>
      <c r="U1159" s="154" t="s">
        <v>798</v>
      </c>
      <c r="V1159" s="154"/>
    </row>
    <row r="1160" spans="1:22" s="158" customFormat="1" x14ac:dyDescent="0.3">
      <c r="A1160" s="153" t="s">
        <v>779</v>
      </c>
      <c r="B1160" s="155">
        <v>2</v>
      </c>
      <c r="C1160" s="154">
        <v>1079</v>
      </c>
      <c r="D1160" s="156" t="str">
        <f t="shared" si="401"/>
        <v>Kumite</v>
      </c>
      <c r="E1160" s="156" t="str">
        <f>"Kumite, U 16/Ifjúsági lány 60-64,9 kg"</f>
        <v>Kumite, U 16/Ifjúsági lány 60-64,9 kg</v>
      </c>
      <c r="F1160" s="156" t="s">
        <v>552</v>
      </c>
      <c r="G1160" s="157" t="str">
        <f>"5"</f>
        <v>5</v>
      </c>
      <c r="H1160" s="156" t="str">
        <f>"5 fős körmérkőzés"</f>
        <v>5 fős körmérkőzés</v>
      </c>
      <c r="I1160" s="157" t="str">
        <f>"1"</f>
        <v>1</v>
      </c>
      <c r="J1160" s="156" t="str">
        <f>"Fránki Réka"</f>
        <v>Fránki Réka</v>
      </c>
      <c r="K1160" s="156" t="str">
        <f>"TADASHII "</f>
        <v xml:space="preserve">TADASHII </v>
      </c>
      <c r="L1160" s="156" t="str">
        <f t="shared" si="402"/>
        <v>HUN</v>
      </c>
      <c r="M1160" s="163">
        <v>8</v>
      </c>
      <c r="O1160" s="154" t="s">
        <v>248</v>
      </c>
      <c r="P1160" s="159">
        <v>46088</v>
      </c>
      <c r="Q1160" s="154" t="str">
        <f t="shared" si="403"/>
        <v xml:space="preserve">Fránki Réka - TADASHII </v>
      </c>
      <c r="R1160" s="154" t="s">
        <v>637</v>
      </c>
      <c r="S1160" s="154" t="str">
        <f t="shared" si="404"/>
        <v xml:space="preserve">TADASHII </v>
      </c>
      <c r="T1160" s="154" t="s">
        <v>645</v>
      </c>
      <c r="U1160" s="154" t="s">
        <v>798</v>
      </c>
      <c r="V1160" s="154"/>
    </row>
    <row r="1161" spans="1:22" s="158" customFormat="1" x14ac:dyDescent="0.3">
      <c r="A1161" s="153" t="s">
        <v>779</v>
      </c>
      <c r="B1161" s="155">
        <v>2</v>
      </c>
      <c r="C1161" s="154">
        <v>1080</v>
      </c>
      <c r="D1161" s="156" t="str">
        <f t="shared" si="401"/>
        <v>Kumite</v>
      </c>
      <c r="E1161" s="156" t="str">
        <f>"Kumite, U 16/Ifjúsági lány 60-64,9 kg"</f>
        <v>Kumite, U 16/Ifjúsági lány 60-64,9 kg</v>
      </c>
      <c r="F1161" s="156" t="s">
        <v>552</v>
      </c>
      <c r="G1161" s="157" t="str">
        <f>"5"</f>
        <v>5</v>
      </c>
      <c r="H1161" s="156" t="str">
        <f>"5 fős körmérkőzés"</f>
        <v>5 fős körmérkőzés</v>
      </c>
      <c r="I1161" s="157" t="str">
        <f>"2"</f>
        <v>2</v>
      </c>
      <c r="J1161" s="156" t="str">
        <f>"Pénzes Zsófia"</f>
        <v>Pénzes Zsófia</v>
      </c>
      <c r="K1161" s="156" t="str">
        <f>"KHSE"</f>
        <v>KHSE</v>
      </c>
      <c r="L1161" s="156" t="str">
        <f t="shared" si="402"/>
        <v>HUN</v>
      </c>
      <c r="M1161" s="163">
        <v>6</v>
      </c>
      <c r="O1161" s="154" t="s">
        <v>248</v>
      </c>
      <c r="P1161" s="159">
        <v>46088</v>
      </c>
      <c r="Q1161" s="154" t="str">
        <f t="shared" si="403"/>
        <v>Pénzes Zsófia - KHSE</v>
      </c>
      <c r="R1161" s="154" t="s">
        <v>636</v>
      </c>
      <c r="S1161" s="154" t="str">
        <f t="shared" si="404"/>
        <v>KHSE</v>
      </c>
      <c r="T1161" s="154" t="s">
        <v>645</v>
      </c>
      <c r="U1161" s="154" t="s">
        <v>798</v>
      </c>
      <c r="V1161" s="154"/>
    </row>
    <row r="1162" spans="1:22" s="158" customFormat="1" x14ac:dyDescent="0.3">
      <c r="A1162" s="153" t="s">
        <v>779</v>
      </c>
      <c r="B1162" s="155">
        <v>2</v>
      </c>
      <c r="C1162" s="154">
        <v>1081</v>
      </c>
      <c r="D1162" s="156" t="str">
        <f t="shared" si="401"/>
        <v>Kumite</v>
      </c>
      <c r="E1162" s="156" t="str">
        <f>"Kumite, U 16/Ifjúsági lány 60-64,9 kg"</f>
        <v>Kumite, U 16/Ifjúsági lány 60-64,9 kg</v>
      </c>
      <c r="F1162" s="156" t="s">
        <v>552</v>
      </c>
      <c r="G1162" s="157" t="str">
        <f>"5"</f>
        <v>5</v>
      </c>
      <c r="H1162" s="156" t="str">
        <f>"5 fős körmérkőzés"</f>
        <v>5 fős körmérkőzés</v>
      </c>
      <c r="I1162" s="157" t="str">
        <f>"3"</f>
        <v>3</v>
      </c>
      <c r="J1162" s="156" t="str">
        <f>"Albert Szilvia Cintia"</f>
        <v>Albert Szilvia Cintia</v>
      </c>
      <c r="K1162" s="156" t="str">
        <f>"Derecske BUDO"</f>
        <v>Derecske BUDO</v>
      </c>
      <c r="L1162" s="156" t="str">
        <f t="shared" si="402"/>
        <v>HUN</v>
      </c>
      <c r="M1162" s="163">
        <v>4</v>
      </c>
      <c r="O1162" s="154" t="s">
        <v>248</v>
      </c>
      <c r="P1162" s="159">
        <v>46088</v>
      </c>
      <c r="Q1162" s="154" t="str">
        <f t="shared" ref="Q1162" si="412">J1162&amp;" - "&amp;K1162</f>
        <v>Albert Szilvia Cintia - Derecske BUDO</v>
      </c>
      <c r="R1162" s="154" t="s">
        <v>636</v>
      </c>
      <c r="S1162" s="154" t="str">
        <f t="shared" ref="S1162" si="413">K1162</f>
        <v>Derecske BUDO</v>
      </c>
      <c r="T1162" s="154" t="s">
        <v>645</v>
      </c>
      <c r="U1162" s="154" t="s">
        <v>798</v>
      </c>
      <c r="V1162" s="154"/>
    </row>
    <row r="1163" spans="1:22" s="158" customFormat="1" x14ac:dyDescent="0.3">
      <c r="A1163" s="153" t="s">
        <v>779</v>
      </c>
      <c r="B1163" s="155">
        <v>2</v>
      </c>
      <c r="C1163" s="154">
        <v>1081</v>
      </c>
      <c r="D1163" s="156" t="str">
        <f t="shared" si="401"/>
        <v>Kumite</v>
      </c>
      <c r="E1163" s="156" t="str">
        <f>"Kumite, U 16/Ifjúsági lány 60-64,9 kg"</f>
        <v>Kumite, U 16/Ifjúsági lány 60-64,9 kg</v>
      </c>
      <c r="F1163" s="156" t="s">
        <v>552</v>
      </c>
      <c r="G1163" s="157" t="str">
        <f>"5"</f>
        <v>5</v>
      </c>
      <c r="H1163" s="156" t="str">
        <f>"5 fős körmérkőzés"</f>
        <v>5 fős körmérkőzés</v>
      </c>
      <c r="I1163" s="157">
        <v>4</v>
      </c>
      <c r="J1163" s="156" t="s">
        <v>812</v>
      </c>
      <c r="K1163" s="156" t="s">
        <v>703</v>
      </c>
      <c r="L1163" s="156" t="str">
        <f t="shared" si="402"/>
        <v>HUN</v>
      </c>
      <c r="M1163" s="163">
        <v>3</v>
      </c>
      <c r="O1163" s="154" t="s">
        <v>248</v>
      </c>
      <c r="P1163" s="159">
        <v>46088</v>
      </c>
      <c r="Q1163" s="154" t="str">
        <f t="shared" si="403"/>
        <v>Kovács Viktória - Nintai KKSE</v>
      </c>
      <c r="R1163" s="154" t="s">
        <v>637</v>
      </c>
      <c r="S1163" s="154" t="str">
        <f t="shared" si="404"/>
        <v>Nintai KKSE</v>
      </c>
      <c r="T1163" s="154" t="s">
        <v>645</v>
      </c>
      <c r="U1163" s="154" t="s">
        <v>798</v>
      </c>
      <c r="V1163" s="154"/>
    </row>
    <row r="1164" spans="1:22" s="158" customFormat="1" x14ac:dyDescent="0.3">
      <c r="A1164" s="153" t="s">
        <v>780</v>
      </c>
      <c r="B1164" s="155">
        <v>2</v>
      </c>
      <c r="C1164" s="154">
        <v>1083</v>
      </c>
      <c r="D1164" s="156" t="str">
        <f t="shared" ref="D1164:D1227" si="414">"Kumite"</f>
        <v>Kumite</v>
      </c>
      <c r="E1164" s="156" t="str">
        <f t="shared" ref="E1164:E1173" si="415">"Kumite, U12/Gyerek II fiú 0-39,9 kg"</f>
        <v>Kumite, U12/Gyerek II fiú 0-39,9 kg</v>
      </c>
      <c r="F1164" s="156" t="s">
        <v>518</v>
      </c>
      <c r="G1164" s="157" t="str">
        <f t="shared" ref="G1164:G1173" si="416">"10"</f>
        <v>10</v>
      </c>
      <c r="H1164" s="156" t="str">
        <f t="shared" ref="H1164:H1173" si="417">"16 fős egyenes kiesés"</f>
        <v>16 fős egyenes kiesés</v>
      </c>
      <c r="I1164" s="157" t="str">
        <f>"1"</f>
        <v>1</v>
      </c>
      <c r="J1164" s="156" t="str">
        <f>"Balogh Levente"</f>
        <v>Balogh Levente</v>
      </c>
      <c r="K1164" s="156" t="str">
        <f>"Magna Dojo"</f>
        <v>Magna Dojo</v>
      </c>
      <c r="L1164" s="156" t="str">
        <f t="shared" ref="L1164:L1227" si="418">"HUN"</f>
        <v>HUN</v>
      </c>
      <c r="M1164" s="163">
        <v>8</v>
      </c>
      <c r="O1164" s="154" t="s">
        <v>410</v>
      </c>
      <c r="P1164" s="159">
        <v>46103</v>
      </c>
      <c r="Q1164" s="154" t="str">
        <f t="shared" ref="Q1164:Q1227" si="419">J1164&amp;" - "&amp;K1164</f>
        <v>Balogh Levente - Magna Dojo</v>
      </c>
      <c r="R1164" s="154" t="s">
        <v>636</v>
      </c>
      <c r="S1164" s="154" t="str">
        <f t="shared" ref="S1164:S1227" si="420">K1164</f>
        <v>Magna Dojo</v>
      </c>
      <c r="T1164" s="154" t="s">
        <v>645</v>
      </c>
      <c r="U1164" s="154" t="s">
        <v>796</v>
      </c>
      <c r="V1164" s="154"/>
    </row>
    <row r="1165" spans="1:22" s="158" customFormat="1" x14ac:dyDescent="0.3">
      <c r="A1165" s="153" t="s">
        <v>780</v>
      </c>
      <c r="B1165" s="155">
        <v>2</v>
      </c>
      <c r="C1165" s="154">
        <v>1084</v>
      </c>
      <c r="D1165" s="156" t="str">
        <f t="shared" si="414"/>
        <v>Kumite</v>
      </c>
      <c r="E1165" s="156" t="str">
        <f t="shared" si="415"/>
        <v>Kumite, U12/Gyerek II fiú 0-39,9 kg</v>
      </c>
      <c r="F1165" s="156" t="s">
        <v>518</v>
      </c>
      <c r="G1165" s="157" t="str">
        <f t="shared" si="416"/>
        <v>10</v>
      </c>
      <c r="H1165" s="156" t="str">
        <f t="shared" si="417"/>
        <v>16 fős egyenes kiesés</v>
      </c>
      <c r="I1165" s="157" t="str">
        <f>"2"</f>
        <v>2</v>
      </c>
      <c r="J1165" s="156" t="str">
        <f>"Boka Norman Eliot"</f>
        <v>Boka Norman Eliot</v>
      </c>
      <c r="K1165" s="156" t="str">
        <f>"Katana SE"</f>
        <v>Katana SE</v>
      </c>
      <c r="L1165" s="156" t="str">
        <f t="shared" si="418"/>
        <v>HUN</v>
      </c>
      <c r="M1165" s="163">
        <v>6</v>
      </c>
      <c r="O1165" s="154" t="s">
        <v>410</v>
      </c>
      <c r="P1165" s="159">
        <v>46103</v>
      </c>
      <c r="Q1165" s="154" t="str">
        <f t="shared" si="419"/>
        <v>Boka Norman Eliot - Katana SE</v>
      </c>
      <c r="R1165" s="154" t="s">
        <v>636</v>
      </c>
      <c r="S1165" s="154" t="str">
        <f t="shared" si="420"/>
        <v>Katana SE</v>
      </c>
      <c r="T1165" s="154" t="s">
        <v>645</v>
      </c>
      <c r="U1165" s="154" t="s">
        <v>796</v>
      </c>
      <c r="V1165" s="154"/>
    </row>
    <row r="1166" spans="1:22" s="158" customFormat="1" x14ac:dyDescent="0.3">
      <c r="A1166" s="153" t="s">
        <v>780</v>
      </c>
      <c r="B1166" s="155">
        <v>2</v>
      </c>
      <c r="C1166" s="154">
        <v>1085</v>
      </c>
      <c r="D1166" s="156" t="str">
        <f t="shared" si="414"/>
        <v>Kumite</v>
      </c>
      <c r="E1166" s="156" t="str">
        <f t="shared" si="415"/>
        <v>Kumite, U12/Gyerek II fiú 0-39,9 kg</v>
      </c>
      <c r="F1166" s="156" t="s">
        <v>518</v>
      </c>
      <c r="G1166" s="157" t="str">
        <f t="shared" si="416"/>
        <v>10</v>
      </c>
      <c r="H1166" s="156" t="str">
        <f t="shared" si="417"/>
        <v>16 fős egyenes kiesés</v>
      </c>
      <c r="I1166" s="157" t="str">
        <f>"3"</f>
        <v>3</v>
      </c>
      <c r="J1166" s="156" t="str">
        <f>"Szenner Valentin"</f>
        <v>Szenner Valentin</v>
      </c>
      <c r="K1166" s="156" t="str">
        <f>"Katana SE"</f>
        <v>Katana SE</v>
      </c>
      <c r="L1166" s="156" t="str">
        <f t="shared" si="418"/>
        <v>HUN</v>
      </c>
      <c r="M1166" s="163">
        <v>4</v>
      </c>
      <c r="O1166" s="154" t="s">
        <v>410</v>
      </c>
      <c r="P1166" s="159">
        <v>46103</v>
      </c>
      <c r="Q1166" s="154" t="str">
        <f t="shared" si="419"/>
        <v>Szenner Valentin - Katana SE</v>
      </c>
      <c r="R1166" s="154" t="s">
        <v>636</v>
      </c>
      <c r="S1166" s="154" t="str">
        <f t="shared" si="420"/>
        <v>Katana SE</v>
      </c>
      <c r="T1166" s="154" t="s">
        <v>645</v>
      </c>
      <c r="U1166" s="154" t="s">
        <v>796</v>
      </c>
      <c r="V1166" s="154"/>
    </row>
    <row r="1167" spans="1:22" s="158" customFormat="1" x14ac:dyDescent="0.3">
      <c r="A1167" s="153" t="s">
        <v>780</v>
      </c>
      <c r="B1167" s="155">
        <v>2</v>
      </c>
      <c r="C1167" s="154">
        <v>1086</v>
      </c>
      <c r="D1167" s="156" t="str">
        <f t="shared" si="414"/>
        <v>Kumite</v>
      </c>
      <c r="E1167" s="156" t="str">
        <f t="shared" si="415"/>
        <v>Kumite, U12/Gyerek II fiú 0-39,9 kg</v>
      </c>
      <c r="F1167" s="156" t="s">
        <v>518</v>
      </c>
      <c r="G1167" s="157" t="str">
        <f t="shared" si="416"/>
        <v>10</v>
      </c>
      <c r="H1167" s="156" t="str">
        <f t="shared" si="417"/>
        <v>16 fős egyenes kiesés</v>
      </c>
      <c r="I1167" s="157" t="str">
        <f>"3"</f>
        <v>3</v>
      </c>
      <c r="J1167" s="156" t="str">
        <f>"Hegedűs Botond"</f>
        <v>Hegedűs Botond</v>
      </c>
      <c r="K1167" s="156" t="str">
        <f>"Keizoku SE"</f>
        <v>Keizoku SE</v>
      </c>
      <c r="L1167" s="156" t="str">
        <f t="shared" si="418"/>
        <v>HUN</v>
      </c>
      <c r="M1167" s="163">
        <v>4</v>
      </c>
      <c r="O1167" s="154" t="s">
        <v>410</v>
      </c>
      <c r="P1167" s="159">
        <v>46103</v>
      </c>
      <c r="Q1167" s="154" t="str">
        <f t="shared" si="419"/>
        <v>Hegedűs Botond - Keizoku SE</v>
      </c>
      <c r="R1167" s="154" t="s">
        <v>636</v>
      </c>
      <c r="S1167" s="154" t="str">
        <f t="shared" si="420"/>
        <v>Keizoku SE</v>
      </c>
      <c r="T1167" s="154" t="s">
        <v>645</v>
      </c>
      <c r="U1167" s="154" t="s">
        <v>796</v>
      </c>
      <c r="V1167" s="154"/>
    </row>
    <row r="1168" spans="1:22" s="158" customFormat="1" x14ac:dyDescent="0.3">
      <c r="A1168" s="153" t="s">
        <v>780</v>
      </c>
      <c r="B1168" s="155">
        <v>2</v>
      </c>
      <c r="C1168" s="154">
        <v>1087</v>
      </c>
      <c r="D1168" s="156" t="str">
        <f t="shared" si="414"/>
        <v>Kumite</v>
      </c>
      <c r="E1168" s="156" t="str">
        <f t="shared" si="415"/>
        <v>Kumite, U12/Gyerek II fiú 0-39,9 kg</v>
      </c>
      <c r="F1168" s="156" t="s">
        <v>518</v>
      </c>
      <c r="G1168" s="157" t="str">
        <f t="shared" si="416"/>
        <v>10</v>
      </c>
      <c r="H1168" s="156" t="str">
        <f t="shared" si="417"/>
        <v>16 fős egyenes kiesés</v>
      </c>
      <c r="I1168" s="157" t="str">
        <f>"5"</f>
        <v>5</v>
      </c>
      <c r="J1168" s="156" t="str">
        <f>"Zajácz Miklós"</f>
        <v>Zajácz Miklós</v>
      </c>
      <c r="K1168" s="156" t="str">
        <f>"Kamikaze S"</f>
        <v>Kamikaze S</v>
      </c>
      <c r="L1168" s="156" t="str">
        <f t="shared" si="418"/>
        <v>HUN</v>
      </c>
      <c r="M1168" s="163">
        <v>0</v>
      </c>
      <c r="N1168" s="158" t="s">
        <v>704</v>
      </c>
      <c r="O1168" s="154" t="s">
        <v>410</v>
      </c>
      <c r="P1168" s="159">
        <v>46103</v>
      </c>
      <c r="Q1168" s="154" t="str">
        <f t="shared" si="419"/>
        <v>Zajácz Miklós - Kamikaze S</v>
      </c>
      <c r="R1168" s="154" t="s">
        <v>636</v>
      </c>
      <c r="S1168" s="154" t="str">
        <f t="shared" si="420"/>
        <v>Kamikaze S</v>
      </c>
      <c r="T1168" s="154" t="s">
        <v>645</v>
      </c>
      <c r="U1168" s="154" t="s">
        <v>796</v>
      </c>
      <c r="V1168" s="154"/>
    </row>
    <row r="1169" spans="1:22" s="158" customFormat="1" x14ac:dyDescent="0.3">
      <c r="A1169" s="153" t="s">
        <v>780</v>
      </c>
      <c r="B1169" s="155">
        <v>2</v>
      </c>
      <c r="C1169" s="154">
        <v>1088</v>
      </c>
      <c r="D1169" s="156" t="str">
        <f t="shared" si="414"/>
        <v>Kumite</v>
      </c>
      <c r="E1169" s="156" t="str">
        <f t="shared" si="415"/>
        <v>Kumite, U12/Gyerek II fiú 0-39,9 kg</v>
      </c>
      <c r="F1169" s="156" t="s">
        <v>518</v>
      </c>
      <c r="G1169" s="157" t="str">
        <f t="shared" si="416"/>
        <v>10</v>
      </c>
      <c r="H1169" s="156" t="str">
        <f t="shared" si="417"/>
        <v>16 fős egyenes kiesés</v>
      </c>
      <c r="I1169" s="157" t="str">
        <f>"6"</f>
        <v>6</v>
      </c>
      <c r="J1169" s="156" t="str">
        <f>"Kiss Adrián"</f>
        <v>Kiss Adrián</v>
      </c>
      <c r="K1169" s="156" t="str">
        <f>"Keizoku SE"</f>
        <v>Keizoku SE</v>
      </c>
      <c r="L1169" s="156" t="str">
        <f t="shared" si="418"/>
        <v>HUN</v>
      </c>
      <c r="M1169" s="163">
        <v>0</v>
      </c>
      <c r="N1169" s="158" t="s">
        <v>704</v>
      </c>
      <c r="O1169" s="154" t="s">
        <v>410</v>
      </c>
      <c r="P1169" s="159">
        <v>46103</v>
      </c>
      <c r="Q1169" s="154" t="str">
        <f t="shared" si="419"/>
        <v>Kiss Adrián - Keizoku SE</v>
      </c>
      <c r="R1169" s="154" t="s">
        <v>636</v>
      </c>
      <c r="S1169" s="154" t="str">
        <f t="shared" si="420"/>
        <v>Keizoku SE</v>
      </c>
      <c r="T1169" s="154" t="s">
        <v>645</v>
      </c>
      <c r="U1169" s="154" t="s">
        <v>796</v>
      </c>
      <c r="V1169" s="154"/>
    </row>
    <row r="1170" spans="1:22" s="158" customFormat="1" x14ac:dyDescent="0.3">
      <c r="A1170" s="153" t="s">
        <v>780</v>
      </c>
      <c r="B1170" s="155">
        <v>2</v>
      </c>
      <c r="C1170" s="154">
        <v>1089</v>
      </c>
      <c r="D1170" s="156" t="str">
        <f t="shared" si="414"/>
        <v>Kumite</v>
      </c>
      <c r="E1170" s="156" t="str">
        <f t="shared" si="415"/>
        <v>Kumite, U12/Gyerek II fiú 0-39,9 kg</v>
      </c>
      <c r="F1170" s="156" t="s">
        <v>518</v>
      </c>
      <c r="G1170" s="157" t="str">
        <f t="shared" si="416"/>
        <v>10</v>
      </c>
      <c r="H1170" s="156" t="str">
        <f t="shared" si="417"/>
        <v>16 fős egyenes kiesés</v>
      </c>
      <c r="I1170" s="157" t="str">
        <f>"7-8"</f>
        <v>7-8</v>
      </c>
      <c r="J1170" s="156" t="str">
        <f>"Molnár I. Zétény"</f>
        <v>Molnár I. Zétény</v>
      </c>
      <c r="K1170" s="156" t="str">
        <f>"KKE - Spartacus"</f>
        <v>KKE - Spartacus</v>
      </c>
      <c r="L1170" s="156" t="str">
        <f t="shared" si="418"/>
        <v>HUN</v>
      </c>
      <c r="M1170" s="163">
        <v>2</v>
      </c>
      <c r="O1170" s="154" t="s">
        <v>410</v>
      </c>
      <c r="P1170" s="159">
        <v>46103</v>
      </c>
      <c r="Q1170" s="154" t="str">
        <f t="shared" si="419"/>
        <v>Molnár I. Zétény - KKE - Spartacus</v>
      </c>
      <c r="R1170" s="154" t="s">
        <v>636</v>
      </c>
      <c r="S1170" s="154" t="str">
        <f t="shared" si="420"/>
        <v>KKE - Spartacus</v>
      </c>
      <c r="T1170" s="154" t="s">
        <v>645</v>
      </c>
      <c r="U1170" s="154" t="s">
        <v>796</v>
      </c>
      <c r="V1170" s="154"/>
    </row>
    <row r="1171" spans="1:22" s="158" customFormat="1" x14ac:dyDescent="0.3">
      <c r="A1171" s="153" t="s">
        <v>780</v>
      </c>
      <c r="B1171" s="155">
        <v>2</v>
      </c>
      <c r="C1171" s="154">
        <v>1090</v>
      </c>
      <c r="D1171" s="156" t="str">
        <f t="shared" si="414"/>
        <v>Kumite</v>
      </c>
      <c r="E1171" s="156" t="str">
        <f t="shared" si="415"/>
        <v>Kumite, U12/Gyerek II fiú 0-39,9 kg</v>
      </c>
      <c r="F1171" s="156" t="s">
        <v>518</v>
      </c>
      <c r="G1171" s="157" t="str">
        <f t="shared" si="416"/>
        <v>10</v>
      </c>
      <c r="H1171" s="156" t="str">
        <f t="shared" si="417"/>
        <v>16 fős egyenes kiesés</v>
      </c>
      <c r="I1171" s="157" t="str">
        <f>"7-8"</f>
        <v>7-8</v>
      </c>
      <c r="J1171" s="156" t="str">
        <f>"Eszenyi Barnabás"</f>
        <v>Eszenyi Barnabás</v>
      </c>
      <c r="K1171" s="156" t="str">
        <f>"Shogun"</f>
        <v>Shogun</v>
      </c>
      <c r="L1171" s="156" t="str">
        <f t="shared" si="418"/>
        <v>HUN</v>
      </c>
      <c r="M1171" s="163">
        <v>0</v>
      </c>
      <c r="N1171" s="158" t="s">
        <v>704</v>
      </c>
      <c r="O1171" s="154" t="s">
        <v>410</v>
      </c>
      <c r="P1171" s="159">
        <v>46103</v>
      </c>
      <c r="Q1171" s="154" t="str">
        <f t="shared" si="419"/>
        <v>Eszenyi Barnabás - Shogun</v>
      </c>
      <c r="R1171" s="154" t="s">
        <v>636</v>
      </c>
      <c r="S1171" s="154" t="str">
        <f t="shared" si="420"/>
        <v>Shogun</v>
      </c>
      <c r="T1171" s="154" t="s">
        <v>645</v>
      </c>
      <c r="U1171" s="154" t="s">
        <v>796</v>
      </c>
      <c r="V1171" s="154"/>
    </row>
    <row r="1172" spans="1:22" s="158" customFormat="1" x14ac:dyDescent="0.3">
      <c r="A1172" s="153" t="s">
        <v>780</v>
      </c>
      <c r="B1172" s="155">
        <v>2</v>
      </c>
      <c r="C1172" s="154">
        <v>1091</v>
      </c>
      <c r="D1172" s="156" t="str">
        <f t="shared" si="414"/>
        <v>Kumite</v>
      </c>
      <c r="E1172" s="156" t="str">
        <f t="shared" si="415"/>
        <v>Kumite, U12/Gyerek II fiú 0-39,9 kg</v>
      </c>
      <c r="F1172" s="156" t="s">
        <v>518</v>
      </c>
      <c r="G1172" s="157" t="str">
        <f t="shared" si="416"/>
        <v>10</v>
      </c>
      <c r="H1172" s="156" t="str">
        <f t="shared" si="417"/>
        <v>16 fős egyenes kiesés</v>
      </c>
      <c r="I1172" s="157" t="str">
        <f>"11-16"</f>
        <v>11-16</v>
      </c>
      <c r="J1172" s="156" t="str">
        <f>"Gordos Zalán"</f>
        <v>Gordos Zalán</v>
      </c>
      <c r="K1172" s="156" t="str">
        <f>"VTSE"</f>
        <v>VTSE</v>
      </c>
      <c r="L1172" s="156" t="str">
        <f t="shared" si="418"/>
        <v>HUN</v>
      </c>
      <c r="M1172" s="163">
        <v>0</v>
      </c>
      <c r="O1172" s="154" t="s">
        <v>410</v>
      </c>
      <c r="P1172" s="159">
        <v>46103</v>
      </c>
      <c r="Q1172" s="154" t="str">
        <f t="shared" si="419"/>
        <v>Gordos Zalán - VTSE</v>
      </c>
      <c r="R1172" s="154" t="s">
        <v>637</v>
      </c>
      <c r="S1172" s="154" t="str">
        <f t="shared" si="420"/>
        <v>VTSE</v>
      </c>
      <c r="T1172" s="154" t="s">
        <v>645</v>
      </c>
      <c r="U1172" s="154" t="s">
        <v>796</v>
      </c>
      <c r="V1172" s="154"/>
    </row>
    <row r="1173" spans="1:22" s="158" customFormat="1" x14ac:dyDescent="0.3">
      <c r="A1173" s="153" t="s">
        <v>780</v>
      </c>
      <c r="B1173" s="155">
        <v>2</v>
      </c>
      <c r="C1173" s="154">
        <v>1092</v>
      </c>
      <c r="D1173" s="156" t="str">
        <f t="shared" si="414"/>
        <v>Kumite</v>
      </c>
      <c r="E1173" s="156" t="str">
        <f t="shared" si="415"/>
        <v>Kumite, U12/Gyerek II fiú 0-39,9 kg</v>
      </c>
      <c r="F1173" s="156" t="s">
        <v>518</v>
      </c>
      <c r="G1173" s="157" t="str">
        <f t="shared" si="416"/>
        <v>10</v>
      </c>
      <c r="H1173" s="156" t="str">
        <f t="shared" si="417"/>
        <v>16 fős egyenes kiesés</v>
      </c>
      <c r="I1173" s="157" t="str">
        <f>"11-16"</f>
        <v>11-16</v>
      </c>
      <c r="J1173" s="156" t="str">
        <f>"Tarr Bence"</f>
        <v>Tarr Bence</v>
      </c>
      <c r="K1173" s="156" t="str">
        <f>"Shogun"</f>
        <v>Shogun</v>
      </c>
      <c r="L1173" s="156" t="str">
        <f t="shared" si="418"/>
        <v>HUN</v>
      </c>
      <c r="M1173" s="163">
        <v>0</v>
      </c>
      <c r="O1173" s="154" t="s">
        <v>410</v>
      </c>
      <c r="P1173" s="159">
        <v>46103</v>
      </c>
      <c r="Q1173" s="154" t="str">
        <f t="shared" si="419"/>
        <v>Tarr Bence - Shogun</v>
      </c>
      <c r="R1173" s="154" t="s">
        <v>636</v>
      </c>
      <c r="S1173" s="154" t="str">
        <f t="shared" si="420"/>
        <v>Shogun</v>
      </c>
      <c r="T1173" s="154" t="s">
        <v>645</v>
      </c>
      <c r="U1173" s="154" t="s">
        <v>796</v>
      </c>
      <c r="V1173" s="154"/>
    </row>
    <row r="1174" spans="1:22" s="158" customFormat="1" x14ac:dyDescent="0.3">
      <c r="A1174" s="153" t="s">
        <v>780</v>
      </c>
      <c r="B1174" s="155">
        <v>2</v>
      </c>
      <c r="C1174" s="154">
        <v>1093</v>
      </c>
      <c r="D1174" s="156" t="str">
        <f t="shared" si="414"/>
        <v>Kumite</v>
      </c>
      <c r="E1174" s="156" t="str">
        <f>"Kumite, U12/Gyerek II fiú 45-49,9 kg"</f>
        <v>Kumite, U12/Gyerek II fiú 45-49,9 kg</v>
      </c>
      <c r="F1174" s="156" t="s">
        <v>782</v>
      </c>
      <c r="G1174" s="157" t="str">
        <f>"4"</f>
        <v>4</v>
      </c>
      <c r="H1174" s="156" t="str">
        <f>"4 fős körmérkőzés"</f>
        <v>4 fős körmérkőzés</v>
      </c>
      <c r="I1174" s="157" t="str">
        <f>"1"</f>
        <v>1</v>
      </c>
      <c r="J1174" s="156" t="str">
        <f>"Szabó Máté Péter"</f>
        <v>Szabó Máté Péter</v>
      </c>
      <c r="K1174" s="156" t="str">
        <f>"WARRIORS TEAM"</f>
        <v>WARRIORS TEAM</v>
      </c>
      <c r="L1174" s="156" t="str">
        <f t="shared" si="418"/>
        <v>HUN</v>
      </c>
      <c r="M1174" s="163">
        <v>6</v>
      </c>
      <c r="O1174" s="154" t="s">
        <v>410</v>
      </c>
      <c r="P1174" s="159">
        <v>46103</v>
      </c>
      <c r="Q1174" s="154" t="str">
        <f t="shared" si="419"/>
        <v>Szabó Máté Péter - WARRIORS TEAM</v>
      </c>
      <c r="R1174" s="154" t="s">
        <v>636</v>
      </c>
      <c r="S1174" s="154" t="str">
        <f t="shared" si="420"/>
        <v>WARRIORS TEAM</v>
      </c>
      <c r="T1174" s="154" t="s">
        <v>645</v>
      </c>
      <c r="U1174" s="154" t="s">
        <v>796</v>
      </c>
      <c r="V1174" s="154"/>
    </row>
    <row r="1175" spans="1:22" s="158" customFormat="1" x14ac:dyDescent="0.3">
      <c r="A1175" s="153" t="s">
        <v>780</v>
      </c>
      <c r="B1175" s="155">
        <v>2</v>
      </c>
      <c r="C1175" s="154">
        <v>1094</v>
      </c>
      <c r="D1175" s="156" t="str">
        <f t="shared" si="414"/>
        <v>Kumite</v>
      </c>
      <c r="E1175" s="156" t="str">
        <f>"Kumite, U12/Gyerek II fiú 45-49,9 kg"</f>
        <v>Kumite, U12/Gyerek II fiú 45-49,9 kg</v>
      </c>
      <c r="F1175" s="156" t="s">
        <v>782</v>
      </c>
      <c r="G1175" s="157" t="str">
        <f>"4"</f>
        <v>4</v>
      </c>
      <c r="H1175" s="156" t="str">
        <f>"4 fős körmérkőzés"</f>
        <v>4 fős körmérkőzés</v>
      </c>
      <c r="I1175" s="157" t="str">
        <f>"2"</f>
        <v>2</v>
      </c>
      <c r="J1175" s="156" t="str">
        <f>"Borsi Krisztián"</f>
        <v>Borsi Krisztián</v>
      </c>
      <c r="K1175" s="156" t="str">
        <f>"KHSE"</f>
        <v>KHSE</v>
      </c>
      <c r="L1175" s="156" t="str">
        <f t="shared" si="418"/>
        <v>HUN</v>
      </c>
      <c r="M1175" s="163">
        <v>5</v>
      </c>
      <c r="O1175" s="154" t="s">
        <v>410</v>
      </c>
      <c r="P1175" s="159">
        <v>46103</v>
      </c>
      <c r="Q1175" s="154" t="str">
        <f t="shared" si="419"/>
        <v>Borsi Krisztián - KHSE</v>
      </c>
      <c r="R1175" s="154" t="s">
        <v>636</v>
      </c>
      <c r="S1175" s="154" t="str">
        <f t="shared" si="420"/>
        <v>KHSE</v>
      </c>
      <c r="T1175" s="154" t="s">
        <v>645</v>
      </c>
      <c r="U1175" s="154" t="s">
        <v>796</v>
      </c>
      <c r="V1175" s="154"/>
    </row>
    <row r="1176" spans="1:22" s="158" customFormat="1" x14ac:dyDescent="0.3">
      <c r="A1176" s="153" t="s">
        <v>780</v>
      </c>
      <c r="B1176" s="155">
        <v>2</v>
      </c>
      <c r="C1176" s="154">
        <v>1095</v>
      </c>
      <c r="D1176" s="156" t="str">
        <f t="shared" si="414"/>
        <v>Kumite</v>
      </c>
      <c r="E1176" s="156" t="str">
        <f>"Kumite, U12/Gyerek II fiú 45-49,9 kg"</f>
        <v>Kumite, U12/Gyerek II fiú 45-49,9 kg</v>
      </c>
      <c r="F1176" s="156" t="s">
        <v>782</v>
      </c>
      <c r="G1176" s="157" t="str">
        <f>"4"</f>
        <v>4</v>
      </c>
      <c r="H1176" s="156" t="str">
        <f>"4 fős körmérkőzés"</f>
        <v>4 fős körmérkőzés</v>
      </c>
      <c r="I1176" s="157" t="str">
        <f>"3"</f>
        <v>3</v>
      </c>
      <c r="J1176" s="156" t="str">
        <f>"Kerékgyártó Tamás"</f>
        <v>Kerékgyártó Tamás</v>
      </c>
      <c r="K1176" s="156" t="str">
        <f>"Wheelmaker dojo SE"</f>
        <v>Wheelmaker dojo SE</v>
      </c>
      <c r="L1176" s="156" t="str">
        <f t="shared" si="418"/>
        <v>HUN</v>
      </c>
      <c r="M1176" s="163">
        <v>3</v>
      </c>
      <c r="O1176" s="154" t="s">
        <v>410</v>
      </c>
      <c r="P1176" s="159">
        <v>46103</v>
      </c>
      <c r="Q1176" s="154" t="str">
        <f t="shared" si="419"/>
        <v>Kerékgyártó Tamás - Wheelmaker dojo SE</v>
      </c>
      <c r="R1176" s="154" t="s">
        <v>637</v>
      </c>
      <c r="S1176" s="154" t="str">
        <f t="shared" si="420"/>
        <v>Wheelmaker dojo SE</v>
      </c>
      <c r="T1176" s="154" t="s">
        <v>645</v>
      </c>
      <c r="U1176" s="154" t="s">
        <v>796</v>
      </c>
      <c r="V1176" s="154"/>
    </row>
    <row r="1177" spans="1:22" s="158" customFormat="1" x14ac:dyDescent="0.3">
      <c r="A1177" s="153" t="s">
        <v>780</v>
      </c>
      <c r="B1177" s="155">
        <v>2</v>
      </c>
      <c r="C1177" s="154">
        <v>1096</v>
      </c>
      <c r="D1177" s="156" t="str">
        <f t="shared" si="414"/>
        <v>Kumite</v>
      </c>
      <c r="E1177" s="156" t="str">
        <f>"Kumite, U12/Gyerek II fiú 45-49,9 kg"</f>
        <v>Kumite, U12/Gyerek II fiú 45-49,9 kg</v>
      </c>
      <c r="F1177" s="156" t="s">
        <v>782</v>
      </c>
      <c r="G1177" s="157" t="str">
        <f>"4"</f>
        <v>4</v>
      </c>
      <c r="H1177" s="156" t="str">
        <f>"4 fős körmérkőzés"</f>
        <v>4 fős körmérkőzés</v>
      </c>
      <c r="I1177" s="157" t="str">
        <f>"4"</f>
        <v>4</v>
      </c>
      <c r="J1177" s="156" t="str">
        <f>"Ratkai János"</f>
        <v>Ratkai János</v>
      </c>
      <c r="K1177" s="156" t="str">
        <f>"KHSE"</f>
        <v>KHSE</v>
      </c>
      <c r="L1177" s="156" t="str">
        <f t="shared" si="418"/>
        <v>HUN</v>
      </c>
      <c r="M1177" s="163">
        <v>2</v>
      </c>
      <c r="O1177" s="154" t="s">
        <v>410</v>
      </c>
      <c r="P1177" s="159">
        <v>46103</v>
      </c>
      <c r="Q1177" s="154" t="str">
        <f t="shared" si="419"/>
        <v>Ratkai János - KHSE</v>
      </c>
      <c r="R1177" s="154" t="s">
        <v>636</v>
      </c>
      <c r="S1177" s="154" t="str">
        <f t="shared" si="420"/>
        <v>KHSE</v>
      </c>
      <c r="T1177" s="154" t="s">
        <v>645</v>
      </c>
      <c r="U1177" s="154" t="s">
        <v>796</v>
      </c>
      <c r="V1177" s="154"/>
    </row>
    <row r="1178" spans="1:22" s="158" customFormat="1" x14ac:dyDescent="0.3">
      <c r="A1178" s="153" t="s">
        <v>780</v>
      </c>
      <c r="B1178" s="155">
        <v>2</v>
      </c>
      <c r="C1178" s="154">
        <v>1097</v>
      </c>
      <c r="D1178" s="156" t="str">
        <f t="shared" si="414"/>
        <v>Kumite</v>
      </c>
      <c r="E1178" s="156" t="str">
        <f t="shared" ref="E1178:E1185" si="421">"Kumite, U12/Gyerek II fiú 50- kg"</f>
        <v>Kumite, U12/Gyerek II fiú 50- kg</v>
      </c>
      <c r="F1178" s="156" t="s">
        <v>783</v>
      </c>
      <c r="G1178" s="157" t="str">
        <f t="shared" ref="G1178:G1185" si="422">"8"</f>
        <v>8</v>
      </c>
      <c r="H1178" s="156" t="str">
        <f t="shared" ref="H1178:H1185" si="423">"8 fős egyenes kiesés"</f>
        <v>8 fős egyenes kiesés</v>
      </c>
      <c r="I1178" s="157" t="str">
        <f>"1"</f>
        <v>1</v>
      </c>
      <c r="J1178" s="156" t="str">
        <f>"Vágó Ákos"</f>
        <v>Vágó Ákos</v>
      </c>
      <c r="K1178" s="156" t="str">
        <f>"KHSE"</f>
        <v>KHSE</v>
      </c>
      <c r="L1178" s="156" t="str">
        <f t="shared" si="418"/>
        <v>HUN</v>
      </c>
      <c r="M1178" s="163">
        <v>6</v>
      </c>
      <c r="O1178" s="154" t="s">
        <v>410</v>
      </c>
      <c r="P1178" s="159">
        <v>46103</v>
      </c>
      <c r="Q1178" s="154" t="str">
        <f t="shared" si="419"/>
        <v>Vágó Ákos - KHSE</v>
      </c>
      <c r="R1178" s="154" t="s">
        <v>636</v>
      </c>
      <c r="S1178" s="154" t="str">
        <f t="shared" si="420"/>
        <v>KHSE</v>
      </c>
      <c r="T1178" s="154" t="s">
        <v>645</v>
      </c>
      <c r="U1178" s="154" t="s">
        <v>796</v>
      </c>
      <c r="V1178" s="154"/>
    </row>
    <row r="1179" spans="1:22" s="158" customFormat="1" x14ac:dyDescent="0.3">
      <c r="A1179" s="153" t="s">
        <v>780</v>
      </c>
      <c r="B1179" s="155">
        <v>2</v>
      </c>
      <c r="C1179" s="154">
        <v>1098</v>
      </c>
      <c r="D1179" s="156" t="str">
        <f t="shared" si="414"/>
        <v>Kumite</v>
      </c>
      <c r="E1179" s="156" t="str">
        <f t="shared" si="421"/>
        <v>Kumite, U12/Gyerek II fiú 50- kg</v>
      </c>
      <c r="F1179" s="156" t="s">
        <v>783</v>
      </c>
      <c r="G1179" s="157" t="str">
        <f t="shared" si="422"/>
        <v>8</v>
      </c>
      <c r="H1179" s="156" t="str">
        <f t="shared" si="423"/>
        <v>8 fős egyenes kiesés</v>
      </c>
      <c r="I1179" s="157" t="str">
        <f>"2"</f>
        <v>2</v>
      </c>
      <c r="J1179" s="156" t="str">
        <f>"Kiss Levente"</f>
        <v>Kiss Levente</v>
      </c>
      <c r="K1179" s="156" t="str">
        <f>"Derecske BUDO"</f>
        <v>Derecske BUDO</v>
      </c>
      <c r="L1179" s="156" t="str">
        <f t="shared" si="418"/>
        <v>HUN</v>
      </c>
      <c r="M1179" s="163">
        <v>5</v>
      </c>
      <c r="O1179" s="154" t="s">
        <v>410</v>
      </c>
      <c r="P1179" s="159">
        <v>46103</v>
      </c>
      <c r="Q1179" s="154" t="str">
        <f t="shared" si="419"/>
        <v>Kiss Levente - Derecske BUDO</v>
      </c>
      <c r="R1179" s="154" t="s">
        <v>636</v>
      </c>
      <c r="S1179" s="154" t="str">
        <f t="shared" si="420"/>
        <v>Derecske BUDO</v>
      </c>
      <c r="T1179" s="154" t="s">
        <v>645</v>
      </c>
      <c r="U1179" s="154" t="s">
        <v>796</v>
      </c>
      <c r="V1179" s="154"/>
    </row>
    <row r="1180" spans="1:22" s="158" customFormat="1" x14ac:dyDescent="0.3">
      <c r="A1180" s="153" t="s">
        <v>780</v>
      </c>
      <c r="B1180" s="155">
        <v>2</v>
      </c>
      <c r="C1180" s="154">
        <v>1099</v>
      </c>
      <c r="D1180" s="156" t="str">
        <f t="shared" si="414"/>
        <v>Kumite</v>
      </c>
      <c r="E1180" s="156" t="str">
        <f t="shared" si="421"/>
        <v>Kumite, U12/Gyerek II fiú 50- kg</v>
      </c>
      <c r="F1180" s="156" t="s">
        <v>783</v>
      </c>
      <c r="G1180" s="157" t="str">
        <f t="shared" si="422"/>
        <v>8</v>
      </c>
      <c r="H1180" s="156" t="str">
        <f t="shared" si="423"/>
        <v>8 fős egyenes kiesés</v>
      </c>
      <c r="I1180" s="157" t="str">
        <f>"3"</f>
        <v>3</v>
      </c>
      <c r="J1180" s="156" t="str">
        <f>"Borsi Balázs"</f>
        <v>Borsi Balázs</v>
      </c>
      <c r="K1180" s="156" t="str">
        <f>"KHSE"</f>
        <v>KHSE</v>
      </c>
      <c r="L1180" s="156" t="str">
        <f t="shared" si="418"/>
        <v>HUN</v>
      </c>
      <c r="M1180" s="163">
        <v>3</v>
      </c>
      <c r="O1180" s="154" t="s">
        <v>410</v>
      </c>
      <c r="P1180" s="159">
        <v>46103</v>
      </c>
      <c r="Q1180" s="154" t="str">
        <f t="shared" si="419"/>
        <v>Borsi Balázs - KHSE</v>
      </c>
      <c r="R1180" s="154" t="s">
        <v>636</v>
      </c>
      <c r="S1180" s="154" t="str">
        <f t="shared" si="420"/>
        <v>KHSE</v>
      </c>
      <c r="T1180" s="154" t="s">
        <v>645</v>
      </c>
      <c r="U1180" s="154" t="s">
        <v>796</v>
      </c>
      <c r="V1180" s="154"/>
    </row>
    <row r="1181" spans="1:22" s="158" customFormat="1" x14ac:dyDescent="0.3">
      <c r="A1181" s="153" t="s">
        <v>780</v>
      </c>
      <c r="B1181" s="155">
        <v>2</v>
      </c>
      <c r="C1181" s="154">
        <v>1100</v>
      </c>
      <c r="D1181" s="156" t="str">
        <f t="shared" si="414"/>
        <v>Kumite</v>
      </c>
      <c r="E1181" s="156" t="str">
        <f t="shared" si="421"/>
        <v>Kumite, U12/Gyerek II fiú 50- kg</v>
      </c>
      <c r="F1181" s="156" t="s">
        <v>783</v>
      </c>
      <c r="G1181" s="157" t="str">
        <f t="shared" si="422"/>
        <v>8</v>
      </c>
      <c r="H1181" s="156" t="str">
        <f t="shared" si="423"/>
        <v>8 fős egyenes kiesés</v>
      </c>
      <c r="I1181" s="157" t="str">
        <f>"3"</f>
        <v>3</v>
      </c>
      <c r="J1181" s="156" t="str">
        <f>"Gyuricska Benedek"</f>
        <v>Gyuricska Benedek</v>
      </c>
      <c r="K1181" s="156" t="str">
        <f>"Shogun"</f>
        <v>Shogun</v>
      </c>
      <c r="L1181" s="156" t="str">
        <f t="shared" si="418"/>
        <v>HUN</v>
      </c>
      <c r="M1181" s="163">
        <v>3</v>
      </c>
      <c r="O1181" s="154" t="s">
        <v>410</v>
      </c>
      <c r="P1181" s="159">
        <v>46103</v>
      </c>
      <c r="Q1181" s="154" t="str">
        <f t="shared" si="419"/>
        <v>Gyuricska Benedek - Shogun</v>
      </c>
      <c r="R1181" s="154" t="s">
        <v>636</v>
      </c>
      <c r="S1181" s="154" t="str">
        <f t="shared" si="420"/>
        <v>Shogun</v>
      </c>
      <c r="T1181" s="154" t="s">
        <v>645</v>
      </c>
      <c r="U1181" s="154" t="s">
        <v>796</v>
      </c>
      <c r="V1181" s="154"/>
    </row>
    <row r="1182" spans="1:22" s="158" customFormat="1" x14ac:dyDescent="0.3">
      <c r="A1182" s="153" t="s">
        <v>780</v>
      </c>
      <c r="B1182" s="155">
        <v>2</v>
      </c>
      <c r="C1182" s="154">
        <v>1101</v>
      </c>
      <c r="D1182" s="156" t="str">
        <f t="shared" si="414"/>
        <v>Kumite</v>
      </c>
      <c r="E1182" s="156" t="str">
        <f t="shared" si="421"/>
        <v>Kumite, U12/Gyerek II fiú 50- kg</v>
      </c>
      <c r="F1182" s="156" t="s">
        <v>783</v>
      </c>
      <c r="G1182" s="157" t="str">
        <f t="shared" si="422"/>
        <v>8</v>
      </c>
      <c r="H1182" s="156" t="str">
        <f t="shared" si="423"/>
        <v>8 fős egyenes kiesés</v>
      </c>
      <c r="I1182" s="157" t="str">
        <f>"5"</f>
        <v>5</v>
      </c>
      <c r="J1182" s="156" t="str">
        <f>"Adamecz Milán"</f>
        <v>Adamecz Milán</v>
      </c>
      <c r="K1182" s="156" t="str">
        <f>"Nagykátai Bushido SE"</f>
        <v>Nagykátai Bushido SE</v>
      </c>
      <c r="L1182" s="156" t="str">
        <f t="shared" si="418"/>
        <v>HUN</v>
      </c>
      <c r="M1182" s="163">
        <v>0</v>
      </c>
      <c r="O1182" s="154" t="s">
        <v>410</v>
      </c>
      <c r="P1182" s="159">
        <v>46103</v>
      </c>
      <c r="Q1182" s="154" t="str">
        <f t="shared" si="419"/>
        <v>Adamecz Milán - Nagykátai Bushido SE</v>
      </c>
      <c r="R1182" s="154" t="s">
        <v>636</v>
      </c>
      <c r="S1182" s="154" t="str">
        <f t="shared" si="420"/>
        <v>Nagykátai Bushido SE</v>
      </c>
      <c r="T1182" s="154" t="s">
        <v>645</v>
      </c>
      <c r="U1182" s="154" t="s">
        <v>796</v>
      </c>
      <c r="V1182" s="154"/>
    </row>
    <row r="1183" spans="1:22" s="158" customFormat="1" x14ac:dyDescent="0.3">
      <c r="A1183" s="153" t="s">
        <v>780</v>
      </c>
      <c r="B1183" s="155">
        <v>2</v>
      </c>
      <c r="C1183" s="154">
        <v>1102</v>
      </c>
      <c r="D1183" s="156" t="str">
        <f t="shared" si="414"/>
        <v>Kumite</v>
      </c>
      <c r="E1183" s="156" t="str">
        <f t="shared" si="421"/>
        <v>Kumite, U12/Gyerek II fiú 50- kg</v>
      </c>
      <c r="F1183" s="156" t="s">
        <v>783</v>
      </c>
      <c r="G1183" s="157" t="str">
        <f t="shared" si="422"/>
        <v>8</v>
      </c>
      <c r="H1183" s="156" t="str">
        <f t="shared" si="423"/>
        <v>8 fős egyenes kiesés</v>
      </c>
      <c r="I1183" s="157" t="str">
        <f>"6"</f>
        <v>6</v>
      </c>
      <c r="J1183" s="156" t="str">
        <f>"Némethy Balázs"</f>
        <v>Némethy Balázs</v>
      </c>
      <c r="K1183" s="156" t="str">
        <f>"Shogun"</f>
        <v>Shogun</v>
      </c>
      <c r="L1183" s="156" t="str">
        <f t="shared" si="418"/>
        <v>HUN</v>
      </c>
      <c r="M1183" s="163">
        <v>0</v>
      </c>
      <c r="O1183" s="154" t="s">
        <v>410</v>
      </c>
      <c r="P1183" s="159">
        <v>46103</v>
      </c>
      <c r="Q1183" s="154" t="str">
        <f t="shared" si="419"/>
        <v>Némethy Balázs - Shogun</v>
      </c>
      <c r="R1183" s="154" t="s">
        <v>636</v>
      </c>
      <c r="S1183" s="154" t="str">
        <f t="shared" si="420"/>
        <v>Shogun</v>
      </c>
      <c r="T1183" s="154" t="s">
        <v>645</v>
      </c>
      <c r="U1183" s="154" t="s">
        <v>796</v>
      </c>
      <c r="V1183" s="154"/>
    </row>
    <row r="1184" spans="1:22" s="158" customFormat="1" x14ac:dyDescent="0.3">
      <c r="A1184" s="153" t="s">
        <v>780</v>
      </c>
      <c r="B1184" s="155">
        <v>2</v>
      </c>
      <c r="C1184" s="154">
        <v>1103</v>
      </c>
      <c r="D1184" s="156" t="str">
        <f t="shared" si="414"/>
        <v>Kumite</v>
      </c>
      <c r="E1184" s="156" t="str">
        <f t="shared" si="421"/>
        <v>Kumite, U12/Gyerek II fiú 50- kg</v>
      </c>
      <c r="F1184" s="156" t="s">
        <v>783</v>
      </c>
      <c r="G1184" s="157" t="str">
        <f t="shared" si="422"/>
        <v>8</v>
      </c>
      <c r="H1184" s="156" t="str">
        <f t="shared" si="423"/>
        <v>8 fős egyenes kiesés</v>
      </c>
      <c r="I1184" s="157" t="str">
        <f>"7-8"</f>
        <v>7-8</v>
      </c>
      <c r="J1184" s="156" t="str">
        <f>"Kiss István"</f>
        <v>Kiss István</v>
      </c>
      <c r="K1184" s="156" t="str">
        <f>"Derecske BUDO"</f>
        <v>Derecske BUDO</v>
      </c>
      <c r="L1184" s="156" t="str">
        <f t="shared" si="418"/>
        <v>HUN</v>
      </c>
      <c r="M1184" s="163">
        <v>0</v>
      </c>
      <c r="O1184" s="154" t="s">
        <v>410</v>
      </c>
      <c r="P1184" s="159">
        <v>46103</v>
      </c>
      <c r="Q1184" s="154" t="str">
        <f t="shared" si="419"/>
        <v>Kiss István - Derecske BUDO</v>
      </c>
      <c r="R1184" s="154" t="s">
        <v>636</v>
      </c>
      <c r="S1184" s="154" t="str">
        <f t="shared" si="420"/>
        <v>Derecske BUDO</v>
      </c>
      <c r="T1184" s="154" t="s">
        <v>645</v>
      </c>
      <c r="U1184" s="154" t="s">
        <v>796</v>
      </c>
      <c r="V1184" s="154"/>
    </row>
    <row r="1185" spans="1:22" s="158" customFormat="1" x14ac:dyDescent="0.3">
      <c r="A1185" s="153" t="s">
        <v>780</v>
      </c>
      <c r="B1185" s="155">
        <v>2</v>
      </c>
      <c r="C1185" s="154">
        <v>1104</v>
      </c>
      <c r="D1185" s="156" t="str">
        <f t="shared" si="414"/>
        <v>Kumite</v>
      </c>
      <c r="E1185" s="156" t="str">
        <f t="shared" si="421"/>
        <v>Kumite, U12/Gyerek II fiú 50- kg</v>
      </c>
      <c r="F1185" s="156" t="s">
        <v>783</v>
      </c>
      <c r="G1185" s="157" t="str">
        <f t="shared" si="422"/>
        <v>8</v>
      </c>
      <c r="H1185" s="156" t="str">
        <f t="shared" si="423"/>
        <v>8 fős egyenes kiesés</v>
      </c>
      <c r="I1185" s="157" t="str">
        <f>"7-8"</f>
        <v>7-8</v>
      </c>
      <c r="J1185" s="156" t="str">
        <f>"Odorics Zétény"</f>
        <v>Odorics Zétény</v>
      </c>
      <c r="K1185" s="156" t="str">
        <f>"Rakurai"</f>
        <v>Rakurai</v>
      </c>
      <c r="L1185" s="156" t="str">
        <f t="shared" si="418"/>
        <v>HUN</v>
      </c>
      <c r="M1185" s="163">
        <v>0</v>
      </c>
      <c r="O1185" s="154" t="s">
        <v>410</v>
      </c>
      <c r="P1185" s="159">
        <v>46103</v>
      </c>
      <c r="Q1185" s="154" t="str">
        <f t="shared" si="419"/>
        <v>Odorics Zétény - Rakurai</v>
      </c>
      <c r="R1185" s="154" t="s">
        <v>636</v>
      </c>
      <c r="S1185" s="154" t="str">
        <f t="shared" si="420"/>
        <v>Rakurai</v>
      </c>
      <c r="T1185" s="154" t="s">
        <v>645</v>
      </c>
      <c r="U1185" s="154" t="s">
        <v>796</v>
      </c>
      <c r="V1185" s="154"/>
    </row>
    <row r="1186" spans="1:22" s="158" customFormat="1" x14ac:dyDescent="0.3">
      <c r="A1186" s="153" t="s">
        <v>780</v>
      </c>
      <c r="B1186" s="155">
        <v>2</v>
      </c>
      <c r="C1186" s="154">
        <v>1105</v>
      </c>
      <c r="D1186" s="156" t="str">
        <f t="shared" si="414"/>
        <v>Kumite</v>
      </c>
      <c r="E1186" s="156" t="str">
        <f>"Kumite, U12/Gyerek II lány 0-34,9 kg"</f>
        <v>Kumite, U12/Gyerek II lány 0-34,9 kg</v>
      </c>
      <c r="F1186" s="156" t="s">
        <v>517</v>
      </c>
      <c r="G1186" s="157" t="str">
        <f>"2"</f>
        <v>2</v>
      </c>
      <c r="H1186" s="156" t="str">
        <f>"2 fős egyenes kiesés"</f>
        <v>2 fős egyenes kiesés</v>
      </c>
      <c r="I1186" s="157" t="str">
        <f>"1"</f>
        <v>1</v>
      </c>
      <c r="J1186" s="156" t="str">
        <f>"Fürjesi Eszter"</f>
        <v>Fürjesi Eszter</v>
      </c>
      <c r="K1186" s="156" t="str">
        <f>"Shogun"</f>
        <v>Shogun</v>
      </c>
      <c r="L1186" s="156" t="str">
        <f t="shared" si="418"/>
        <v>HUN</v>
      </c>
      <c r="M1186" s="163">
        <v>3</v>
      </c>
      <c r="O1186" s="154" t="s">
        <v>410</v>
      </c>
      <c r="P1186" s="159">
        <v>46103</v>
      </c>
      <c r="Q1186" s="154" t="str">
        <f t="shared" si="419"/>
        <v>Fürjesi Eszter - Shogun</v>
      </c>
      <c r="R1186" s="154" t="s">
        <v>636</v>
      </c>
      <c r="S1186" s="154" t="str">
        <f t="shared" si="420"/>
        <v>Shogun</v>
      </c>
      <c r="T1186" s="154" t="s">
        <v>645</v>
      </c>
      <c r="U1186" s="154" t="s">
        <v>796</v>
      </c>
      <c r="V1186" s="154"/>
    </row>
    <row r="1187" spans="1:22" s="158" customFormat="1" x14ac:dyDescent="0.3">
      <c r="A1187" s="153" t="s">
        <v>780</v>
      </c>
      <c r="B1187" s="155">
        <v>2</v>
      </c>
      <c r="C1187" s="154">
        <v>1106</v>
      </c>
      <c r="D1187" s="156" t="str">
        <f t="shared" si="414"/>
        <v>Kumite</v>
      </c>
      <c r="E1187" s="156" t="str">
        <f>"Kumite, U12/Gyerek II lány 0-34,9 kg"</f>
        <v>Kumite, U12/Gyerek II lány 0-34,9 kg</v>
      </c>
      <c r="F1187" s="156" t="s">
        <v>517</v>
      </c>
      <c r="G1187" s="157" t="str">
        <f>"2"</f>
        <v>2</v>
      </c>
      <c r="H1187" s="156" t="str">
        <f>"2 fős egyenes kiesés"</f>
        <v>2 fős egyenes kiesés</v>
      </c>
      <c r="I1187" s="157" t="str">
        <f>"2"</f>
        <v>2</v>
      </c>
      <c r="J1187" s="156" t="str">
        <f>"Huszár Hanna"</f>
        <v>Huszár Hanna</v>
      </c>
      <c r="K1187" s="156" t="str">
        <f>"Kemecse SE"</f>
        <v>Kemecse SE</v>
      </c>
      <c r="L1187" s="156" t="str">
        <f t="shared" si="418"/>
        <v>HUN</v>
      </c>
      <c r="M1187" s="163">
        <v>0</v>
      </c>
      <c r="O1187" s="154" t="s">
        <v>410</v>
      </c>
      <c r="P1187" s="159">
        <v>46103</v>
      </c>
      <c r="Q1187" s="154" t="str">
        <f t="shared" si="419"/>
        <v>Huszár Hanna - Kemecse SE</v>
      </c>
      <c r="R1187" s="154" t="s">
        <v>636</v>
      </c>
      <c r="S1187" s="154" t="str">
        <f t="shared" si="420"/>
        <v>Kemecse SE</v>
      </c>
      <c r="T1187" s="154" t="s">
        <v>645</v>
      </c>
      <c r="U1187" s="154" t="s">
        <v>796</v>
      </c>
      <c r="V1187" s="154"/>
    </row>
    <row r="1188" spans="1:22" s="158" customFormat="1" x14ac:dyDescent="0.3">
      <c r="A1188" s="153" t="s">
        <v>780</v>
      </c>
      <c r="B1188" s="155">
        <v>2</v>
      </c>
      <c r="C1188" s="154">
        <v>1107</v>
      </c>
      <c r="D1188" s="156" t="str">
        <f t="shared" si="414"/>
        <v>Kumite</v>
      </c>
      <c r="E1188" s="156" t="str">
        <f>"Kumite, U12/Gyerek II lány 40-44,9 kg"</f>
        <v>Kumite, U12/Gyerek II lány 40-44,9 kg</v>
      </c>
      <c r="F1188" s="156" t="s">
        <v>527</v>
      </c>
      <c r="G1188" s="157" t="str">
        <f>"2"</f>
        <v>2</v>
      </c>
      <c r="H1188" s="156" t="str">
        <f>"2 fős egyenes kiesés"</f>
        <v>2 fős egyenes kiesés</v>
      </c>
      <c r="I1188" s="157" t="str">
        <f>"1"</f>
        <v>1</v>
      </c>
      <c r="J1188" s="156" t="str">
        <f>"Vig Boglárka"</f>
        <v>Vig Boglárka</v>
      </c>
      <c r="K1188" s="156" t="str">
        <f>"VTSE"</f>
        <v>VTSE</v>
      </c>
      <c r="L1188" s="156" t="str">
        <f t="shared" si="418"/>
        <v>HUN</v>
      </c>
      <c r="M1188" s="163">
        <v>3</v>
      </c>
      <c r="O1188" s="154" t="s">
        <v>410</v>
      </c>
      <c r="P1188" s="159">
        <v>46103</v>
      </c>
      <c r="Q1188" s="154" t="str">
        <f t="shared" si="419"/>
        <v>Vig Boglárka - VTSE</v>
      </c>
      <c r="R1188" s="154" t="s">
        <v>637</v>
      </c>
      <c r="S1188" s="154" t="str">
        <f t="shared" si="420"/>
        <v>VTSE</v>
      </c>
      <c r="T1188" s="154" t="s">
        <v>645</v>
      </c>
      <c r="U1188" s="154" t="s">
        <v>796</v>
      </c>
      <c r="V1188" s="154"/>
    </row>
    <row r="1189" spans="1:22" s="158" customFormat="1" x14ac:dyDescent="0.3">
      <c r="A1189" s="153" t="s">
        <v>780</v>
      </c>
      <c r="B1189" s="155">
        <v>2</v>
      </c>
      <c r="C1189" s="154">
        <v>1108</v>
      </c>
      <c r="D1189" s="156" t="str">
        <f t="shared" si="414"/>
        <v>Kumite</v>
      </c>
      <c r="E1189" s="156" t="str">
        <f>"Kumite, U12/Gyerek II lány 40-44,9 kg"</f>
        <v>Kumite, U12/Gyerek II lány 40-44,9 kg</v>
      </c>
      <c r="F1189" s="156" t="s">
        <v>527</v>
      </c>
      <c r="G1189" s="157" t="str">
        <f>"2"</f>
        <v>2</v>
      </c>
      <c r="H1189" s="156" t="str">
        <f>"2 fős egyenes kiesés"</f>
        <v>2 fős egyenes kiesés</v>
      </c>
      <c r="I1189" s="157" t="str">
        <f>"2"</f>
        <v>2</v>
      </c>
      <c r="J1189" s="156" t="str">
        <f>"Szombath Jázmin"</f>
        <v>Szombath Jázmin</v>
      </c>
      <c r="K1189" s="156" t="str">
        <f>"Főnix Dojo"</f>
        <v>Főnix Dojo</v>
      </c>
      <c r="L1189" s="156" t="str">
        <f t="shared" si="418"/>
        <v>HUN</v>
      </c>
      <c r="M1189" s="163">
        <v>0</v>
      </c>
      <c r="O1189" s="154" t="s">
        <v>410</v>
      </c>
      <c r="P1189" s="159">
        <v>46103</v>
      </c>
      <c r="Q1189" s="154" t="str">
        <f t="shared" si="419"/>
        <v>Szombath Jázmin - Főnix Dojo</v>
      </c>
      <c r="R1189" s="154" t="s">
        <v>636</v>
      </c>
      <c r="S1189" s="154" t="str">
        <f t="shared" si="420"/>
        <v>Főnix Dojo</v>
      </c>
      <c r="T1189" s="154" t="s">
        <v>645</v>
      </c>
      <c r="U1189" s="154" t="s">
        <v>796</v>
      </c>
      <c r="V1189" s="154"/>
    </row>
    <row r="1190" spans="1:22" s="158" customFormat="1" x14ac:dyDescent="0.3">
      <c r="A1190" s="153" t="s">
        <v>780</v>
      </c>
      <c r="B1190" s="155">
        <v>2</v>
      </c>
      <c r="C1190" s="154">
        <v>1109</v>
      </c>
      <c r="D1190" s="156" t="str">
        <f t="shared" si="414"/>
        <v>Kumite</v>
      </c>
      <c r="E1190" s="156" t="str">
        <f t="shared" ref="E1190:E1195" si="424">"Kumite, U12/Gyerek II lány 45- kg"</f>
        <v>Kumite, U12/Gyerek II lány 45- kg</v>
      </c>
      <c r="F1190" s="156" t="s">
        <v>528</v>
      </c>
      <c r="G1190" s="157" t="str">
        <f t="shared" ref="G1190:G1195" si="425">"6"</f>
        <v>6</v>
      </c>
      <c r="H1190" s="156" t="str">
        <f t="shared" ref="H1190:H1195" si="426">"6 fős vegyes"</f>
        <v>6 fős vegyes</v>
      </c>
      <c r="I1190" s="157" t="str">
        <f>"1"</f>
        <v>1</v>
      </c>
      <c r="J1190" s="156" t="str">
        <f>"Matkó Gréta"</f>
        <v>Matkó Gréta</v>
      </c>
      <c r="K1190" s="156" t="str">
        <f>"KHSE"</f>
        <v>KHSE</v>
      </c>
      <c r="L1190" s="156" t="str">
        <f t="shared" si="418"/>
        <v>HUN</v>
      </c>
      <c r="M1190" s="163">
        <v>6</v>
      </c>
      <c r="O1190" s="154" t="s">
        <v>410</v>
      </c>
      <c r="P1190" s="159">
        <v>46103</v>
      </c>
      <c r="Q1190" s="154" t="str">
        <f t="shared" si="419"/>
        <v>Matkó Gréta - KHSE</v>
      </c>
      <c r="R1190" s="154" t="s">
        <v>636</v>
      </c>
      <c r="S1190" s="154" t="str">
        <f t="shared" si="420"/>
        <v>KHSE</v>
      </c>
      <c r="T1190" s="154" t="s">
        <v>645</v>
      </c>
      <c r="U1190" s="154" t="s">
        <v>796</v>
      </c>
      <c r="V1190" s="154"/>
    </row>
    <row r="1191" spans="1:22" s="158" customFormat="1" x14ac:dyDescent="0.3">
      <c r="A1191" s="153" t="s">
        <v>780</v>
      </c>
      <c r="B1191" s="155">
        <v>2</v>
      </c>
      <c r="C1191" s="154">
        <v>1110</v>
      </c>
      <c r="D1191" s="156" t="str">
        <f t="shared" si="414"/>
        <v>Kumite</v>
      </c>
      <c r="E1191" s="156" t="str">
        <f t="shared" si="424"/>
        <v>Kumite, U12/Gyerek II lány 45- kg</v>
      </c>
      <c r="F1191" s="156" t="s">
        <v>528</v>
      </c>
      <c r="G1191" s="157" t="str">
        <f t="shared" si="425"/>
        <v>6</v>
      </c>
      <c r="H1191" s="156" t="str">
        <f t="shared" si="426"/>
        <v>6 fős vegyes</v>
      </c>
      <c r="I1191" s="157" t="str">
        <f>"2"</f>
        <v>2</v>
      </c>
      <c r="J1191" s="156" t="str">
        <f>"Kocsis Nóra"</f>
        <v>Kocsis Nóra</v>
      </c>
      <c r="K1191" s="156" t="str">
        <f>"Genbu dojo"</f>
        <v>Genbu dojo</v>
      </c>
      <c r="L1191" s="156" t="str">
        <f t="shared" si="418"/>
        <v>HUN</v>
      </c>
      <c r="M1191" s="163">
        <v>5</v>
      </c>
      <c r="O1191" s="154" t="s">
        <v>410</v>
      </c>
      <c r="P1191" s="159">
        <v>46103</v>
      </c>
      <c r="Q1191" s="154" t="str">
        <f t="shared" si="419"/>
        <v>Kocsis Nóra - Genbu dojo</v>
      </c>
      <c r="R1191" s="154" t="s">
        <v>637</v>
      </c>
      <c r="S1191" s="154" t="str">
        <f t="shared" si="420"/>
        <v>Genbu dojo</v>
      </c>
      <c r="T1191" s="154" t="s">
        <v>645</v>
      </c>
      <c r="U1191" s="154" t="s">
        <v>796</v>
      </c>
      <c r="V1191" s="154"/>
    </row>
    <row r="1192" spans="1:22" s="158" customFormat="1" x14ac:dyDescent="0.3">
      <c r="A1192" s="153" t="s">
        <v>780</v>
      </c>
      <c r="B1192" s="155">
        <v>2</v>
      </c>
      <c r="C1192" s="154">
        <v>1111</v>
      </c>
      <c r="D1192" s="156" t="str">
        <f t="shared" si="414"/>
        <v>Kumite</v>
      </c>
      <c r="E1192" s="156" t="str">
        <f t="shared" si="424"/>
        <v>Kumite, U12/Gyerek II lány 45- kg</v>
      </c>
      <c r="F1192" s="156" t="s">
        <v>528</v>
      </c>
      <c r="G1192" s="157" t="str">
        <f t="shared" si="425"/>
        <v>6</v>
      </c>
      <c r="H1192" s="156" t="str">
        <f t="shared" si="426"/>
        <v>6 fős vegyes</v>
      </c>
      <c r="I1192" s="157" t="str">
        <f>"3"</f>
        <v>3</v>
      </c>
      <c r="J1192" s="156" t="str">
        <f>"Kocsis Angéla"</f>
        <v>Kocsis Angéla</v>
      </c>
      <c r="K1192" s="156" t="str">
        <f>"Genbu dojo"</f>
        <v>Genbu dojo</v>
      </c>
      <c r="L1192" s="156" t="str">
        <f t="shared" si="418"/>
        <v>HUN</v>
      </c>
      <c r="M1192" s="163">
        <v>3</v>
      </c>
      <c r="O1192" s="154" t="s">
        <v>410</v>
      </c>
      <c r="P1192" s="159">
        <v>46103</v>
      </c>
      <c r="Q1192" s="154" t="str">
        <f t="shared" si="419"/>
        <v>Kocsis Angéla - Genbu dojo</v>
      </c>
      <c r="R1192" s="154" t="s">
        <v>637</v>
      </c>
      <c r="S1192" s="154" t="str">
        <f t="shared" si="420"/>
        <v>Genbu dojo</v>
      </c>
      <c r="T1192" s="154" t="s">
        <v>645</v>
      </c>
      <c r="U1192" s="154" t="s">
        <v>796</v>
      </c>
      <c r="V1192" s="154"/>
    </row>
    <row r="1193" spans="1:22" s="158" customFormat="1" x14ac:dyDescent="0.3">
      <c r="A1193" s="153" t="s">
        <v>780</v>
      </c>
      <c r="B1193" s="155">
        <v>2</v>
      </c>
      <c r="C1193" s="154">
        <v>1112</v>
      </c>
      <c r="D1193" s="156" t="str">
        <f t="shared" si="414"/>
        <v>Kumite</v>
      </c>
      <c r="E1193" s="156" t="str">
        <f t="shared" si="424"/>
        <v>Kumite, U12/Gyerek II lány 45- kg</v>
      </c>
      <c r="F1193" s="156" t="s">
        <v>528</v>
      </c>
      <c r="G1193" s="157" t="str">
        <f t="shared" si="425"/>
        <v>6</v>
      </c>
      <c r="H1193" s="156" t="str">
        <f t="shared" si="426"/>
        <v>6 fős vegyes</v>
      </c>
      <c r="I1193" s="157" t="str">
        <f>"4"</f>
        <v>4</v>
      </c>
      <c r="J1193" s="156" t="str">
        <f>"Szabó Lídia Lillada"</f>
        <v>Szabó Lídia Lillada</v>
      </c>
      <c r="K1193" s="156" t="str">
        <f>"POWER SE."</f>
        <v>POWER SE.</v>
      </c>
      <c r="L1193" s="156" t="str">
        <f t="shared" si="418"/>
        <v>HUN</v>
      </c>
      <c r="M1193" s="163">
        <v>0</v>
      </c>
      <c r="O1193" s="154" t="s">
        <v>410</v>
      </c>
      <c r="P1193" s="159">
        <v>46103</v>
      </c>
      <c r="Q1193" s="154" t="str">
        <f t="shared" si="419"/>
        <v>Szabó Lídia Lillada - POWER SE.</v>
      </c>
      <c r="R1193" s="154" t="s">
        <v>636</v>
      </c>
      <c r="S1193" s="154" t="str">
        <f t="shared" si="420"/>
        <v>POWER SE.</v>
      </c>
      <c r="T1193" s="154" t="s">
        <v>645</v>
      </c>
      <c r="U1193" s="154" t="s">
        <v>796</v>
      </c>
      <c r="V1193" s="154"/>
    </row>
    <row r="1194" spans="1:22" s="158" customFormat="1" x14ac:dyDescent="0.3">
      <c r="A1194" s="153" t="s">
        <v>780</v>
      </c>
      <c r="B1194" s="155">
        <v>2</v>
      </c>
      <c r="C1194" s="154">
        <v>1113</v>
      </c>
      <c r="D1194" s="156" t="str">
        <f t="shared" si="414"/>
        <v>Kumite</v>
      </c>
      <c r="E1194" s="156" t="str">
        <f t="shared" si="424"/>
        <v>Kumite, U12/Gyerek II lány 45- kg</v>
      </c>
      <c r="F1194" s="156" t="s">
        <v>528</v>
      </c>
      <c r="G1194" s="157" t="str">
        <f t="shared" si="425"/>
        <v>6</v>
      </c>
      <c r="H1194" s="156" t="str">
        <f t="shared" si="426"/>
        <v>6 fős vegyes</v>
      </c>
      <c r="I1194" s="157" t="str">
        <f>"5"</f>
        <v>5</v>
      </c>
      <c r="J1194" s="156" t="str">
        <f>"Dászkál Dorottya"</f>
        <v>Dászkál Dorottya</v>
      </c>
      <c r="K1194" s="156" t="str">
        <f>"Shogun"</f>
        <v>Shogun</v>
      </c>
      <c r="L1194" s="156" t="str">
        <f t="shared" si="418"/>
        <v>HUN</v>
      </c>
      <c r="M1194" s="163">
        <v>0</v>
      </c>
      <c r="O1194" s="154" t="s">
        <v>410</v>
      </c>
      <c r="P1194" s="159">
        <v>46103</v>
      </c>
      <c r="Q1194" s="154" t="str">
        <f t="shared" si="419"/>
        <v>Dászkál Dorottya - Shogun</v>
      </c>
      <c r="R1194" s="154" t="s">
        <v>636</v>
      </c>
      <c r="S1194" s="154" t="str">
        <f t="shared" si="420"/>
        <v>Shogun</v>
      </c>
      <c r="T1194" s="154" t="s">
        <v>645</v>
      </c>
      <c r="U1194" s="154" t="s">
        <v>796</v>
      </c>
      <c r="V1194" s="154"/>
    </row>
    <row r="1195" spans="1:22" s="158" customFormat="1" x14ac:dyDescent="0.3">
      <c r="A1195" s="153" t="s">
        <v>780</v>
      </c>
      <c r="B1195" s="155">
        <v>2</v>
      </c>
      <c r="C1195" s="154">
        <v>1114</v>
      </c>
      <c r="D1195" s="156" t="str">
        <f t="shared" si="414"/>
        <v>Kumite</v>
      </c>
      <c r="E1195" s="156" t="str">
        <f t="shared" si="424"/>
        <v>Kumite, U12/Gyerek II lány 45- kg</v>
      </c>
      <c r="F1195" s="156" t="s">
        <v>528</v>
      </c>
      <c r="G1195" s="157" t="str">
        <f t="shared" si="425"/>
        <v>6</v>
      </c>
      <c r="H1195" s="156" t="str">
        <f t="shared" si="426"/>
        <v>6 fős vegyes</v>
      </c>
      <c r="I1195" s="157" t="str">
        <f>"6"</f>
        <v>6</v>
      </c>
      <c r="J1195" s="156" t="str">
        <f>"Janás Mia"</f>
        <v>Janás Mia</v>
      </c>
      <c r="K1195" s="156" t="str">
        <f>"Főnix Dojo"</f>
        <v>Főnix Dojo</v>
      </c>
      <c r="L1195" s="156" t="str">
        <f t="shared" si="418"/>
        <v>HUN</v>
      </c>
      <c r="M1195" s="163">
        <v>0</v>
      </c>
      <c r="O1195" s="154" t="s">
        <v>410</v>
      </c>
      <c r="P1195" s="159">
        <v>46103</v>
      </c>
      <c r="Q1195" s="154" t="str">
        <f t="shared" si="419"/>
        <v>Janás Mia - Főnix Dojo</v>
      </c>
      <c r="R1195" s="154" t="s">
        <v>636</v>
      </c>
      <c r="S1195" s="154" t="str">
        <f t="shared" si="420"/>
        <v>Főnix Dojo</v>
      </c>
      <c r="T1195" s="154" t="s">
        <v>645</v>
      </c>
      <c r="U1195" s="154" t="s">
        <v>796</v>
      </c>
      <c r="V1195" s="154"/>
    </row>
    <row r="1196" spans="1:22" s="158" customFormat="1" x14ac:dyDescent="0.3">
      <c r="A1196" s="153" t="s">
        <v>780</v>
      </c>
      <c r="B1196" s="155">
        <v>2</v>
      </c>
      <c r="C1196" s="154">
        <v>1115</v>
      </c>
      <c r="D1196" s="156" t="str">
        <f t="shared" si="414"/>
        <v>Kumite</v>
      </c>
      <c r="E1196" s="156" t="str">
        <f t="shared" ref="E1196:E1204" si="427">"Kumite, U14/Serdülő fiú 0-44,9 kg"</f>
        <v>Kumite, U14/Serdülő fiú 0-44,9 kg</v>
      </c>
      <c r="F1196" s="156" t="s">
        <v>530</v>
      </c>
      <c r="G1196" s="157" t="str">
        <f t="shared" ref="G1196:G1204" si="428">"9"</f>
        <v>9</v>
      </c>
      <c r="H1196" s="156" t="str">
        <f t="shared" ref="H1196:H1214" si="429">"16 fős egyenes kiesés"</f>
        <v>16 fős egyenes kiesés</v>
      </c>
      <c r="I1196" s="157" t="str">
        <f>"1"</f>
        <v>1</v>
      </c>
      <c r="J1196" s="156" t="str">
        <f>"Bárkovics Áron"</f>
        <v>Bárkovics Áron</v>
      </c>
      <c r="K1196" s="156" t="str">
        <f>"KKE - Spartacus"</f>
        <v>KKE - Spartacus</v>
      </c>
      <c r="L1196" s="156" t="str">
        <f t="shared" si="418"/>
        <v>HUN</v>
      </c>
      <c r="M1196" s="163">
        <v>8</v>
      </c>
      <c r="O1196" s="154" t="s">
        <v>410</v>
      </c>
      <c r="P1196" s="159">
        <v>46103</v>
      </c>
      <c r="Q1196" s="154" t="str">
        <f t="shared" si="419"/>
        <v>Bárkovics Áron - KKE - Spartacus</v>
      </c>
      <c r="R1196" s="154" t="s">
        <v>636</v>
      </c>
      <c r="S1196" s="154" t="str">
        <f t="shared" si="420"/>
        <v>KKE - Spartacus</v>
      </c>
      <c r="T1196" s="154" t="s">
        <v>645</v>
      </c>
      <c r="U1196" s="154" t="s">
        <v>797</v>
      </c>
      <c r="V1196" s="154"/>
    </row>
    <row r="1197" spans="1:22" s="158" customFormat="1" x14ac:dyDescent="0.3">
      <c r="A1197" s="153" t="s">
        <v>780</v>
      </c>
      <c r="B1197" s="155">
        <v>2</v>
      </c>
      <c r="C1197" s="154">
        <v>1116</v>
      </c>
      <c r="D1197" s="156" t="str">
        <f t="shared" si="414"/>
        <v>Kumite</v>
      </c>
      <c r="E1197" s="156" t="str">
        <f t="shared" si="427"/>
        <v>Kumite, U14/Serdülő fiú 0-44,9 kg</v>
      </c>
      <c r="F1197" s="156" t="s">
        <v>530</v>
      </c>
      <c r="G1197" s="157" t="str">
        <f t="shared" si="428"/>
        <v>9</v>
      </c>
      <c r="H1197" s="156" t="str">
        <f t="shared" si="429"/>
        <v>16 fős egyenes kiesés</v>
      </c>
      <c r="I1197" s="157" t="str">
        <f>"2"</f>
        <v>2</v>
      </c>
      <c r="J1197" s="156" t="str">
        <f>"Böszörményi Bendegúz "</f>
        <v xml:space="preserve">Böszörményi Bendegúz </v>
      </c>
      <c r="K1197" s="156" t="str">
        <f>"Nagykátai Bushido SE"</f>
        <v>Nagykátai Bushido SE</v>
      </c>
      <c r="L1197" s="156" t="str">
        <f t="shared" si="418"/>
        <v>HUN</v>
      </c>
      <c r="M1197" s="163">
        <v>6</v>
      </c>
      <c r="O1197" s="154" t="s">
        <v>410</v>
      </c>
      <c r="P1197" s="159">
        <v>46103</v>
      </c>
      <c r="Q1197" s="154" t="str">
        <f t="shared" si="419"/>
        <v>Böszörményi Bendegúz  - Nagykátai Bushido SE</v>
      </c>
      <c r="R1197" s="154" t="s">
        <v>636</v>
      </c>
      <c r="S1197" s="154" t="str">
        <f t="shared" si="420"/>
        <v>Nagykátai Bushido SE</v>
      </c>
      <c r="T1197" s="154" t="s">
        <v>645</v>
      </c>
      <c r="U1197" s="154" t="s">
        <v>797</v>
      </c>
      <c r="V1197" s="154"/>
    </row>
    <row r="1198" spans="1:22" s="158" customFormat="1" x14ac:dyDescent="0.3">
      <c r="A1198" s="153" t="s">
        <v>780</v>
      </c>
      <c r="B1198" s="155">
        <v>2</v>
      </c>
      <c r="C1198" s="154">
        <v>1117</v>
      </c>
      <c r="D1198" s="156" t="str">
        <f t="shared" si="414"/>
        <v>Kumite</v>
      </c>
      <c r="E1198" s="156" t="str">
        <f t="shared" si="427"/>
        <v>Kumite, U14/Serdülő fiú 0-44,9 kg</v>
      </c>
      <c r="F1198" s="156" t="s">
        <v>530</v>
      </c>
      <c r="G1198" s="157" t="str">
        <f t="shared" si="428"/>
        <v>9</v>
      </c>
      <c r="H1198" s="156" t="str">
        <f t="shared" si="429"/>
        <v>16 fős egyenes kiesés</v>
      </c>
      <c r="I1198" s="157" t="str">
        <f>"3"</f>
        <v>3</v>
      </c>
      <c r="J1198" s="156" t="str">
        <f>"Szabó Zoltán Szüa"</f>
        <v>Szabó Zoltán Szüa</v>
      </c>
      <c r="K1198" s="156" t="str">
        <f>"POWER SE."</f>
        <v>POWER SE.</v>
      </c>
      <c r="L1198" s="156" t="str">
        <f t="shared" si="418"/>
        <v>HUN</v>
      </c>
      <c r="M1198" s="163">
        <v>4</v>
      </c>
      <c r="O1198" s="154" t="s">
        <v>410</v>
      </c>
      <c r="P1198" s="159">
        <v>46103</v>
      </c>
      <c r="Q1198" s="154" t="str">
        <f t="shared" si="419"/>
        <v>Szabó Zoltán Szüa - POWER SE.</v>
      </c>
      <c r="R1198" s="154" t="s">
        <v>636</v>
      </c>
      <c r="S1198" s="154" t="str">
        <f t="shared" si="420"/>
        <v>POWER SE.</v>
      </c>
      <c r="T1198" s="154" t="s">
        <v>645</v>
      </c>
      <c r="U1198" s="154" t="s">
        <v>797</v>
      </c>
      <c r="V1198" s="154"/>
    </row>
    <row r="1199" spans="1:22" s="158" customFormat="1" x14ac:dyDescent="0.3">
      <c r="A1199" s="153" t="s">
        <v>780</v>
      </c>
      <c r="B1199" s="155">
        <v>2</v>
      </c>
      <c r="C1199" s="154">
        <v>1118</v>
      </c>
      <c r="D1199" s="156" t="str">
        <f t="shared" si="414"/>
        <v>Kumite</v>
      </c>
      <c r="E1199" s="156" t="str">
        <f t="shared" si="427"/>
        <v>Kumite, U14/Serdülő fiú 0-44,9 kg</v>
      </c>
      <c r="F1199" s="156" t="s">
        <v>530</v>
      </c>
      <c r="G1199" s="157" t="str">
        <f t="shared" si="428"/>
        <v>9</v>
      </c>
      <c r="H1199" s="156" t="str">
        <f t="shared" si="429"/>
        <v>16 fős egyenes kiesés</v>
      </c>
      <c r="I1199" s="157" t="str">
        <f>"3"</f>
        <v>3</v>
      </c>
      <c r="J1199" s="156" t="str">
        <f>"Hegedűs Zsombor"</f>
        <v>Hegedűs Zsombor</v>
      </c>
      <c r="K1199" s="156" t="str">
        <f>"Nagykátai Bushido SE"</f>
        <v>Nagykátai Bushido SE</v>
      </c>
      <c r="L1199" s="156" t="str">
        <f t="shared" si="418"/>
        <v>HUN</v>
      </c>
      <c r="M1199" s="163">
        <v>4</v>
      </c>
      <c r="O1199" s="154" t="s">
        <v>410</v>
      </c>
      <c r="P1199" s="159">
        <v>46103</v>
      </c>
      <c r="Q1199" s="154" t="str">
        <f t="shared" si="419"/>
        <v>Hegedűs Zsombor - Nagykátai Bushido SE</v>
      </c>
      <c r="R1199" s="154" t="s">
        <v>636</v>
      </c>
      <c r="S1199" s="154" t="str">
        <f t="shared" si="420"/>
        <v>Nagykátai Bushido SE</v>
      </c>
      <c r="T1199" s="154" t="s">
        <v>645</v>
      </c>
      <c r="U1199" s="154" t="s">
        <v>797</v>
      </c>
      <c r="V1199" s="154"/>
    </row>
    <row r="1200" spans="1:22" s="158" customFormat="1" x14ac:dyDescent="0.3">
      <c r="A1200" s="153" t="s">
        <v>780</v>
      </c>
      <c r="B1200" s="155">
        <v>2</v>
      </c>
      <c r="C1200" s="154">
        <v>1119</v>
      </c>
      <c r="D1200" s="156" t="str">
        <f t="shared" si="414"/>
        <v>Kumite</v>
      </c>
      <c r="E1200" s="156" t="str">
        <f t="shared" si="427"/>
        <v>Kumite, U14/Serdülő fiú 0-44,9 kg</v>
      </c>
      <c r="F1200" s="156" t="s">
        <v>530</v>
      </c>
      <c r="G1200" s="157" t="str">
        <f t="shared" si="428"/>
        <v>9</v>
      </c>
      <c r="H1200" s="156" t="str">
        <f t="shared" si="429"/>
        <v>16 fős egyenes kiesés</v>
      </c>
      <c r="I1200" s="157" t="str">
        <f>"5"</f>
        <v>5</v>
      </c>
      <c r="J1200" s="156" t="str">
        <f>"Bara András"</f>
        <v>Bara András</v>
      </c>
      <c r="K1200" s="156" t="str">
        <f>"Wheelmaker dojo SE"</f>
        <v>Wheelmaker dojo SE</v>
      </c>
      <c r="L1200" s="156" t="str">
        <f t="shared" si="418"/>
        <v>HUN</v>
      </c>
      <c r="M1200" s="163">
        <v>0</v>
      </c>
      <c r="N1200" s="158" t="s">
        <v>704</v>
      </c>
      <c r="O1200" s="154" t="s">
        <v>410</v>
      </c>
      <c r="P1200" s="159">
        <v>46103</v>
      </c>
      <c r="Q1200" s="154" t="str">
        <f t="shared" si="419"/>
        <v>Bara András - Wheelmaker dojo SE</v>
      </c>
      <c r="R1200" s="154" t="s">
        <v>637</v>
      </c>
      <c r="S1200" s="154" t="str">
        <f t="shared" si="420"/>
        <v>Wheelmaker dojo SE</v>
      </c>
      <c r="T1200" s="154" t="s">
        <v>645</v>
      </c>
      <c r="U1200" s="154" t="s">
        <v>797</v>
      </c>
      <c r="V1200" s="154"/>
    </row>
    <row r="1201" spans="1:22" s="158" customFormat="1" x14ac:dyDescent="0.3">
      <c r="A1201" s="153" t="s">
        <v>780</v>
      </c>
      <c r="B1201" s="155">
        <v>2</v>
      </c>
      <c r="C1201" s="154">
        <v>1120</v>
      </c>
      <c r="D1201" s="156" t="str">
        <f t="shared" si="414"/>
        <v>Kumite</v>
      </c>
      <c r="E1201" s="156" t="str">
        <f t="shared" si="427"/>
        <v>Kumite, U14/Serdülő fiú 0-44,9 kg</v>
      </c>
      <c r="F1201" s="156" t="s">
        <v>530</v>
      </c>
      <c r="G1201" s="157" t="str">
        <f t="shared" si="428"/>
        <v>9</v>
      </c>
      <c r="H1201" s="156" t="str">
        <f t="shared" si="429"/>
        <v>16 fős egyenes kiesés</v>
      </c>
      <c r="I1201" s="157" t="str">
        <f>"6"</f>
        <v>6</v>
      </c>
      <c r="J1201" s="156" t="str">
        <f>"Székely Lázár"</f>
        <v>Székely Lázár</v>
      </c>
      <c r="K1201" s="156" t="str">
        <f>"KYO Fighter SE"</f>
        <v>KYO Fighter SE</v>
      </c>
      <c r="L1201" s="156" t="str">
        <f t="shared" si="418"/>
        <v>HUN</v>
      </c>
      <c r="M1201" s="163">
        <v>0</v>
      </c>
      <c r="N1201" s="158" t="s">
        <v>704</v>
      </c>
      <c r="O1201" s="154" t="s">
        <v>410</v>
      </c>
      <c r="P1201" s="159">
        <v>46103</v>
      </c>
      <c r="Q1201" s="154" t="str">
        <f t="shared" si="419"/>
        <v>Székely Lázár - KYO Fighter SE</v>
      </c>
      <c r="R1201" s="154" t="s">
        <v>636</v>
      </c>
      <c r="S1201" s="154" t="str">
        <f t="shared" si="420"/>
        <v>KYO Fighter SE</v>
      </c>
      <c r="T1201" s="154" t="s">
        <v>645</v>
      </c>
      <c r="U1201" s="154" t="s">
        <v>797</v>
      </c>
      <c r="V1201" s="154"/>
    </row>
    <row r="1202" spans="1:22" s="158" customFormat="1" x14ac:dyDescent="0.3">
      <c r="A1202" s="153" t="s">
        <v>780</v>
      </c>
      <c r="B1202" s="155">
        <v>2</v>
      </c>
      <c r="C1202" s="154">
        <v>1121</v>
      </c>
      <c r="D1202" s="156" t="str">
        <f t="shared" si="414"/>
        <v>Kumite</v>
      </c>
      <c r="E1202" s="156" t="str">
        <f t="shared" si="427"/>
        <v>Kumite, U14/Serdülő fiú 0-44,9 kg</v>
      </c>
      <c r="F1202" s="156" t="s">
        <v>530</v>
      </c>
      <c r="G1202" s="157" t="str">
        <f t="shared" si="428"/>
        <v>9</v>
      </c>
      <c r="H1202" s="156" t="str">
        <f t="shared" si="429"/>
        <v>16 fős egyenes kiesés</v>
      </c>
      <c r="I1202" s="157" t="str">
        <f>"7-8"</f>
        <v>7-8</v>
      </c>
      <c r="J1202" s="156" t="str">
        <f>"Béres Bence"</f>
        <v>Béres Bence</v>
      </c>
      <c r="K1202" s="156" t="str">
        <f>"VTSE"</f>
        <v>VTSE</v>
      </c>
      <c r="L1202" s="156" t="str">
        <f t="shared" si="418"/>
        <v>HUN</v>
      </c>
      <c r="M1202" s="163">
        <v>0</v>
      </c>
      <c r="N1202" s="158" t="s">
        <v>704</v>
      </c>
      <c r="O1202" s="154" t="s">
        <v>410</v>
      </c>
      <c r="P1202" s="159">
        <v>46103</v>
      </c>
      <c r="Q1202" s="154" t="str">
        <f t="shared" si="419"/>
        <v>Béres Bence - VTSE</v>
      </c>
      <c r="R1202" s="154" t="s">
        <v>637</v>
      </c>
      <c r="S1202" s="154" t="str">
        <f t="shared" si="420"/>
        <v>VTSE</v>
      </c>
      <c r="T1202" s="154" t="s">
        <v>645</v>
      </c>
      <c r="U1202" s="154" t="s">
        <v>797</v>
      </c>
      <c r="V1202" s="154"/>
    </row>
    <row r="1203" spans="1:22" s="158" customFormat="1" x14ac:dyDescent="0.3">
      <c r="A1203" s="153" t="s">
        <v>780</v>
      </c>
      <c r="B1203" s="155">
        <v>2</v>
      </c>
      <c r="C1203" s="154">
        <v>1122</v>
      </c>
      <c r="D1203" s="156" t="str">
        <f t="shared" si="414"/>
        <v>Kumite</v>
      </c>
      <c r="E1203" s="156" t="str">
        <f t="shared" si="427"/>
        <v>Kumite, U14/Serdülő fiú 0-44,9 kg</v>
      </c>
      <c r="F1203" s="156" t="s">
        <v>530</v>
      </c>
      <c r="G1203" s="157" t="str">
        <f t="shared" si="428"/>
        <v>9</v>
      </c>
      <c r="H1203" s="156" t="str">
        <f t="shared" si="429"/>
        <v>16 fős egyenes kiesés</v>
      </c>
      <c r="I1203" s="157" t="str">
        <f>"7-8"</f>
        <v>7-8</v>
      </c>
      <c r="J1203" s="156" t="str">
        <f>"Palmer Ádám"</f>
        <v>Palmer Ádám</v>
      </c>
      <c r="K1203" s="156" t="str">
        <f>"Wheelmaker dojo SE"</f>
        <v>Wheelmaker dojo SE</v>
      </c>
      <c r="L1203" s="156" t="str">
        <f t="shared" si="418"/>
        <v>HUN</v>
      </c>
      <c r="M1203" s="163">
        <v>0</v>
      </c>
      <c r="N1203" s="158" t="s">
        <v>704</v>
      </c>
      <c r="O1203" s="154" t="s">
        <v>410</v>
      </c>
      <c r="P1203" s="159">
        <v>46103</v>
      </c>
      <c r="Q1203" s="154" t="str">
        <f t="shared" si="419"/>
        <v>Palmer Ádám - Wheelmaker dojo SE</v>
      </c>
      <c r="R1203" s="154" t="s">
        <v>637</v>
      </c>
      <c r="S1203" s="154" t="str">
        <f t="shared" si="420"/>
        <v>Wheelmaker dojo SE</v>
      </c>
      <c r="T1203" s="154" t="s">
        <v>645</v>
      </c>
      <c r="U1203" s="154" t="s">
        <v>797</v>
      </c>
      <c r="V1203" s="154"/>
    </row>
    <row r="1204" spans="1:22" s="158" customFormat="1" x14ac:dyDescent="0.3">
      <c r="A1204" s="153" t="s">
        <v>780</v>
      </c>
      <c r="B1204" s="155">
        <v>2</v>
      </c>
      <c r="C1204" s="154">
        <v>1123</v>
      </c>
      <c r="D1204" s="156" t="str">
        <f t="shared" si="414"/>
        <v>Kumite</v>
      </c>
      <c r="E1204" s="156" t="str">
        <f t="shared" si="427"/>
        <v>Kumite, U14/Serdülő fiú 0-44,9 kg</v>
      </c>
      <c r="F1204" s="156" t="s">
        <v>530</v>
      </c>
      <c r="G1204" s="157" t="str">
        <f t="shared" si="428"/>
        <v>9</v>
      </c>
      <c r="H1204" s="156" t="str">
        <f t="shared" si="429"/>
        <v>16 fős egyenes kiesés</v>
      </c>
      <c r="I1204" s="157" t="str">
        <f>"11-16"</f>
        <v>11-16</v>
      </c>
      <c r="J1204" s="156" t="str">
        <f>"Rudi Gergő"</f>
        <v>Rudi Gergő</v>
      </c>
      <c r="K1204" s="156" t="str">
        <f>"Rakurai"</f>
        <v>Rakurai</v>
      </c>
      <c r="L1204" s="156" t="str">
        <f t="shared" si="418"/>
        <v>HUN</v>
      </c>
      <c r="M1204" s="163">
        <v>0</v>
      </c>
      <c r="O1204" s="154" t="s">
        <v>410</v>
      </c>
      <c r="P1204" s="159">
        <v>46103</v>
      </c>
      <c r="Q1204" s="154" t="str">
        <f t="shared" si="419"/>
        <v>Rudi Gergő - Rakurai</v>
      </c>
      <c r="R1204" s="154" t="s">
        <v>636</v>
      </c>
      <c r="S1204" s="154" t="str">
        <f t="shared" si="420"/>
        <v>Rakurai</v>
      </c>
      <c r="T1204" s="154" t="s">
        <v>645</v>
      </c>
      <c r="U1204" s="154" t="s">
        <v>797</v>
      </c>
      <c r="V1204" s="154"/>
    </row>
    <row r="1205" spans="1:22" s="158" customFormat="1" x14ac:dyDescent="0.3">
      <c r="A1205" s="153" t="s">
        <v>780</v>
      </c>
      <c r="B1205" s="155">
        <v>2</v>
      </c>
      <c r="C1205" s="154">
        <v>1124</v>
      </c>
      <c r="D1205" s="156" t="str">
        <f t="shared" si="414"/>
        <v>Kumite</v>
      </c>
      <c r="E1205" s="156" t="str">
        <f t="shared" ref="E1205:E1214" si="430">"Kumite, U14/Serdülő fiú 45-54,9 kg"</f>
        <v>Kumite, U14/Serdülő fiú 45-54,9 kg</v>
      </c>
      <c r="F1205" s="156" t="s">
        <v>534</v>
      </c>
      <c r="G1205" s="157" t="str">
        <f t="shared" ref="G1205:G1214" si="431">"10"</f>
        <v>10</v>
      </c>
      <c r="H1205" s="156" t="str">
        <f t="shared" si="429"/>
        <v>16 fős egyenes kiesés</v>
      </c>
      <c r="I1205" s="157" t="str">
        <f>"1"</f>
        <v>1</v>
      </c>
      <c r="J1205" s="156" t="str">
        <f>"Viszugyel Bálint"</f>
        <v>Viszugyel Bálint</v>
      </c>
      <c r="K1205" s="156" t="str">
        <f>"VTSE"</f>
        <v>VTSE</v>
      </c>
      <c r="L1205" s="156" t="str">
        <f t="shared" si="418"/>
        <v>HUN</v>
      </c>
      <c r="M1205" s="163">
        <v>8</v>
      </c>
      <c r="O1205" s="154" t="s">
        <v>410</v>
      </c>
      <c r="P1205" s="159">
        <v>46103</v>
      </c>
      <c r="Q1205" s="154" t="str">
        <f t="shared" si="419"/>
        <v>Viszugyel Bálint - VTSE</v>
      </c>
      <c r="R1205" s="154" t="s">
        <v>637</v>
      </c>
      <c r="S1205" s="154" t="str">
        <f t="shared" si="420"/>
        <v>VTSE</v>
      </c>
      <c r="T1205" s="154" t="s">
        <v>645</v>
      </c>
      <c r="U1205" s="154" t="s">
        <v>797</v>
      </c>
      <c r="V1205" s="154"/>
    </row>
    <row r="1206" spans="1:22" s="158" customFormat="1" x14ac:dyDescent="0.3">
      <c r="A1206" s="153" t="s">
        <v>780</v>
      </c>
      <c r="B1206" s="155">
        <v>2</v>
      </c>
      <c r="C1206" s="154">
        <v>1125</v>
      </c>
      <c r="D1206" s="156" t="str">
        <f t="shared" si="414"/>
        <v>Kumite</v>
      </c>
      <c r="E1206" s="156" t="str">
        <f t="shared" si="430"/>
        <v>Kumite, U14/Serdülő fiú 45-54,9 kg</v>
      </c>
      <c r="F1206" s="156" t="s">
        <v>534</v>
      </c>
      <c r="G1206" s="157" t="str">
        <f t="shared" si="431"/>
        <v>10</v>
      </c>
      <c r="H1206" s="156" t="str">
        <f t="shared" si="429"/>
        <v>16 fős egyenes kiesés</v>
      </c>
      <c r="I1206" s="157" t="str">
        <f>"2"</f>
        <v>2</v>
      </c>
      <c r="J1206" s="156" t="str">
        <f>"Vig Bendegúz"</f>
        <v>Vig Bendegúz</v>
      </c>
      <c r="K1206" s="156" t="str">
        <f>"VTSE"</f>
        <v>VTSE</v>
      </c>
      <c r="L1206" s="156" t="str">
        <f t="shared" si="418"/>
        <v>HUN</v>
      </c>
      <c r="M1206" s="163">
        <v>6</v>
      </c>
      <c r="O1206" s="154" t="s">
        <v>410</v>
      </c>
      <c r="P1206" s="159">
        <v>46103</v>
      </c>
      <c r="Q1206" s="154" t="str">
        <f t="shared" si="419"/>
        <v>Vig Bendegúz - VTSE</v>
      </c>
      <c r="R1206" s="154" t="s">
        <v>637</v>
      </c>
      <c r="S1206" s="154" t="str">
        <f t="shared" si="420"/>
        <v>VTSE</v>
      </c>
      <c r="T1206" s="154" t="s">
        <v>645</v>
      </c>
      <c r="U1206" s="154" t="s">
        <v>797</v>
      </c>
      <c r="V1206" s="154"/>
    </row>
    <row r="1207" spans="1:22" s="158" customFormat="1" x14ac:dyDescent="0.3">
      <c r="A1207" s="153" t="s">
        <v>780</v>
      </c>
      <c r="B1207" s="155">
        <v>2</v>
      </c>
      <c r="C1207" s="154">
        <v>1126</v>
      </c>
      <c r="D1207" s="156" t="str">
        <f t="shared" si="414"/>
        <v>Kumite</v>
      </c>
      <c r="E1207" s="156" t="str">
        <f t="shared" si="430"/>
        <v>Kumite, U14/Serdülő fiú 45-54,9 kg</v>
      </c>
      <c r="F1207" s="156" t="s">
        <v>534</v>
      </c>
      <c r="G1207" s="157" t="str">
        <f t="shared" si="431"/>
        <v>10</v>
      </c>
      <c r="H1207" s="156" t="str">
        <f t="shared" si="429"/>
        <v>16 fős egyenes kiesés</v>
      </c>
      <c r="I1207" s="157" t="str">
        <f>"3"</f>
        <v>3</v>
      </c>
      <c r="J1207" s="156" t="str">
        <f>"Tóth Kornél"</f>
        <v>Tóth Kornél</v>
      </c>
      <c r="K1207" s="156" t="str">
        <f>"KKE - Spartacus"</f>
        <v>KKE - Spartacus</v>
      </c>
      <c r="L1207" s="156" t="str">
        <f t="shared" si="418"/>
        <v>HUN</v>
      </c>
      <c r="M1207" s="163">
        <v>4</v>
      </c>
      <c r="O1207" s="154" t="s">
        <v>410</v>
      </c>
      <c r="P1207" s="159">
        <v>46103</v>
      </c>
      <c r="Q1207" s="154" t="str">
        <f t="shared" si="419"/>
        <v>Tóth Kornél - KKE - Spartacus</v>
      </c>
      <c r="R1207" s="154" t="s">
        <v>636</v>
      </c>
      <c r="S1207" s="154" t="str">
        <f t="shared" si="420"/>
        <v>KKE - Spartacus</v>
      </c>
      <c r="T1207" s="154" t="s">
        <v>645</v>
      </c>
      <c r="U1207" s="154" t="s">
        <v>797</v>
      </c>
      <c r="V1207" s="154"/>
    </row>
    <row r="1208" spans="1:22" s="158" customFormat="1" x14ac:dyDescent="0.3">
      <c r="A1208" s="153" t="s">
        <v>780</v>
      </c>
      <c r="B1208" s="155">
        <v>2</v>
      </c>
      <c r="C1208" s="154">
        <v>1127</v>
      </c>
      <c r="D1208" s="156" t="str">
        <f t="shared" si="414"/>
        <v>Kumite</v>
      </c>
      <c r="E1208" s="156" t="str">
        <f t="shared" si="430"/>
        <v>Kumite, U14/Serdülő fiú 45-54,9 kg</v>
      </c>
      <c r="F1208" s="156" t="s">
        <v>534</v>
      </c>
      <c r="G1208" s="157" t="str">
        <f t="shared" si="431"/>
        <v>10</v>
      </c>
      <c r="H1208" s="156" t="str">
        <f t="shared" si="429"/>
        <v>16 fős egyenes kiesés</v>
      </c>
      <c r="I1208" s="157" t="str">
        <f>"3"</f>
        <v>3</v>
      </c>
      <c r="J1208" s="156" t="str">
        <f>"Simao Roberto"</f>
        <v>Simao Roberto</v>
      </c>
      <c r="K1208" s="156" t="str">
        <f>"Délegyházi Karate SE"</f>
        <v>Délegyházi Karate SE</v>
      </c>
      <c r="L1208" s="156" t="str">
        <f t="shared" si="418"/>
        <v>HUN</v>
      </c>
      <c r="M1208" s="163">
        <v>4</v>
      </c>
      <c r="O1208" s="154" t="s">
        <v>410</v>
      </c>
      <c r="P1208" s="159">
        <v>46103</v>
      </c>
      <c r="Q1208" s="154" t="str">
        <f t="shared" si="419"/>
        <v>Simao Roberto - Délegyházi Karate SE</v>
      </c>
      <c r="R1208" s="154" t="s">
        <v>637</v>
      </c>
      <c r="S1208" s="154" t="str">
        <f t="shared" si="420"/>
        <v>Délegyházi Karate SE</v>
      </c>
      <c r="T1208" s="154" t="s">
        <v>645</v>
      </c>
      <c r="U1208" s="154" t="s">
        <v>797</v>
      </c>
      <c r="V1208" s="154"/>
    </row>
    <row r="1209" spans="1:22" s="158" customFormat="1" x14ac:dyDescent="0.3">
      <c r="A1209" s="153" t="s">
        <v>780</v>
      </c>
      <c r="B1209" s="155">
        <v>2</v>
      </c>
      <c r="C1209" s="154">
        <v>1128</v>
      </c>
      <c r="D1209" s="156" t="str">
        <f t="shared" si="414"/>
        <v>Kumite</v>
      </c>
      <c r="E1209" s="156" t="str">
        <f t="shared" si="430"/>
        <v>Kumite, U14/Serdülő fiú 45-54,9 kg</v>
      </c>
      <c r="F1209" s="156" t="s">
        <v>534</v>
      </c>
      <c r="G1209" s="157" t="str">
        <f t="shared" si="431"/>
        <v>10</v>
      </c>
      <c r="H1209" s="156" t="str">
        <f t="shared" si="429"/>
        <v>16 fős egyenes kiesés</v>
      </c>
      <c r="I1209" s="157" t="str">
        <f>"5"</f>
        <v>5</v>
      </c>
      <c r="J1209" s="156" t="str">
        <f>"Vékony Márk"</f>
        <v>Vékony Márk</v>
      </c>
      <c r="K1209" s="156" t="str">
        <f>"Wheelmaker dojo SE"</f>
        <v>Wheelmaker dojo SE</v>
      </c>
      <c r="L1209" s="156" t="str">
        <f t="shared" si="418"/>
        <v>HUN</v>
      </c>
      <c r="M1209" s="163">
        <v>0</v>
      </c>
      <c r="N1209" s="158" t="s">
        <v>704</v>
      </c>
      <c r="O1209" s="154" t="s">
        <v>410</v>
      </c>
      <c r="P1209" s="159">
        <v>46103</v>
      </c>
      <c r="Q1209" s="154" t="str">
        <f t="shared" si="419"/>
        <v>Vékony Márk - Wheelmaker dojo SE</v>
      </c>
      <c r="R1209" s="154" t="s">
        <v>637</v>
      </c>
      <c r="S1209" s="154" t="str">
        <f t="shared" si="420"/>
        <v>Wheelmaker dojo SE</v>
      </c>
      <c r="T1209" s="154" t="s">
        <v>645</v>
      </c>
      <c r="U1209" s="154" t="s">
        <v>797</v>
      </c>
      <c r="V1209" s="154"/>
    </row>
    <row r="1210" spans="1:22" s="158" customFormat="1" x14ac:dyDescent="0.3">
      <c r="A1210" s="153" t="s">
        <v>780</v>
      </c>
      <c r="B1210" s="155">
        <v>2</v>
      </c>
      <c r="C1210" s="154">
        <v>1129</v>
      </c>
      <c r="D1210" s="156" t="str">
        <f t="shared" si="414"/>
        <v>Kumite</v>
      </c>
      <c r="E1210" s="156" t="str">
        <f t="shared" si="430"/>
        <v>Kumite, U14/Serdülő fiú 45-54,9 kg</v>
      </c>
      <c r="F1210" s="156" t="s">
        <v>534</v>
      </c>
      <c r="G1210" s="157" t="str">
        <f t="shared" si="431"/>
        <v>10</v>
      </c>
      <c r="H1210" s="156" t="str">
        <f t="shared" si="429"/>
        <v>16 fős egyenes kiesés</v>
      </c>
      <c r="I1210" s="157" t="str">
        <f>"6"</f>
        <v>6</v>
      </c>
      <c r="J1210" s="156" t="str">
        <f>"Kollár Gergő"</f>
        <v>Kollár Gergő</v>
      </c>
      <c r="K1210" s="156" t="str">
        <f>"TADASHII "</f>
        <v xml:space="preserve">TADASHII </v>
      </c>
      <c r="L1210" s="156" t="str">
        <f t="shared" si="418"/>
        <v>HUN</v>
      </c>
      <c r="M1210" s="163">
        <v>0</v>
      </c>
      <c r="N1210" s="158" t="s">
        <v>704</v>
      </c>
      <c r="O1210" s="154" t="s">
        <v>410</v>
      </c>
      <c r="P1210" s="159">
        <v>46103</v>
      </c>
      <c r="Q1210" s="154" t="str">
        <f t="shared" si="419"/>
        <v xml:space="preserve">Kollár Gergő - TADASHII </v>
      </c>
      <c r="R1210" s="154" t="s">
        <v>637</v>
      </c>
      <c r="S1210" s="154" t="str">
        <f t="shared" si="420"/>
        <v xml:space="preserve">TADASHII </v>
      </c>
      <c r="T1210" s="154" t="s">
        <v>645</v>
      </c>
      <c r="U1210" s="154" t="s">
        <v>797</v>
      </c>
      <c r="V1210" s="154"/>
    </row>
    <row r="1211" spans="1:22" s="158" customFormat="1" x14ac:dyDescent="0.3">
      <c r="A1211" s="153" t="s">
        <v>780</v>
      </c>
      <c r="B1211" s="155">
        <v>2</v>
      </c>
      <c r="C1211" s="154">
        <v>1130</v>
      </c>
      <c r="D1211" s="156" t="str">
        <f t="shared" si="414"/>
        <v>Kumite</v>
      </c>
      <c r="E1211" s="156" t="str">
        <f t="shared" si="430"/>
        <v>Kumite, U14/Serdülő fiú 45-54,9 kg</v>
      </c>
      <c r="F1211" s="156" t="s">
        <v>534</v>
      </c>
      <c r="G1211" s="157" t="str">
        <f t="shared" si="431"/>
        <v>10</v>
      </c>
      <c r="H1211" s="156" t="str">
        <f t="shared" si="429"/>
        <v>16 fős egyenes kiesés</v>
      </c>
      <c r="I1211" s="157" t="str">
        <f>"7-8"</f>
        <v>7-8</v>
      </c>
      <c r="J1211" s="156" t="str">
        <f>"Kámán Márton"</f>
        <v>Kámán Márton</v>
      </c>
      <c r="K1211" s="156" t="str">
        <f>"Rakurai"</f>
        <v>Rakurai</v>
      </c>
      <c r="L1211" s="156" t="str">
        <f t="shared" si="418"/>
        <v>HUN</v>
      </c>
      <c r="M1211" s="163">
        <v>2</v>
      </c>
      <c r="O1211" s="154" t="s">
        <v>410</v>
      </c>
      <c r="P1211" s="159">
        <v>46103</v>
      </c>
      <c r="Q1211" s="154" t="str">
        <f t="shared" si="419"/>
        <v>Kámán Márton - Rakurai</v>
      </c>
      <c r="R1211" s="154" t="s">
        <v>636</v>
      </c>
      <c r="S1211" s="154" t="str">
        <f t="shared" si="420"/>
        <v>Rakurai</v>
      </c>
      <c r="T1211" s="154" t="s">
        <v>645</v>
      </c>
      <c r="U1211" s="154" t="s">
        <v>797</v>
      </c>
      <c r="V1211" s="154"/>
    </row>
    <row r="1212" spans="1:22" s="158" customFormat="1" x14ac:dyDescent="0.3">
      <c r="A1212" s="153" t="s">
        <v>780</v>
      </c>
      <c r="B1212" s="155">
        <v>2</v>
      </c>
      <c r="C1212" s="154">
        <v>1131</v>
      </c>
      <c r="D1212" s="156" t="str">
        <f t="shared" si="414"/>
        <v>Kumite</v>
      </c>
      <c r="E1212" s="156" t="str">
        <f t="shared" si="430"/>
        <v>Kumite, U14/Serdülő fiú 45-54,9 kg</v>
      </c>
      <c r="F1212" s="156" t="s">
        <v>534</v>
      </c>
      <c r="G1212" s="157" t="str">
        <f t="shared" si="431"/>
        <v>10</v>
      </c>
      <c r="H1212" s="156" t="str">
        <f t="shared" si="429"/>
        <v>16 fős egyenes kiesés</v>
      </c>
      <c r="I1212" s="157" t="str">
        <f>"7-8"</f>
        <v>7-8</v>
      </c>
      <c r="J1212" s="156" t="str">
        <f>"Hadnagy Barnabás"</f>
        <v>Hadnagy Barnabás</v>
      </c>
      <c r="K1212" s="156" t="str">
        <f>"Rokku KKSE"</f>
        <v>Rokku KKSE</v>
      </c>
      <c r="L1212" s="156" t="str">
        <f t="shared" si="418"/>
        <v>HUN</v>
      </c>
      <c r="M1212" s="163">
        <v>2</v>
      </c>
      <c r="O1212" s="154" t="s">
        <v>410</v>
      </c>
      <c r="P1212" s="159">
        <v>46103</v>
      </c>
      <c r="Q1212" s="154" t="str">
        <f t="shared" si="419"/>
        <v>Hadnagy Barnabás - Rokku KKSE</v>
      </c>
      <c r="R1212" s="154" t="s">
        <v>636</v>
      </c>
      <c r="S1212" s="154" t="str">
        <f t="shared" si="420"/>
        <v>Rokku KKSE</v>
      </c>
      <c r="T1212" s="154" t="s">
        <v>645</v>
      </c>
      <c r="U1212" s="154" t="s">
        <v>797</v>
      </c>
      <c r="V1212" s="154"/>
    </row>
    <row r="1213" spans="1:22" s="158" customFormat="1" x14ac:dyDescent="0.3">
      <c r="A1213" s="153" t="s">
        <v>780</v>
      </c>
      <c r="B1213" s="155">
        <v>2</v>
      </c>
      <c r="C1213" s="154">
        <v>1132</v>
      </c>
      <c r="D1213" s="156" t="str">
        <f t="shared" si="414"/>
        <v>Kumite</v>
      </c>
      <c r="E1213" s="156" t="str">
        <f t="shared" si="430"/>
        <v>Kumite, U14/Serdülő fiú 45-54,9 kg</v>
      </c>
      <c r="F1213" s="156" t="s">
        <v>534</v>
      </c>
      <c r="G1213" s="157" t="str">
        <f t="shared" si="431"/>
        <v>10</v>
      </c>
      <c r="H1213" s="156" t="str">
        <f t="shared" si="429"/>
        <v>16 fős egyenes kiesés</v>
      </c>
      <c r="I1213" s="157" t="str">
        <f>"11-16"</f>
        <v>11-16</v>
      </c>
      <c r="J1213" s="156" t="str">
        <f>"Ujj Szabolcs"</f>
        <v>Ujj Szabolcs</v>
      </c>
      <c r="K1213" s="156" t="str">
        <f>"Marcali SKK"</f>
        <v>Marcali SKK</v>
      </c>
      <c r="L1213" s="156" t="str">
        <f t="shared" si="418"/>
        <v>HUN</v>
      </c>
      <c r="M1213" s="163">
        <v>0</v>
      </c>
      <c r="O1213" s="154" t="s">
        <v>410</v>
      </c>
      <c r="P1213" s="159">
        <v>46103</v>
      </c>
      <c r="Q1213" s="154" t="str">
        <f t="shared" si="419"/>
        <v>Ujj Szabolcs - Marcali SKK</v>
      </c>
      <c r="R1213" s="154" t="s">
        <v>636</v>
      </c>
      <c r="S1213" s="154" t="str">
        <f t="shared" si="420"/>
        <v>Marcali SKK</v>
      </c>
      <c r="T1213" s="154" t="s">
        <v>645</v>
      </c>
      <c r="U1213" s="154" t="s">
        <v>797</v>
      </c>
      <c r="V1213" s="154"/>
    </row>
    <row r="1214" spans="1:22" s="158" customFormat="1" x14ac:dyDescent="0.3">
      <c r="A1214" s="153" t="s">
        <v>780</v>
      </c>
      <c r="B1214" s="155">
        <v>2</v>
      </c>
      <c r="C1214" s="154">
        <v>1133</v>
      </c>
      <c r="D1214" s="156" t="str">
        <f t="shared" si="414"/>
        <v>Kumite</v>
      </c>
      <c r="E1214" s="156" t="str">
        <f t="shared" si="430"/>
        <v>Kumite, U14/Serdülő fiú 45-54,9 kg</v>
      </c>
      <c r="F1214" s="156" t="s">
        <v>534</v>
      </c>
      <c r="G1214" s="157" t="str">
        <f t="shared" si="431"/>
        <v>10</v>
      </c>
      <c r="H1214" s="156" t="str">
        <f t="shared" si="429"/>
        <v>16 fős egyenes kiesés</v>
      </c>
      <c r="I1214" s="157" t="str">
        <f>"11-16"</f>
        <v>11-16</v>
      </c>
      <c r="J1214" s="156" t="str">
        <f>"Lőrincz Bence"</f>
        <v>Lőrincz Bence</v>
      </c>
      <c r="K1214" s="156" t="str">
        <f>"ASE Bulldog KKSZCS"</f>
        <v>ASE Bulldog KKSZCS</v>
      </c>
      <c r="L1214" s="156" t="str">
        <f t="shared" si="418"/>
        <v>HUN</v>
      </c>
      <c r="M1214" s="163">
        <v>0</v>
      </c>
      <c r="O1214" s="154" t="s">
        <v>410</v>
      </c>
      <c r="P1214" s="159">
        <v>46103</v>
      </c>
      <c r="Q1214" s="154" t="str">
        <f t="shared" si="419"/>
        <v>Lőrincz Bence - ASE Bulldog KKSZCS</v>
      </c>
      <c r="R1214" s="154" t="s">
        <v>636</v>
      </c>
      <c r="S1214" s="154" t="str">
        <f t="shared" si="420"/>
        <v>ASE Bulldog KKSZCS</v>
      </c>
      <c r="T1214" s="154" t="s">
        <v>645</v>
      </c>
      <c r="U1214" s="154" t="s">
        <v>797</v>
      </c>
      <c r="V1214" s="154"/>
    </row>
    <row r="1215" spans="1:22" s="158" customFormat="1" x14ac:dyDescent="0.3">
      <c r="A1215" s="153" t="s">
        <v>780</v>
      </c>
      <c r="B1215" s="155">
        <v>2</v>
      </c>
      <c r="C1215" s="154">
        <v>1134</v>
      </c>
      <c r="D1215" s="156" t="str">
        <f t="shared" si="414"/>
        <v>Kumite</v>
      </c>
      <c r="E1215" s="156" t="str">
        <f>"Kumite, U14/Serdülő fiú 55-64,9 kg"</f>
        <v>Kumite, U14/Serdülő fiú 55-64,9 kg</v>
      </c>
      <c r="F1215" s="156" t="s">
        <v>784</v>
      </c>
      <c r="G1215" s="157" t="str">
        <f>"4"</f>
        <v>4</v>
      </c>
      <c r="H1215" s="156" t="str">
        <f>"4 fős körmérkőzés"</f>
        <v>4 fős körmérkőzés</v>
      </c>
      <c r="I1215" s="157" t="str">
        <f>"1"</f>
        <v>1</v>
      </c>
      <c r="J1215" s="156" t="str">
        <f>"Száraz Zsombor"</f>
        <v>Száraz Zsombor</v>
      </c>
      <c r="K1215" s="156" t="str">
        <f>"Derecske BUDO"</f>
        <v>Derecske BUDO</v>
      </c>
      <c r="L1215" s="156" t="str">
        <f t="shared" si="418"/>
        <v>HUN</v>
      </c>
      <c r="M1215" s="163">
        <v>6</v>
      </c>
      <c r="O1215" s="154" t="s">
        <v>410</v>
      </c>
      <c r="P1215" s="159">
        <v>46103</v>
      </c>
      <c r="Q1215" s="154" t="str">
        <f t="shared" si="419"/>
        <v>Száraz Zsombor - Derecske BUDO</v>
      </c>
      <c r="R1215" s="154" t="s">
        <v>636</v>
      </c>
      <c r="S1215" s="154" t="str">
        <f t="shared" si="420"/>
        <v>Derecske BUDO</v>
      </c>
      <c r="T1215" s="154" t="s">
        <v>645</v>
      </c>
      <c r="U1215" s="154" t="s">
        <v>797</v>
      </c>
      <c r="V1215" s="154"/>
    </row>
    <row r="1216" spans="1:22" s="158" customFormat="1" x14ac:dyDescent="0.3">
      <c r="A1216" s="153" t="s">
        <v>780</v>
      </c>
      <c r="B1216" s="155">
        <v>2</v>
      </c>
      <c r="C1216" s="154">
        <v>1135</v>
      </c>
      <c r="D1216" s="156" t="str">
        <f t="shared" si="414"/>
        <v>Kumite</v>
      </c>
      <c r="E1216" s="156" t="str">
        <f>"Kumite, U14/Serdülő fiú 55-64,9 kg"</f>
        <v>Kumite, U14/Serdülő fiú 55-64,9 kg</v>
      </c>
      <c r="F1216" s="156" t="s">
        <v>784</v>
      </c>
      <c r="G1216" s="157" t="str">
        <f>"4"</f>
        <v>4</v>
      </c>
      <c r="H1216" s="156" t="str">
        <f>"4 fős körmérkőzés"</f>
        <v>4 fős körmérkőzés</v>
      </c>
      <c r="I1216" s="157" t="str">
        <f>"2"</f>
        <v>2</v>
      </c>
      <c r="J1216" s="156" t="str">
        <f>"Tokaji Bocsárd Norbert"</f>
        <v>Tokaji Bocsárd Norbert</v>
      </c>
      <c r="K1216" s="156" t="str">
        <f>"KHSE"</f>
        <v>KHSE</v>
      </c>
      <c r="L1216" s="156" t="str">
        <f t="shared" si="418"/>
        <v>HUN</v>
      </c>
      <c r="M1216" s="163">
        <v>5</v>
      </c>
      <c r="O1216" s="154" t="s">
        <v>410</v>
      </c>
      <c r="P1216" s="159">
        <v>46103</v>
      </c>
      <c r="Q1216" s="154" t="str">
        <f t="shared" si="419"/>
        <v>Tokaji Bocsárd Norbert - KHSE</v>
      </c>
      <c r="R1216" s="154" t="s">
        <v>636</v>
      </c>
      <c r="S1216" s="154" t="str">
        <f t="shared" si="420"/>
        <v>KHSE</v>
      </c>
      <c r="T1216" s="154" t="s">
        <v>645</v>
      </c>
      <c r="U1216" s="154" t="s">
        <v>797</v>
      </c>
      <c r="V1216" s="154"/>
    </row>
    <row r="1217" spans="1:22" s="158" customFormat="1" x14ac:dyDescent="0.3">
      <c r="A1217" s="153" t="s">
        <v>780</v>
      </c>
      <c r="B1217" s="155">
        <v>2</v>
      </c>
      <c r="C1217" s="154">
        <v>1136</v>
      </c>
      <c r="D1217" s="156" t="str">
        <f t="shared" si="414"/>
        <v>Kumite</v>
      </c>
      <c r="E1217" s="156" t="str">
        <f>"Kumite, U14/Serdülő fiú 55-64,9 kg"</f>
        <v>Kumite, U14/Serdülő fiú 55-64,9 kg</v>
      </c>
      <c r="F1217" s="156" t="s">
        <v>784</v>
      </c>
      <c r="G1217" s="157" t="str">
        <f>"4"</f>
        <v>4</v>
      </c>
      <c r="H1217" s="156" t="str">
        <f>"4 fős körmérkőzés"</f>
        <v>4 fős körmérkőzés</v>
      </c>
      <c r="I1217" s="157" t="str">
        <f>"3"</f>
        <v>3</v>
      </c>
      <c r="J1217" s="156" t="str">
        <f>"Bánfi Botond"</f>
        <v>Bánfi Botond</v>
      </c>
      <c r="K1217" s="156" t="str">
        <f>"Rokku KKSE"</f>
        <v>Rokku KKSE</v>
      </c>
      <c r="L1217" s="156" t="str">
        <f t="shared" si="418"/>
        <v>HUN</v>
      </c>
      <c r="M1217" s="163">
        <v>3</v>
      </c>
      <c r="O1217" s="154" t="s">
        <v>410</v>
      </c>
      <c r="P1217" s="159">
        <v>46103</v>
      </c>
      <c r="Q1217" s="154" t="str">
        <f t="shared" si="419"/>
        <v>Bánfi Botond - Rokku KKSE</v>
      </c>
      <c r="R1217" s="154" t="s">
        <v>636</v>
      </c>
      <c r="S1217" s="154" t="str">
        <f t="shared" si="420"/>
        <v>Rokku KKSE</v>
      </c>
      <c r="T1217" s="154" t="s">
        <v>645</v>
      </c>
      <c r="U1217" s="154" t="s">
        <v>797</v>
      </c>
      <c r="V1217" s="154"/>
    </row>
    <row r="1218" spans="1:22" s="158" customFormat="1" x14ac:dyDescent="0.3">
      <c r="A1218" s="153" t="s">
        <v>780</v>
      </c>
      <c r="B1218" s="155">
        <v>2</v>
      </c>
      <c r="C1218" s="154">
        <v>1137</v>
      </c>
      <c r="D1218" s="156" t="str">
        <f t="shared" si="414"/>
        <v>Kumite</v>
      </c>
      <c r="E1218" s="156" t="str">
        <f>"Kumite, U14/Serdülő fiú 55-64,9 kg"</f>
        <v>Kumite, U14/Serdülő fiú 55-64,9 kg</v>
      </c>
      <c r="F1218" s="156" t="s">
        <v>784</v>
      </c>
      <c r="G1218" s="157" t="str">
        <f>"4"</f>
        <v>4</v>
      </c>
      <c r="H1218" s="156" t="str">
        <f>"4 fős körmérkőzés"</f>
        <v>4 fős körmérkőzés</v>
      </c>
      <c r="I1218" s="157" t="str">
        <f>"4"</f>
        <v>4</v>
      </c>
      <c r="J1218" s="156" t="str">
        <f>"Reinhofer Patrik"</f>
        <v>Reinhofer Patrik</v>
      </c>
      <c r="K1218" s="156" t="str">
        <f>"Rokku KKSE"</f>
        <v>Rokku KKSE</v>
      </c>
      <c r="L1218" s="156" t="str">
        <f t="shared" si="418"/>
        <v>HUN</v>
      </c>
      <c r="M1218" s="163">
        <v>0</v>
      </c>
      <c r="N1218" s="158" t="s">
        <v>704</v>
      </c>
      <c r="O1218" s="154" t="s">
        <v>410</v>
      </c>
      <c r="P1218" s="159">
        <v>46103</v>
      </c>
      <c r="Q1218" s="154" t="str">
        <f t="shared" si="419"/>
        <v>Reinhofer Patrik - Rokku KKSE</v>
      </c>
      <c r="R1218" s="154" t="s">
        <v>636</v>
      </c>
      <c r="S1218" s="154" t="str">
        <f t="shared" si="420"/>
        <v>Rokku KKSE</v>
      </c>
      <c r="T1218" s="154" t="s">
        <v>645</v>
      </c>
      <c r="U1218" s="154" t="s">
        <v>797</v>
      </c>
      <c r="V1218" s="154"/>
    </row>
    <row r="1219" spans="1:22" s="158" customFormat="1" x14ac:dyDescent="0.3">
      <c r="A1219" s="153" t="s">
        <v>780</v>
      </c>
      <c r="B1219" s="155">
        <v>2</v>
      </c>
      <c r="C1219" s="154">
        <v>1138</v>
      </c>
      <c r="D1219" s="156" t="str">
        <f t="shared" si="414"/>
        <v>Kumite</v>
      </c>
      <c r="E1219" s="156" t="str">
        <f t="shared" ref="E1219:E1226" si="432">"Kumite, U14/Serdülő fiú 65- kg"</f>
        <v>Kumite, U14/Serdülő fiú 65- kg</v>
      </c>
      <c r="F1219" s="156" t="s">
        <v>785</v>
      </c>
      <c r="G1219" s="157" t="str">
        <f t="shared" ref="G1219:G1226" si="433">"8"</f>
        <v>8</v>
      </c>
      <c r="H1219" s="156" t="str">
        <f t="shared" ref="H1219:H1226" si="434">"8 fős egyenes kiesés"</f>
        <v>8 fős egyenes kiesés</v>
      </c>
      <c r="I1219" s="157" t="str">
        <f>"1"</f>
        <v>1</v>
      </c>
      <c r="J1219" s="156" t="str">
        <f>"Villasenor Babos Viktor Éliás"</f>
        <v>Villasenor Babos Viktor Éliás</v>
      </c>
      <c r="K1219" s="156" t="str">
        <f>"Rakurai"</f>
        <v>Rakurai</v>
      </c>
      <c r="L1219" s="156" t="str">
        <f t="shared" si="418"/>
        <v>HUN</v>
      </c>
      <c r="M1219" s="163">
        <v>6</v>
      </c>
      <c r="O1219" s="154" t="s">
        <v>410</v>
      </c>
      <c r="P1219" s="159">
        <v>46103</v>
      </c>
      <c r="Q1219" s="154" t="str">
        <f t="shared" si="419"/>
        <v>Villasenor Babos Viktor Éliás - Rakurai</v>
      </c>
      <c r="R1219" s="154" t="s">
        <v>636</v>
      </c>
      <c r="S1219" s="154" t="str">
        <f t="shared" si="420"/>
        <v>Rakurai</v>
      </c>
      <c r="T1219" s="154" t="s">
        <v>645</v>
      </c>
      <c r="U1219" s="154" t="s">
        <v>797</v>
      </c>
      <c r="V1219" s="154"/>
    </row>
    <row r="1220" spans="1:22" s="158" customFormat="1" x14ac:dyDescent="0.3">
      <c r="A1220" s="153" t="s">
        <v>780</v>
      </c>
      <c r="B1220" s="155">
        <v>2</v>
      </c>
      <c r="C1220" s="154">
        <v>1139</v>
      </c>
      <c r="D1220" s="156" t="str">
        <f t="shared" si="414"/>
        <v>Kumite</v>
      </c>
      <c r="E1220" s="156" t="str">
        <f t="shared" si="432"/>
        <v>Kumite, U14/Serdülő fiú 65- kg</v>
      </c>
      <c r="F1220" s="156" t="s">
        <v>785</v>
      </c>
      <c r="G1220" s="157" t="str">
        <f t="shared" si="433"/>
        <v>8</v>
      </c>
      <c r="H1220" s="156" t="str">
        <f t="shared" si="434"/>
        <v>8 fős egyenes kiesés</v>
      </c>
      <c r="I1220" s="157" t="str">
        <f>"2"</f>
        <v>2</v>
      </c>
      <c r="J1220" s="156" t="str">
        <f>"Finta Csanád"</f>
        <v>Finta Csanád</v>
      </c>
      <c r="K1220" s="156" t="str">
        <f>"Rakurai"</f>
        <v>Rakurai</v>
      </c>
      <c r="L1220" s="156" t="str">
        <f t="shared" si="418"/>
        <v>HUN</v>
      </c>
      <c r="M1220" s="163">
        <v>5</v>
      </c>
      <c r="O1220" s="154" t="s">
        <v>410</v>
      </c>
      <c r="P1220" s="159">
        <v>46103</v>
      </c>
      <c r="Q1220" s="154" t="str">
        <f t="shared" si="419"/>
        <v>Finta Csanád - Rakurai</v>
      </c>
      <c r="R1220" s="154" t="s">
        <v>636</v>
      </c>
      <c r="S1220" s="154" t="str">
        <f t="shared" si="420"/>
        <v>Rakurai</v>
      </c>
      <c r="T1220" s="154" t="s">
        <v>645</v>
      </c>
      <c r="U1220" s="154" t="s">
        <v>797</v>
      </c>
      <c r="V1220" s="154"/>
    </row>
    <row r="1221" spans="1:22" s="158" customFormat="1" x14ac:dyDescent="0.3">
      <c r="A1221" s="153" t="s">
        <v>780</v>
      </c>
      <c r="B1221" s="155">
        <v>2</v>
      </c>
      <c r="C1221" s="154">
        <v>1140</v>
      </c>
      <c r="D1221" s="156" t="str">
        <f t="shared" si="414"/>
        <v>Kumite</v>
      </c>
      <c r="E1221" s="156" t="str">
        <f t="shared" si="432"/>
        <v>Kumite, U14/Serdülő fiú 65- kg</v>
      </c>
      <c r="F1221" s="156" t="s">
        <v>785</v>
      </c>
      <c r="G1221" s="157" t="str">
        <f t="shared" si="433"/>
        <v>8</v>
      </c>
      <c r="H1221" s="156" t="str">
        <f t="shared" si="434"/>
        <v>8 fős egyenes kiesés</v>
      </c>
      <c r="I1221" s="157" t="str">
        <f>"3"</f>
        <v>3</v>
      </c>
      <c r="J1221" s="156" t="str">
        <f>"Salga Márton"</f>
        <v>Salga Márton</v>
      </c>
      <c r="K1221" s="156" t="str">
        <f>"Rokku KKSE"</f>
        <v>Rokku KKSE</v>
      </c>
      <c r="L1221" s="156" t="str">
        <f t="shared" si="418"/>
        <v>HUN</v>
      </c>
      <c r="M1221" s="163">
        <v>3</v>
      </c>
      <c r="O1221" s="154" t="s">
        <v>410</v>
      </c>
      <c r="P1221" s="159">
        <v>46103</v>
      </c>
      <c r="Q1221" s="154" t="str">
        <f t="shared" si="419"/>
        <v>Salga Márton - Rokku KKSE</v>
      </c>
      <c r="R1221" s="154" t="s">
        <v>636</v>
      </c>
      <c r="S1221" s="154" t="str">
        <f t="shared" si="420"/>
        <v>Rokku KKSE</v>
      </c>
      <c r="T1221" s="154" t="s">
        <v>645</v>
      </c>
      <c r="U1221" s="154" t="s">
        <v>797</v>
      </c>
      <c r="V1221" s="154"/>
    </row>
    <row r="1222" spans="1:22" s="158" customFormat="1" x14ac:dyDescent="0.3">
      <c r="A1222" s="153" t="s">
        <v>780</v>
      </c>
      <c r="B1222" s="155">
        <v>2</v>
      </c>
      <c r="C1222" s="154">
        <v>1141</v>
      </c>
      <c r="D1222" s="156" t="str">
        <f t="shared" si="414"/>
        <v>Kumite</v>
      </c>
      <c r="E1222" s="156" t="str">
        <f t="shared" si="432"/>
        <v>Kumite, U14/Serdülő fiú 65- kg</v>
      </c>
      <c r="F1222" s="156" t="s">
        <v>785</v>
      </c>
      <c r="G1222" s="157" t="str">
        <f t="shared" si="433"/>
        <v>8</v>
      </c>
      <c r="H1222" s="156" t="str">
        <f t="shared" si="434"/>
        <v>8 fős egyenes kiesés</v>
      </c>
      <c r="I1222" s="157" t="str">
        <f>"3"</f>
        <v>3</v>
      </c>
      <c r="J1222" s="156" t="str">
        <f>"Tóth Dominik István"</f>
        <v>Tóth Dominik István</v>
      </c>
      <c r="K1222" s="156" t="str">
        <f>"Griff SE"</f>
        <v>Griff SE</v>
      </c>
      <c r="L1222" s="156" t="str">
        <f t="shared" si="418"/>
        <v>HUN</v>
      </c>
      <c r="M1222" s="163">
        <v>3</v>
      </c>
      <c r="O1222" s="154" t="s">
        <v>410</v>
      </c>
      <c r="P1222" s="159">
        <v>46103</v>
      </c>
      <c r="Q1222" s="154" t="str">
        <f t="shared" si="419"/>
        <v>Tóth Dominik István - Griff SE</v>
      </c>
      <c r="R1222" s="154" t="s">
        <v>636</v>
      </c>
      <c r="S1222" s="154" t="str">
        <f t="shared" si="420"/>
        <v>Griff SE</v>
      </c>
      <c r="T1222" s="154" t="s">
        <v>645</v>
      </c>
      <c r="U1222" s="154" t="s">
        <v>797</v>
      </c>
      <c r="V1222" s="154"/>
    </row>
    <row r="1223" spans="1:22" s="158" customFormat="1" x14ac:dyDescent="0.3">
      <c r="A1223" s="153" t="s">
        <v>780</v>
      </c>
      <c r="B1223" s="155">
        <v>2</v>
      </c>
      <c r="C1223" s="154">
        <v>1142</v>
      </c>
      <c r="D1223" s="156" t="str">
        <f t="shared" si="414"/>
        <v>Kumite</v>
      </c>
      <c r="E1223" s="156" t="str">
        <f t="shared" si="432"/>
        <v>Kumite, U14/Serdülő fiú 65- kg</v>
      </c>
      <c r="F1223" s="156" t="s">
        <v>785</v>
      </c>
      <c r="G1223" s="157" t="str">
        <f t="shared" si="433"/>
        <v>8</v>
      </c>
      <c r="H1223" s="156" t="str">
        <f t="shared" si="434"/>
        <v>8 fős egyenes kiesés</v>
      </c>
      <c r="I1223" s="157" t="str">
        <f>"5"</f>
        <v>5</v>
      </c>
      <c r="J1223" s="156" t="str">
        <f>"Nagy Richárd"</f>
        <v>Nagy Richárd</v>
      </c>
      <c r="K1223" s="156" t="str">
        <f>"POWER SE."</f>
        <v>POWER SE.</v>
      </c>
      <c r="L1223" s="156" t="str">
        <f t="shared" si="418"/>
        <v>HUN</v>
      </c>
      <c r="M1223" s="163">
        <v>0</v>
      </c>
      <c r="O1223" s="154" t="s">
        <v>410</v>
      </c>
      <c r="P1223" s="159">
        <v>46103</v>
      </c>
      <c r="Q1223" s="154" t="str">
        <f t="shared" si="419"/>
        <v>Nagy Richárd - POWER SE.</v>
      </c>
      <c r="R1223" s="154" t="s">
        <v>636</v>
      </c>
      <c r="S1223" s="154" t="str">
        <f t="shared" si="420"/>
        <v>POWER SE.</v>
      </c>
      <c r="T1223" s="154" t="s">
        <v>645</v>
      </c>
      <c r="U1223" s="154" t="s">
        <v>797</v>
      </c>
      <c r="V1223" s="154"/>
    </row>
    <row r="1224" spans="1:22" s="158" customFormat="1" x14ac:dyDescent="0.3">
      <c r="A1224" s="153" t="s">
        <v>780</v>
      </c>
      <c r="B1224" s="155">
        <v>2</v>
      </c>
      <c r="C1224" s="154">
        <v>1143</v>
      </c>
      <c r="D1224" s="156" t="str">
        <f t="shared" si="414"/>
        <v>Kumite</v>
      </c>
      <c r="E1224" s="156" t="str">
        <f t="shared" si="432"/>
        <v>Kumite, U14/Serdülő fiú 65- kg</v>
      </c>
      <c r="F1224" s="156" t="s">
        <v>785</v>
      </c>
      <c r="G1224" s="157" t="str">
        <f t="shared" si="433"/>
        <v>8</v>
      </c>
      <c r="H1224" s="156" t="str">
        <f t="shared" si="434"/>
        <v>8 fős egyenes kiesés</v>
      </c>
      <c r="I1224" s="157" t="str">
        <f>"6"</f>
        <v>6</v>
      </c>
      <c r="J1224" s="156" t="str">
        <f>"Gaál-Vajai Tamás"</f>
        <v>Gaál-Vajai Tamás</v>
      </c>
      <c r="K1224" s="156" t="str">
        <f>"Főnix Dojo"</f>
        <v>Főnix Dojo</v>
      </c>
      <c r="L1224" s="156" t="str">
        <f t="shared" si="418"/>
        <v>HUN</v>
      </c>
      <c r="M1224" s="163">
        <v>0</v>
      </c>
      <c r="O1224" s="154" t="s">
        <v>410</v>
      </c>
      <c r="P1224" s="159">
        <v>46103</v>
      </c>
      <c r="Q1224" s="154" t="str">
        <f t="shared" si="419"/>
        <v>Gaál-Vajai Tamás - Főnix Dojo</v>
      </c>
      <c r="R1224" s="154" t="s">
        <v>636</v>
      </c>
      <c r="S1224" s="154" t="str">
        <f t="shared" si="420"/>
        <v>Főnix Dojo</v>
      </c>
      <c r="T1224" s="154" t="s">
        <v>645</v>
      </c>
      <c r="U1224" s="154" t="s">
        <v>797</v>
      </c>
      <c r="V1224" s="154"/>
    </row>
    <row r="1225" spans="1:22" s="158" customFormat="1" x14ac:dyDescent="0.3">
      <c r="A1225" s="153" t="s">
        <v>780</v>
      </c>
      <c r="B1225" s="155">
        <v>2</v>
      </c>
      <c r="C1225" s="154">
        <v>1144</v>
      </c>
      <c r="D1225" s="156" t="str">
        <f t="shared" si="414"/>
        <v>Kumite</v>
      </c>
      <c r="E1225" s="156" t="str">
        <f t="shared" si="432"/>
        <v>Kumite, U14/Serdülő fiú 65- kg</v>
      </c>
      <c r="F1225" s="156" t="s">
        <v>785</v>
      </c>
      <c r="G1225" s="157" t="str">
        <f t="shared" si="433"/>
        <v>8</v>
      </c>
      <c r="H1225" s="156" t="str">
        <f t="shared" si="434"/>
        <v>8 fős egyenes kiesés</v>
      </c>
      <c r="I1225" s="157" t="str">
        <f>"7-8"</f>
        <v>7-8</v>
      </c>
      <c r="J1225" s="156" t="str">
        <f>"Virág Marcell Máté"</f>
        <v>Virág Marcell Máté</v>
      </c>
      <c r="K1225" s="156" t="str">
        <f>"KHSE"</f>
        <v>KHSE</v>
      </c>
      <c r="L1225" s="156" t="str">
        <f t="shared" si="418"/>
        <v>HUN</v>
      </c>
      <c r="M1225" s="163">
        <v>0</v>
      </c>
      <c r="O1225" s="154" t="s">
        <v>410</v>
      </c>
      <c r="P1225" s="159">
        <v>46103</v>
      </c>
      <c r="Q1225" s="154" t="str">
        <f t="shared" si="419"/>
        <v>Virág Marcell Máté - KHSE</v>
      </c>
      <c r="R1225" s="154" t="s">
        <v>636</v>
      </c>
      <c r="S1225" s="154" t="str">
        <f t="shared" si="420"/>
        <v>KHSE</v>
      </c>
      <c r="T1225" s="154" t="s">
        <v>645</v>
      </c>
      <c r="U1225" s="154" t="s">
        <v>797</v>
      </c>
      <c r="V1225" s="154"/>
    </row>
    <row r="1226" spans="1:22" s="158" customFormat="1" x14ac:dyDescent="0.3">
      <c r="A1226" s="153" t="s">
        <v>780</v>
      </c>
      <c r="B1226" s="155">
        <v>2</v>
      </c>
      <c r="C1226" s="154">
        <v>1145</v>
      </c>
      <c r="D1226" s="156" t="str">
        <f t="shared" si="414"/>
        <v>Kumite</v>
      </c>
      <c r="E1226" s="156" t="str">
        <f t="shared" si="432"/>
        <v>Kumite, U14/Serdülő fiú 65- kg</v>
      </c>
      <c r="F1226" s="156" t="s">
        <v>785</v>
      </c>
      <c r="G1226" s="157" t="str">
        <f t="shared" si="433"/>
        <v>8</v>
      </c>
      <c r="H1226" s="156" t="str">
        <f t="shared" si="434"/>
        <v>8 fős egyenes kiesés</v>
      </c>
      <c r="I1226" s="157" t="str">
        <f>"7-8"</f>
        <v>7-8</v>
      </c>
      <c r="J1226" s="156" t="str">
        <f>"Nagy Nimród"</f>
        <v>Nagy Nimród</v>
      </c>
      <c r="K1226" s="156" t="str">
        <f>"Rakurai"</f>
        <v>Rakurai</v>
      </c>
      <c r="L1226" s="156" t="str">
        <f t="shared" si="418"/>
        <v>HUN</v>
      </c>
      <c r="M1226" s="163">
        <v>0</v>
      </c>
      <c r="O1226" s="154" t="s">
        <v>410</v>
      </c>
      <c r="P1226" s="159">
        <v>46103</v>
      </c>
      <c r="Q1226" s="154" t="str">
        <f t="shared" si="419"/>
        <v>Nagy Nimród - Rakurai</v>
      </c>
      <c r="R1226" s="154" t="s">
        <v>636</v>
      </c>
      <c r="S1226" s="154" t="str">
        <f t="shared" si="420"/>
        <v>Rakurai</v>
      </c>
      <c r="T1226" s="154" t="s">
        <v>645</v>
      </c>
      <c r="U1226" s="154" t="s">
        <v>797</v>
      </c>
      <c r="V1226" s="154"/>
    </row>
    <row r="1227" spans="1:22" s="158" customFormat="1" x14ac:dyDescent="0.3">
      <c r="A1227" s="153" t="s">
        <v>780</v>
      </c>
      <c r="B1227" s="155">
        <v>2</v>
      </c>
      <c r="C1227" s="154">
        <v>1146</v>
      </c>
      <c r="D1227" s="156" t="str">
        <f t="shared" si="414"/>
        <v>Kumite</v>
      </c>
      <c r="E1227" s="156" t="str">
        <f>"Kumite, U14/Serdölő lány 0-39,9 kg"</f>
        <v>Kumite, U14/Serdölő lány 0-39,9 kg</v>
      </c>
      <c r="F1227" s="156" t="s">
        <v>781</v>
      </c>
      <c r="G1227" s="157" t="str">
        <f>"2"</f>
        <v>2</v>
      </c>
      <c r="H1227" s="156" t="str">
        <f>"2 fős egyenes kiesés"</f>
        <v>2 fős egyenes kiesés</v>
      </c>
      <c r="I1227" s="157" t="str">
        <f>"1"</f>
        <v>1</v>
      </c>
      <c r="J1227" s="156" t="str">
        <f>"Bogdán Szonja Boróka"</f>
        <v>Bogdán Szonja Boróka</v>
      </c>
      <c r="K1227" s="156" t="str">
        <f>"Rakurai"</f>
        <v>Rakurai</v>
      </c>
      <c r="L1227" s="156" t="str">
        <f t="shared" si="418"/>
        <v>HUN</v>
      </c>
      <c r="M1227" s="163">
        <v>3</v>
      </c>
      <c r="O1227" s="154" t="s">
        <v>410</v>
      </c>
      <c r="P1227" s="159">
        <v>46103</v>
      </c>
      <c r="Q1227" s="154" t="str">
        <f t="shared" si="419"/>
        <v>Bogdán Szonja Boróka - Rakurai</v>
      </c>
      <c r="R1227" s="154" t="s">
        <v>636</v>
      </c>
      <c r="S1227" s="154" t="str">
        <f t="shared" si="420"/>
        <v>Rakurai</v>
      </c>
      <c r="T1227" s="154" t="s">
        <v>645</v>
      </c>
      <c r="U1227" s="154" t="s">
        <v>796</v>
      </c>
      <c r="V1227" s="154"/>
    </row>
    <row r="1228" spans="1:22" s="158" customFormat="1" x14ac:dyDescent="0.3">
      <c r="A1228" s="153" t="s">
        <v>780</v>
      </c>
      <c r="B1228" s="155">
        <v>2</v>
      </c>
      <c r="C1228" s="154">
        <v>1147</v>
      </c>
      <c r="D1228" s="156" t="str">
        <f t="shared" ref="D1228:D1259" si="435">"Kumite"</f>
        <v>Kumite</v>
      </c>
      <c r="E1228" s="156" t="str">
        <f>"Kumite, U14/Serdölő lány 0-39,9 kg"</f>
        <v>Kumite, U14/Serdölő lány 0-39,9 kg</v>
      </c>
      <c r="F1228" s="156" t="s">
        <v>781</v>
      </c>
      <c r="G1228" s="157" t="str">
        <f>"2"</f>
        <v>2</v>
      </c>
      <c r="H1228" s="156" t="str">
        <f>"2 fős egyenes kiesés"</f>
        <v>2 fős egyenes kiesés</v>
      </c>
      <c r="I1228" s="157" t="str">
        <f>"2"</f>
        <v>2</v>
      </c>
      <c r="J1228" s="156" t="str">
        <f>"Koszorus Brigitta"</f>
        <v>Koszorus Brigitta</v>
      </c>
      <c r="K1228" s="156" t="str">
        <f>"SONGOKU SE"</f>
        <v>SONGOKU SE</v>
      </c>
      <c r="L1228" s="156" t="str">
        <f t="shared" ref="L1228:L1281" si="436">"HUN"</f>
        <v>HUN</v>
      </c>
      <c r="M1228" s="163">
        <v>0</v>
      </c>
      <c r="O1228" s="154" t="s">
        <v>410</v>
      </c>
      <c r="P1228" s="159">
        <v>46103</v>
      </c>
      <c r="Q1228" s="154" t="str">
        <f t="shared" ref="Q1228:Q1259" si="437">J1228&amp;" - "&amp;K1228</f>
        <v>Koszorus Brigitta - SONGOKU SE</v>
      </c>
      <c r="R1228" s="154" t="s">
        <v>636</v>
      </c>
      <c r="S1228" s="154" t="str">
        <f t="shared" ref="S1228:S1259" si="438">K1228</f>
        <v>SONGOKU SE</v>
      </c>
      <c r="T1228" s="154" t="s">
        <v>645</v>
      </c>
      <c r="U1228" s="154" t="s">
        <v>796</v>
      </c>
      <c r="V1228" s="154"/>
    </row>
    <row r="1229" spans="1:22" s="158" customFormat="1" x14ac:dyDescent="0.3">
      <c r="A1229" s="153" t="s">
        <v>780</v>
      </c>
      <c r="B1229" s="155">
        <v>2</v>
      </c>
      <c r="C1229" s="154">
        <v>1148</v>
      </c>
      <c r="D1229" s="156" t="str">
        <f t="shared" si="435"/>
        <v>Kumite</v>
      </c>
      <c r="E1229" s="156" t="str">
        <f t="shared" ref="E1229:E1235" si="439">"Kumite, U14/Serdölő lány 45-54,9 kg"</f>
        <v>Kumite, U14/Serdölő lány 45-54,9 kg</v>
      </c>
      <c r="F1229" s="156" t="s">
        <v>550</v>
      </c>
      <c r="G1229" s="157" t="str">
        <f t="shared" ref="G1229:G1235" si="440">"7"</f>
        <v>7</v>
      </c>
      <c r="H1229" s="156" t="str">
        <f t="shared" ref="H1229:H1235" si="441">"8 fős egyenes kiesés"</f>
        <v>8 fős egyenes kiesés</v>
      </c>
      <c r="I1229" s="157" t="str">
        <f>"1"</f>
        <v>1</v>
      </c>
      <c r="J1229" s="156" t="str">
        <f>"Villasenor Babos Natália "</f>
        <v xml:space="preserve">Villasenor Babos Natália </v>
      </c>
      <c r="K1229" s="156" t="str">
        <f>"Rakurai"</f>
        <v>Rakurai</v>
      </c>
      <c r="L1229" s="156" t="str">
        <f t="shared" si="436"/>
        <v>HUN</v>
      </c>
      <c r="M1229" s="163">
        <v>6</v>
      </c>
      <c r="O1229" s="154" t="s">
        <v>410</v>
      </c>
      <c r="P1229" s="159">
        <v>46103</v>
      </c>
      <c r="Q1229" s="154" t="str">
        <f t="shared" si="437"/>
        <v>Villasenor Babos Natália  - Rakurai</v>
      </c>
      <c r="R1229" s="154" t="s">
        <v>636</v>
      </c>
      <c r="S1229" s="154" t="str">
        <f t="shared" si="438"/>
        <v>Rakurai</v>
      </c>
      <c r="T1229" s="154" t="s">
        <v>645</v>
      </c>
      <c r="U1229" s="154" t="s">
        <v>796</v>
      </c>
      <c r="V1229" s="154"/>
    </row>
    <row r="1230" spans="1:22" s="158" customFormat="1" x14ac:dyDescent="0.3">
      <c r="A1230" s="153" t="s">
        <v>780</v>
      </c>
      <c r="B1230" s="155">
        <v>2</v>
      </c>
      <c r="C1230" s="154">
        <v>1149</v>
      </c>
      <c r="D1230" s="156" t="str">
        <f t="shared" si="435"/>
        <v>Kumite</v>
      </c>
      <c r="E1230" s="156" t="str">
        <f t="shared" si="439"/>
        <v>Kumite, U14/Serdölő lány 45-54,9 kg</v>
      </c>
      <c r="F1230" s="156" t="s">
        <v>550</v>
      </c>
      <c r="G1230" s="157" t="str">
        <f t="shared" si="440"/>
        <v>7</v>
      </c>
      <c r="H1230" s="156" t="str">
        <f t="shared" si="441"/>
        <v>8 fős egyenes kiesés</v>
      </c>
      <c r="I1230" s="157" t="str">
        <f>"2"</f>
        <v>2</v>
      </c>
      <c r="J1230" s="156" t="str">
        <f>"Volenszki Adél"</f>
        <v>Volenszki Adél</v>
      </c>
      <c r="K1230" s="156" t="str">
        <f>"WARRIORS TEAM"</f>
        <v>WARRIORS TEAM</v>
      </c>
      <c r="L1230" s="156" t="str">
        <f t="shared" si="436"/>
        <v>HUN</v>
      </c>
      <c r="M1230" s="163">
        <v>5</v>
      </c>
      <c r="O1230" s="154" t="s">
        <v>410</v>
      </c>
      <c r="P1230" s="159">
        <v>46103</v>
      </c>
      <c r="Q1230" s="154" t="str">
        <f t="shared" si="437"/>
        <v>Volenszki Adél - WARRIORS TEAM</v>
      </c>
      <c r="R1230" s="154" t="s">
        <v>636</v>
      </c>
      <c r="S1230" s="154" t="str">
        <f t="shared" si="438"/>
        <v>WARRIORS TEAM</v>
      </c>
      <c r="T1230" s="154" t="s">
        <v>645</v>
      </c>
      <c r="U1230" s="154" t="s">
        <v>796</v>
      </c>
      <c r="V1230" s="154"/>
    </row>
    <row r="1231" spans="1:22" s="158" customFormat="1" x14ac:dyDescent="0.3">
      <c r="A1231" s="153" t="s">
        <v>780</v>
      </c>
      <c r="B1231" s="155">
        <v>2</v>
      </c>
      <c r="C1231" s="154">
        <v>1150</v>
      </c>
      <c r="D1231" s="156" t="str">
        <f t="shared" si="435"/>
        <v>Kumite</v>
      </c>
      <c r="E1231" s="156" t="str">
        <f t="shared" si="439"/>
        <v>Kumite, U14/Serdölő lány 45-54,9 kg</v>
      </c>
      <c r="F1231" s="156" t="s">
        <v>550</v>
      </c>
      <c r="G1231" s="157" t="str">
        <f t="shared" si="440"/>
        <v>7</v>
      </c>
      <c r="H1231" s="156" t="str">
        <f t="shared" si="441"/>
        <v>8 fős egyenes kiesés</v>
      </c>
      <c r="I1231" s="157" t="str">
        <f>"3"</f>
        <v>3</v>
      </c>
      <c r="J1231" s="156" t="str">
        <f>"Reichert Hanna "</f>
        <v xml:space="preserve">Reichert Hanna </v>
      </c>
      <c r="K1231" s="156" t="str">
        <f>"VTSE"</f>
        <v>VTSE</v>
      </c>
      <c r="L1231" s="156" t="str">
        <f t="shared" si="436"/>
        <v>HUN</v>
      </c>
      <c r="M1231" s="163">
        <v>3</v>
      </c>
      <c r="O1231" s="154" t="s">
        <v>410</v>
      </c>
      <c r="P1231" s="159">
        <v>46103</v>
      </c>
      <c r="Q1231" s="154" t="str">
        <f t="shared" si="437"/>
        <v>Reichert Hanna  - VTSE</v>
      </c>
      <c r="R1231" s="154" t="s">
        <v>637</v>
      </c>
      <c r="S1231" s="154" t="str">
        <f t="shared" si="438"/>
        <v>VTSE</v>
      </c>
      <c r="T1231" s="154" t="s">
        <v>645</v>
      </c>
      <c r="U1231" s="154" t="s">
        <v>796</v>
      </c>
      <c r="V1231" s="154"/>
    </row>
    <row r="1232" spans="1:22" s="158" customFormat="1" x14ac:dyDescent="0.3">
      <c r="A1232" s="153" t="s">
        <v>780</v>
      </c>
      <c r="B1232" s="155">
        <v>2</v>
      </c>
      <c r="C1232" s="154">
        <v>1151</v>
      </c>
      <c r="D1232" s="156" t="str">
        <f t="shared" si="435"/>
        <v>Kumite</v>
      </c>
      <c r="E1232" s="156" t="str">
        <f t="shared" si="439"/>
        <v>Kumite, U14/Serdölő lány 45-54,9 kg</v>
      </c>
      <c r="F1232" s="156" t="s">
        <v>550</v>
      </c>
      <c r="G1232" s="157" t="str">
        <f t="shared" si="440"/>
        <v>7</v>
      </c>
      <c r="H1232" s="156" t="str">
        <f t="shared" si="441"/>
        <v>8 fős egyenes kiesés</v>
      </c>
      <c r="I1232" s="157" t="str">
        <f>"3"</f>
        <v>3</v>
      </c>
      <c r="J1232" s="156" t="str">
        <f>"Nagy Anna"</f>
        <v>Nagy Anna</v>
      </c>
      <c r="K1232" s="156" t="str">
        <f>"Főnix Dojo"</f>
        <v>Főnix Dojo</v>
      </c>
      <c r="L1232" s="156" t="str">
        <f t="shared" si="436"/>
        <v>HUN</v>
      </c>
      <c r="M1232" s="163">
        <v>0</v>
      </c>
      <c r="N1232" s="158" t="s">
        <v>704</v>
      </c>
      <c r="O1232" s="154" t="s">
        <v>410</v>
      </c>
      <c r="P1232" s="159">
        <v>46103</v>
      </c>
      <c r="Q1232" s="154" t="str">
        <f t="shared" si="437"/>
        <v>Nagy Anna - Főnix Dojo</v>
      </c>
      <c r="R1232" s="154" t="s">
        <v>636</v>
      </c>
      <c r="S1232" s="154" t="str">
        <f t="shared" si="438"/>
        <v>Főnix Dojo</v>
      </c>
      <c r="T1232" s="154" t="s">
        <v>645</v>
      </c>
      <c r="U1232" s="154" t="s">
        <v>796</v>
      </c>
      <c r="V1232" s="154"/>
    </row>
    <row r="1233" spans="1:22" s="158" customFormat="1" x14ac:dyDescent="0.3">
      <c r="A1233" s="153" t="s">
        <v>780</v>
      </c>
      <c r="B1233" s="155">
        <v>2</v>
      </c>
      <c r="C1233" s="154">
        <v>1152</v>
      </c>
      <c r="D1233" s="156" t="str">
        <f t="shared" si="435"/>
        <v>Kumite</v>
      </c>
      <c r="E1233" s="156" t="str">
        <f t="shared" si="439"/>
        <v>Kumite, U14/Serdölő lány 45-54,9 kg</v>
      </c>
      <c r="F1233" s="156" t="s">
        <v>550</v>
      </c>
      <c r="G1233" s="157" t="str">
        <f t="shared" si="440"/>
        <v>7</v>
      </c>
      <c r="H1233" s="156" t="str">
        <f t="shared" si="441"/>
        <v>8 fős egyenes kiesés</v>
      </c>
      <c r="I1233" s="157" t="str">
        <f>"5"</f>
        <v>5</v>
      </c>
      <c r="J1233" s="156" t="str">
        <f>"Kiss Jázmin"</f>
        <v>Kiss Jázmin</v>
      </c>
      <c r="K1233" s="156" t="str">
        <f>"TADASHII "</f>
        <v xml:space="preserve">TADASHII </v>
      </c>
      <c r="L1233" s="156" t="str">
        <f t="shared" si="436"/>
        <v>HUN</v>
      </c>
      <c r="M1233" s="163">
        <v>0</v>
      </c>
      <c r="O1233" s="154" t="s">
        <v>410</v>
      </c>
      <c r="P1233" s="159">
        <v>46103</v>
      </c>
      <c r="Q1233" s="154" t="str">
        <f t="shared" si="437"/>
        <v xml:space="preserve">Kiss Jázmin - TADASHII </v>
      </c>
      <c r="R1233" s="154" t="s">
        <v>637</v>
      </c>
      <c r="S1233" s="154" t="str">
        <f t="shared" si="438"/>
        <v xml:space="preserve">TADASHII </v>
      </c>
      <c r="T1233" s="154" t="s">
        <v>645</v>
      </c>
      <c r="U1233" s="154" t="s">
        <v>796</v>
      </c>
      <c r="V1233" s="154"/>
    </row>
    <row r="1234" spans="1:22" s="158" customFormat="1" x14ac:dyDescent="0.3">
      <c r="A1234" s="153" t="s">
        <v>780</v>
      </c>
      <c r="B1234" s="155">
        <v>2</v>
      </c>
      <c r="C1234" s="154">
        <v>1153</v>
      </c>
      <c r="D1234" s="156" t="str">
        <f t="shared" si="435"/>
        <v>Kumite</v>
      </c>
      <c r="E1234" s="156" t="str">
        <f t="shared" si="439"/>
        <v>Kumite, U14/Serdölő lány 45-54,9 kg</v>
      </c>
      <c r="F1234" s="156" t="s">
        <v>550</v>
      </c>
      <c r="G1234" s="157" t="str">
        <f t="shared" si="440"/>
        <v>7</v>
      </c>
      <c r="H1234" s="156" t="str">
        <f t="shared" si="441"/>
        <v>8 fős egyenes kiesés</v>
      </c>
      <c r="I1234" s="157" t="str">
        <f>"6"</f>
        <v>6</v>
      </c>
      <c r="J1234" s="156" t="str">
        <f>"Kiss-Juhász Hanga"</f>
        <v>Kiss-Juhász Hanga</v>
      </c>
      <c r="K1234" s="156" t="str">
        <f>"Tora HSE"</f>
        <v>Tora HSE</v>
      </c>
      <c r="L1234" s="156" t="str">
        <f t="shared" si="436"/>
        <v>HUN</v>
      </c>
      <c r="M1234" s="163">
        <v>0</v>
      </c>
      <c r="O1234" s="154" t="s">
        <v>410</v>
      </c>
      <c r="P1234" s="159">
        <v>46103</v>
      </c>
      <c r="Q1234" s="154" t="str">
        <f t="shared" si="437"/>
        <v>Kiss-Juhász Hanga - Tora HSE</v>
      </c>
      <c r="R1234" s="154" t="s">
        <v>637</v>
      </c>
      <c r="S1234" s="154" t="str">
        <f t="shared" si="438"/>
        <v>Tora HSE</v>
      </c>
      <c r="T1234" s="154" t="s">
        <v>645</v>
      </c>
      <c r="U1234" s="154" t="s">
        <v>796</v>
      </c>
      <c r="V1234" s="154"/>
    </row>
    <row r="1235" spans="1:22" s="158" customFormat="1" x14ac:dyDescent="0.3">
      <c r="A1235" s="153" t="s">
        <v>780</v>
      </c>
      <c r="B1235" s="155">
        <v>2</v>
      </c>
      <c r="C1235" s="154">
        <v>1154</v>
      </c>
      <c r="D1235" s="156" t="str">
        <f t="shared" si="435"/>
        <v>Kumite</v>
      </c>
      <c r="E1235" s="156" t="str">
        <f t="shared" si="439"/>
        <v>Kumite, U14/Serdölő lány 45-54,9 kg</v>
      </c>
      <c r="F1235" s="156" t="s">
        <v>550</v>
      </c>
      <c r="G1235" s="157" t="str">
        <f t="shared" si="440"/>
        <v>7</v>
      </c>
      <c r="H1235" s="156" t="str">
        <f t="shared" si="441"/>
        <v>8 fős egyenes kiesés</v>
      </c>
      <c r="I1235" s="157" t="str">
        <f>"7-8"</f>
        <v>7-8</v>
      </c>
      <c r="J1235" s="156" t="str">
        <f>"Gaál-Vajai Tamara"</f>
        <v>Gaál-Vajai Tamara</v>
      </c>
      <c r="K1235" s="156" t="str">
        <f>"Főnix Dojo"</f>
        <v>Főnix Dojo</v>
      </c>
      <c r="L1235" s="156" t="str">
        <f t="shared" si="436"/>
        <v>HUN</v>
      </c>
      <c r="M1235" s="163">
        <v>0</v>
      </c>
      <c r="O1235" s="154" t="s">
        <v>410</v>
      </c>
      <c r="P1235" s="159">
        <v>46103</v>
      </c>
      <c r="Q1235" s="154" t="str">
        <f t="shared" si="437"/>
        <v>Gaál-Vajai Tamara - Főnix Dojo</v>
      </c>
      <c r="R1235" s="154" t="s">
        <v>636</v>
      </c>
      <c r="S1235" s="154" t="str">
        <f t="shared" si="438"/>
        <v>Főnix Dojo</v>
      </c>
      <c r="T1235" s="154" t="s">
        <v>645</v>
      </c>
      <c r="U1235" s="154" t="s">
        <v>796</v>
      </c>
      <c r="V1235" s="154"/>
    </row>
    <row r="1236" spans="1:22" s="158" customFormat="1" x14ac:dyDescent="0.3">
      <c r="A1236" s="153" t="s">
        <v>780</v>
      </c>
      <c r="B1236" s="155">
        <v>2</v>
      </c>
      <c r="C1236" s="154">
        <v>1155</v>
      </c>
      <c r="D1236" s="156" t="str">
        <f t="shared" si="435"/>
        <v>Kumite</v>
      </c>
      <c r="E1236" s="156" t="str">
        <f>"Kumite, U14/Serdölő lány 55-64,9 kg"</f>
        <v>Kumite, U14/Serdölő lány 55-64,9 kg</v>
      </c>
      <c r="F1236" s="156" t="s">
        <v>540</v>
      </c>
      <c r="G1236" s="157" t="str">
        <f>"4"</f>
        <v>4</v>
      </c>
      <c r="H1236" s="156" t="str">
        <f>"4 fős körmérkőzés"</f>
        <v>4 fős körmérkőzés</v>
      </c>
      <c r="I1236" s="157" t="str">
        <f>"1"</f>
        <v>1</v>
      </c>
      <c r="J1236" s="156" t="str">
        <f>"Bennárik Bella"</f>
        <v>Bennárik Bella</v>
      </c>
      <c r="K1236" s="156" t="str">
        <f>"WARRIORS TEAM"</f>
        <v>WARRIORS TEAM</v>
      </c>
      <c r="L1236" s="156" t="str">
        <f t="shared" si="436"/>
        <v>HUN</v>
      </c>
      <c r="M1236" s="163">
        <v>6</v>
      </c>
      <c r="O1236" s="154" t="s">
        <v>410</v>
      </c>
      <c r="P1236" s="159">
        <v>46103</v>
      </c>
      <c r="Q1236" s="154" t="str">
        <f t="shared" si="437"/>
        <v>Bennárik Bella - WARRIORS TEAM</v>
      </c>
      <c r="R1236" s="154" t="s">
        <v>636</v>
      </c>
      <c r="S1236" s="154" t="str">
        <f t="shared" si="438"/>
        <v>WARRIORS TEAM</v>
      </c>
      <c r="T1236" s="154" t="s">
        <v>645</v>
      </c>
      <c r="U1236" s="154" t="s">
        <v>796</v>
      </c>
      <c r="V1236" s="154"/>
    </row>
    <row r="1237" spans="1:22" s="158" customFormat="1" x14ac:dyDescent="0.3">
      <c r="A1237" s="153" t="s">
        <v>780</v>
      </c>
      <c r="B1237" s="155">
        <v>2</v>
      </c>
      <c r="C1237" s="154">
        <v>1156</v>
      </c>
      <c r="D1237" s="156" t="str">
        <f t="shared" si="435"/>
        <v>Kumite</v>
      </c>
      <c r="E1237" s="156" t="str">
        <f>"Kumite, U14/Serdölő lány 55-64,9 kg"</f>
        <v>Kumite, U14/Serdölő lány 55-64,9 kg</v>
      </c>
      <c r="F1237" s="156" t="s">
        <v>540</v>
      </c>
      <c r="G1237" s="157" t="str">
        <f>"4"</f>
        <v>4</v>
      </c>
      <c r="H1237" s="156" t="str">
        <f>"4 fős körmérkőzés"</f>
        <v>4 fős körmérkőzés</v>
      </c>
      <c r="I1237" s="157" t="str">
        <f>"2"</f>
        <v>2</v>
      </c>
      <c r="J1237" s="156" t="str">
        <f>"Nándori Emma"</f>
        <v>Nándori Emma</v>
      </c>
      <c r="K1237" s="156" t="str">
        <f>"Kemecse SE"</f>
        <v>Kemecse SE</v>
      </c>
      <c r="L1237" s="156" t="str">
        <f t="shared" si="436"/>
        <v>HUN</v>
      </c>
      <c r="M1237" s="163">
        <v>5</v>
      </c>
      <c r="O1237" s="154" t="s">
        <v>410</v>
      </c>
      <c r="P1237" s="159">
        <v>46103</v>
      </c>
      <c r="Q1237" s="154" t="str">
        <f t="shared" si="437"/>
        <v>Nándori Emma - Kemecse SE</v>
      </c>
      <c r="R1237" s="154" t="s">
        <v>636</v>
      </c>
      <c r="S1237" s="154" t="str">
        <f t="shared" si="438"/>
        <v>Kemecse SE</v>
      </c>
      <c r="T1237" s="154" t="s">
        <v>645</v>
      </c>
      <c r="U1237" s="154" t="s">
        <v>796</v>
      </c>
      <c r="V1237" s="154"/>
    </row>
    <row r="1238" spans="1:22" s="158" customFormat="1" x14ac:dyDescent="0.3">
      <c r="A1238" s="153" t="s">
        <v>780</v>
      </c>
      <c r="B1238" s="155">
        <v>2</v>
      </c>
      <c r="C1238" s="154">
        <v>1157</v>
      </c>
      <c r="D1238" s="156" t="str">
        <f t="shared" si="435"/>
        <v>Kumite</v>
      </c>
      <c r="E1238" s="156" t="str">
        <f>"Kumite, U14/Serdölő lány 55-64,9 kg"</f>
        <v>Kumite, U14/Serdölő lány 55-64,9 kg</v>
      </c>
      <c r="F1238" s="156" t="s">
        <v>540</v>
      </c>
      <c r="G1238" s="157" t="str">
        <f>"4"</f>
        <v>4</v>
      </c>
      <c r="H1238" s="156" t="str">
        <f>"4 fős körmérkőzés"</f>
        <v>4 fős körmérkőzés</v>
      </c>
      <c r="I1238" s="157" t="str">
        <f>"3"</f>
        <v>3</v>
      </c>
      <c r="J1238" s="156" t="str">
        <f>"Virág Boglárka Csenge"</f>
        <v>Virág Boglárka Csenge</v>
      </c>
      <c r="K1238" s="156" t="str">
        <f>"Keszth.KKK"</f>
        <v>Keszth.KKK</v>
      </c>
      <c r="L1238" s="156" t="str">
        <f t="shared" si="436"/>
        <v>HUN</v>
      </c>
      <c r="M1238" s="163">
        <v>3</v>
      </c>
      <c r="O1238" s="154" t="s">
        <v>410</v>
      </c>
      <c r="P1238" s="159">
        <v>46103</v>
      </c>
      <c r="Q1238" s="154" t="str">
        <f t="shared" si="437"/>
        <v>Virág Boglárka Csenge - Keszth.KKK</v>
      </c>
      <c r="R1238" s="154" t="s">
        <v>636</v>
      </c>
      <c r="S1238" s="154" t="str">
        <f t="shared" si="438"/>
        <v>Keszth.KKK</v>
      </c>
      <c r="T1238" s="154" t="s">
        <v>645</v>
      </c>
      <c r="U1238" s="154" t="s">
        <v>796</v>
      </c>
      <c r="V1238" s="154"/>
    </row>
    <row r="1239" spans="1:22" s="158" customFormat="1" x14ac:dyDescent="0.3">
      <c r="A1239" s="153" t="s">
        <v>780</v>
      </c>
      <c r="B1239" s="155">
        <v>2</v>
      </c>
      <c r="C1239" s="154">
        <v>1158</v>
      </c>
      <c r="D1239" s="156" t="str">
        <f t="shared" si="435"/>
        <v>Kumite</v>
      </c>
      <c r="E1239" s="156" t="str">
        <f>"Kumite, U14/Serdölő lány 55-64,9 kg"</f>
        <v>Kumite, U14/Serdölő lány 55-64,9 kg</v>
      </c>
      <c r="F1239" s="156" t="s">
        <v>540</v>
      </c>
      <c r="G1239" s="157" t="str">
        <f>"4"</f>
        <v>4</v>
      </c>
      <c r="H1239" s="156" t="str">
        <f>"4 fős körmérkőzés"</f>
        <v>4 fős körmérkőzés</v>
      </c>
      <c r="I1239" s="157" t="str">
        <f>"4"</f>
        <v>4</v>
      </c>
      <c r="J1239" s="156" t="str">
        <f>"Szabó Anna Tímea"</f>
        <v>Szabó Anna Tímea</v>
      </c>
      <c r="K1239" s="156" t="str">
        <f>"Katana SE"</f>
        <v>Katana SE</v>
      </c>
      <c r="L1239" s="156" t="str">
        <f t="shared" si="436"/>
        <v>HUN</v>
      </c>
      <c r="M1239" s="163">
        <v>0</v>
      </c>
      <c r="N1239" s="158" t="s">
        <v>704</v>
      </c>
      <c r="O1239" s="154" t="s">
        <v>410</v>
      </c>
      <c r="P1239" s="159">
        <v>46103</v>
      </c>
      <c r="Q1239" s="154" t="str">
        <f t="shared" si="437"/>
        <v>Szabó Anna Tímea - Katana SE</v>
      </c>
      <c r="R1239" s="154" t="s">
        <v>636</v>
      </c>
      <c r="S1239" s="154" t="str">
        <f t="shared" si="438"/>
        <v>Katana SE</v>
      </c>
      <c r="T1239" s="154" t="s">
        <v>645</v>
      </c>
      <c r="U1239" s="154" t="s">
        <v>796</v>
      </c>
      <c r="V1239" s="154"/>
    </row>
    <row r="1240" spans="1:22" s="158" customFormat="1" x14ac:dyDescent="0.3">
      <c r="A1240" s="153" t="s">
        <v>780</v>
      </c>
      <c r="B1240" s="155">
        <v>2</v>
      </c>
      <c r="C1240" s="154">
        <v>1159</v>
      </c>
      <c r="D1240" s="156" t="str">
        <f t="shared" si="435"/>
        <v>Kumite</v>
      </c>
      <c r="E1240" s="156" t="str">
        <f>"Kumite, U14/Serdölő lány 65- kg"</f>
        <v>Kumite, U14/Serdölő lány 65- kg</v>
      </c>
      <c r="F1240" s="156" t="s">
        <v>543</v>
      </c>
      <c r="G1240" s="157" t="str">
        <f>"2"</f>
        <v>2</v>
      </c>
      <c r="H1240" s="156" t="str">
        <f>"2 fős egyenes kiesés"</f>
        <v>2 fős egyenes kiesés</v>
      </c>
      <c r="I1240" s="157" t="str">
        <f>"1"</f>
        <v>1</v>
      </c>
      <c r="J1240" s="156" t="str">
        <f>"Bota Sára"</f>
        <v>Bota Sára</v>
      </c>
      <c r="K1240" s="156" t="str">
        <f>"Rakurai"</f>
        <v>Rakurai</v>
      </c>
      <c r="L1240" s="156" t="str">
        <f t="shared" si="436"/>
        <v>HUN</v>
      </c>
      <c r="M1240" s="163">
        <v>3</v>
      </c>
      <c r="O1240" s="154" t="s">
        <v>410</v>
      </c>
      <c r="P1240" s="159">
        <v>46103</v>
      </c>
      <c r="Q1240" s="154" t="str">
        <f t="shared" si="437"/>
        <v>Bota Sára - Rakurai</v>
      </c>
      <c r="R1240" s="154" t="s">
        <v>636</v>
      </c>
      <c r="S1240" s="154" t="str">
        <f t="shared" si="438"/>
        <v>Rakurai</v>
      </c>
      <c r="T1240" s="154" t="s">
        <v>645</v>
      </c>
      <c r="U1240" s="154" t="s">
        <v>796</v>
      </c>
      <c r="V1240" s="154"/>
    </row>
    <row r="1241" spans="1:22" s="158" customFormat="1" x14ac:dyDescent="0.3">
      <c r="A1241" s="153" t="s">
        <v>780</v>
      </c>
      <c r="B1241" s="155">
        <v>2</v>
      </c>
      <c r="C1241" s="154">
        <v>1160</v>
      </c>
      <c r="D1241" s="156" t="str">
        <f t="shared" si="435"/>
        <v>Kumite</v>
      </c>
      <c r="E1241" s="156" t="str">
        <f>"Kumite, U14/Serdölő lány 65- kg"</f>
        <v>Kumite, U14/Serdölő lány 65- kg</v>
      </c>
      <c r="F1241" s="156" t="s">
        <v>543</v>
      </c>
      <c r="G1241" s="157" t="str">
        <f>"2"</f>
        <v>2</v>
      </c>
      <c r="H1241" s="156" t="str">
        <f>"2 fős egyenes kiesés"</f>
        <v>2 fős egyenes kiesés</v>
      </c>
      <c r="I1241" s="157" t="str">
        <f>"2"</f>
        <v>2</v>
      </c>
      <c r="J1241" s="156" t="str">
        <f>"Tóth-Krisó Míra"</f>
        <v>Tóth-Krisó Míra</v>
      </c>
      <c r="K1241" s="156" t="str">
        <f>"Katana SE"</f>
        <v>Katana SE</v>
      </c>
      <c r="L1241" s="156" t="str">
        <f t="shared" si="436"/>
        <v>HUN</v>
      </c>
      <c r="M1241" s="163">
        <v>0</v>
      </c>
      <c r="O1241" s="154" t="s">
        <v>410</v>
      </c>
      <c r="P1241" s="159">
        <v>46103</v>
      </c>
      <c r="Q1241" s="154" t="str">
        <f t="shared" si="437"/>
        <v>Tóth-Krisó Míra - Katana SE</v>
      </c>
      <c r="R1241" s="154" t="s">
        <v>636</v>
      </c>
      <c r="S1241" s="154" t="str">
        <f t="shared" si="438"/>
        <v>Katana SE</v>
      </c>
      <c r="T1241" s="154" t="s">
        <v>645</v>
      </c>
      <c r="U1241" s="154" t="s">
        <v>796</v>
      </c>
      <c r="V1241" s="154"/>
    </row>
    <row r="1242" spans="1:22" s="158" customFormat="1" x14ac:dyDescent="0.3">
      <c r="A1242" s="153" t="s">
        <v>780</v>
      </c>
      <c r="B1242" s="155">
        <v>2</v>
      </c>
      <c r="C1242" s="154">
        <v>1161</v>
      </c>
      <c r="D1242" s="156" t="str">
        <f t="shared" si="435"/>
        <v>Kumite</v>
      </c>
      <c r="E1242" s="156" t="str">
        <f>"Kumite, U16/Ifjúsági lány 0-49,9 kg"</f>
        <v>Kumite, U16/Ifjúsági lány 0-49,9 kg</v>
      </c>
      <c r="F1242" s="156" t="s">
        <v>546</v>
      </c>
      <c r="G1242" s="157" t="str">
        <f>"3"</f>
        <v>3</v>
      </c>
      <c r="H1242" s="156" t="str">
        <f>"3 fős körmérkőzés"</f>
        <v>3 fős körmérkőzés</v>
      </c>
      <c r="I1242" s="157" t="str">
        <f>"1"</f>
        <v>1</v>
      </c>
      <c r="J1242" s="156" t="str">
        <f>"Nagy Hanna Míra"</f>
        <v>Nagy Hanna Míra</v>
      </c>
      <c r="K1242" s="156" t="str">
        <f>"Genbu dojo"</f>
        <v>Genbu dojo</v>
      </c>
      <c r="L1242" s="156" t="str">
        <f t="shared" si="436"/>
        <v>HUN</v>
      </c>
      <c r="M1242" s="163">
        <v>4</v>
      </c>
      <c r="O1242" s="154" t="s">
        <v>410</v>
      </c>
      <c r="P1242" s="159">
        <v>46103</v>
      </c>
      <c r="Q1242" s="154" t="str">
        <f t="shared" si="437"/>
        <v>Nagy Hanna Míra - Genbu dojo</v>
      </c>
      <c r="R1242" s="154" t="s">
        <v>637</v>
      </c>
      <c r="S1242" s="154" t="str">
        <f t="shared" si="438"/>
        <v>Genbu dojo</v>
      </c>
      <c r="T1242" s="154" t="s">
        <v>645</v>
      </c>
      <c r="U1242" s="154" t="s">
        <v>798</v>
      </c>
      <c r="V1242" s="154"/>
    </row>
    <row r="1243" spans="1:22" s="158" customFormat="1" x14ac:dyDescent="0.3">
      <c r="A1243" s="153" t="s">
        <v>780</v>
      </c>
      <c r="B1243" s="155">
        <v>2</v>
      </c>
      <c r="C1243" s="154">
        <v>1162</v>
      </c>
      <c r="D1243" s="156" t="str">
        <f t="shared" si="435"/>
        <v>Kumite</v>
      </c>
      <c r="E1243" s="156" t="str">
        <f>"Kumite, U16/Ifjúsági lány 0-49,9 kg"</f>
        <v>Kumite, U16/Ifjúsági lány 0-49,9 kg</v>
      </c>
      <c r="F1243" s="156" t="s">
        <v>546</v>
      </c>
      <c r="G1243" s="157" t="str">
        <f>"3"</f>
        <v>3</v>
      </c>
      <c r="H1243" s="156" t="str">
        <f>"3 fős körmérkőzés"</f>
        <v>3 fős körmérkőzés</v>
      </c>
      <c r="I1243" s="157" t="str">
        <f>"2"</f>
        <v>2</v>
      </c>
      <c r="J1243" s="156" t="str">
        <f>"Sülyi Luca"</f>
        <v>Sülyi Luca</v>
      </c>
      <c r="K1243" s="156" t="str">
        <f>"Főnix Dojo"</f>
        <v>Főnix Dojo</v>
      </c>
      <c r="L1243" s="156" t="str">
        <f t="shared" si="436"/>
        <v>HUN</v>
      </c>
      <c r="M1243" s="163">
        <v>3</v>
      </c>
      <c r="O1243" s="154" t="s">
        <v>410</v>
      </c>
      <c r="P1243" s="159">
        <v>46103</v>
      </c>
      <c r="Q1243" s="154" t="str">
        <f t="shared" si="437"/>
        <v>Sülyi Luca - Főnix Dojo</v>
      </c>
      <c r="R1243" s="154" t="s">
        <v>636</v>
      </c>
      <c r="S1243" s="154" t="str">
        <f t="shared" si="438"/>
        <v>Főnix Dojo</v>
      </c>
      <c r="T1243" s="154" t="s">
        <v>645</v>
      </c>
      <c r="U1243" s="154" t="s">
        <v>798</v>
      </c>
      <c r="V1243" s="154"/>
    </row>
    <row r="1244" spans="1:22" s="158" customFormat="1" x14ac:dyDescent="0.3">
      <c r="A1244" s="153" t="s">
        <v>780</v>
      </c>
      <c r="B1244" s="155">
        <v>2</v>
      </c>
      <c r="C1244" s="154">
        <v>1163</v>
      </c>
      <c r="D1244" s="156" t="str">
        <f t="shared" si="435"/>
        <v>Kumite</v>
      </c>
      <c r="E1244" s="156" t="str">
        <f>"Kumite, U16/Ifjúsági lány 0-49,9 kg"</f>
        <v>Kumite, U16/Ifjúsági lány 0-49,9 kg</v>
      </c>
      <c r="F1244" s="156" t="s">
        <v>546</v>
      </c>
      <c r="G1244" s="157" t="str">
        <f>"3"</f>
        <v>3</v>
      </c>
      <c r="H1244" s="156" t="str">
        <f>"3 fős körmérkőzés"</f>
        <v>3 fős körmérkőzés</v>
      </c>
      <c r="I1244" s="157" t="str">
        <f>"3"</f>
        <v>3</v>
      </c>
      <c r="J1244" s="156" t="str">
        <f>"Balogh Dóra Panna"</f>
        <v>Balogh Dóra Panna</v>
      </c>
      <c r="K1244" s="156" t="str">
        <f>"POWER SE."</f>
        <v>POWER SE.</v>
      </c>
      <c r="L1244" s="156" t="str">
        <f t="shared" si="436"/>
        <v>HUN</v>
      </c>
      <c r="M1244" s="163">
        <v>0</v>
      </c>
      <c r="O1244" s="154" t="s">
        <v>410</v>
      </c>
      <c r="P1244" s="159">
        <v>46103</v>
      </c>
      <c r="Q1244" s="154" t="str">
        <f t="shared" si="437"/>
        <v>Balogh Dóra Panna - POWER SE.</v>
      </c>
      <c r="R1244" s="154" t="s">
        <v>636</v>
      </c>
      <c r="S1244" s="154" t="str">
        <f t="shared" si="438"/>
        <v>POWER SE.</v>
      </c>
      <c r="T1244" s="154" t="s">
        <v>645</v>
      </c>
      <c r="U1244" s="154" t="s">
        <v>798</v>
      </c>
      <c r="V1244" s="154"/>
    </row>
    <row r="1245" spans="1:22" s="158" customFormat="1" x14ac:dyDescent="0.3">
      <c r="A1245" s="153" t="s">
        <v>780</v>
      </c>
      <c r="B1245" s="155">
        <v>2</v>
      </c>
      <c r="C1245" s="154">
        <v>1164</v>
      </c>
      <c r="D1245" s="156" t="str">
        <f t="shared" si="435"/>
        <v>Kumite</v>
      </c>
      <c r="E1245" s="156" t="str">
        <f>"Kumite, U16/Ifjúsági lány 50-54,9 kg"</f>
        <v>Kumite, U16/Ifjúsági lány 50-54,9 kg</v>
      </c>
      <c r="F1245" s="156" t="s">
        <v>550</v>
      </c>
      <c r="G1245" s="157" t="str">
        <f>"4"</f>
        <v>4</v>
      </c>
      <c r="H1245" s="156" t="str">
        <f>"4 fős körmérkőzés"</f>
        <v>4 fős körmérkőzés</v>
      </c>
      <c r="I1245" s="157" t="str">
        <f>"1"</f>
        <v>1</v>
      </c>
      <c r="J1245" s="156" t="str">
        <f>"Furó Liliána"</f>
        <v>Furó Liliána</v>
      </c>
      <c r="K1245" s="156" t="str">
        <f>"KHSE"</f>
        <v>KHSE</v>
      </c>
      <c r="L1245" s="156" t="str">
        <f t="shared" si="436"/>
        <v>HUN</v>
      </c>
      <c r="M1245" s="163">
        <v>6</v>
      </c>
      <c r="O1245" s="154" t="s">
        <v>410</v>
      </c>
      <c r="P1245" s="159">
        <v>46103</v>
      </c>
      <c r="Q1245" s="154" t="str">
        <f t="shared" si="437"/>
        <v>Furó Liliána - KHSE</v>
      </c>
      <c r="R1245" s="154" t="s">
        <v>636</v>
      </c>
      <c r="S1245" s="154" t="str">
        <f t="shared" si="438"/>
        <v>KHSE</v>
      </c>
      <c r="T1245" s="154" t="s">
        <v>645</v>
      </c>
      <c r="U1245" s="154" t="s">
        <v>798</v>
      </c>
      <c r="V1245" s="154"/>
    </row>
    <row r="1246" spans="1:22" s="158" customFormat="1" x14ac:dyDescent="0.3">
      <c r="A1246" s="153" t="s">
        <v>780</v>
      </c>
      <c r="B1246" s="155">
        <v>2</v>
      </c>
      <c r="C1246" s="154">
        <v>1165</v>
      </c>
      <c r="D1246" s="156" t="str">
        <f t="shared" si="435"/>
        <v>Kumite</v>
      </c>
      <c r="E1246" s="156" t="str">
        <f>"Kumite, U16/Ifjúsági lány 50-54,9 kg"</f>
        <v>Kumite, U16/Ifjúsági lány 50-54,9 kg</v>
      </c>
      <c r="F1246" s="156" t="s">
        <v>550</v>
      </c>
      <c r="G1246" s="157" t="str">
        <f>"4"</f>
        <v>4</v>
      </c>
      <c r="H1246" s="156" t="str">
        <f>"4 fős körmérkőzés"</f>
        <v>4 fős körmérkőzés</v>
      </c>
      <c r="I1246" s="157" t="str">
        <f>"2"</f>
        <v>2</v>
      </c>
      <c r="J1246" s="156" t="str">
        <f>"Kiss Boglárka"</f>
        <v>Kiss Boglárka</v>
      </c>
      <c r="K1246" s="156" t="str">
        <f>"Derecske BUDO"</f>
        <v>Derecske BUDO</v>
      </c>
      <c r="L1246" s="156" t="str">
        <f t="shared" si="436"/>
        <v>HUN</v>
      </c>
      <c r="M1246" s="163">
        <v>5</v>
      </c>
      <c r="O1246" s="154" t="s">
        <v>410</v>
      </c>
      <c r="P1246" s="159">
        <v>46103</v>
      </c>
      <c r="Q1246" s="154" t="str">
        <f t="shared" si="437"/>
        <v>Kiss Boglárka - Derecske BUDO</v>
      </c>
      <c r="R1246" s="154" t="s">
        <v>636</v>
      </c>
      <c r="S1246" s="154" t="str">
        <f t="shared" si="438"/>
        <v>Derecske BUDO</v>
      </c>
      <c r="T1246" s="154" t="s">
        <v>645</v>
      </c>
      <c r="U1246" s="154" t="s">
        <v>798</v>
      </c>
      <c r="V1246" s="154"/>
    </row>
    <row r="1247" spans="1:22" s="158" customFormat="1" x14ac:dyDescent="0.3">
      <c r="A1247" s="153" t="s">
        <v>780</v>
      </c>
      <c r="B1247" s="155">
        <v>2</v>
      </c>
      <c r="C1247" s="154">
        <v>1166</v>
      </c>
      <c r="D1247" s="156" t="str">
        <f t="shared" si="435"/>
        <v>Kumite</v>
      </c>
      <c r="E1247" s="156" t="str">
        <f>"Kumite, U16/Ifjúsági lány 50-54,9 kg"</f>
        <v>Kumite, U16/Ifjúsági lány 50-54,9 kg</v>
      </c>
      <c r="F1247" s="156" t="s">
        <v>550</v>
      </c>
      <c r="G1247" s="157" t="str">
        <f>"4"</f>
        <v>4</v>
      </c>
      <c r="H1247" s="156" t="str">
        <f>"4 fős körmérkőzés"</f>
        <v>4 fős körmérkőzés</v>
      </c>
      <c r="I1247" s="157" t="str">
        <f>"3"</f>
        <v>3</v>
      </c>
      <c r="J1247" s="156" t="str">
        <f>"Apjok Réka"</f>
        <v>Apjok Réka</v>
      </c>
      <c r="K1247" s="156" t="str">
        <f>"Tora HSE"</f>
        <v>Tora HSE</v>
      </c>
      <c r="L1247" s="156" t="str">
        <f t="shared" si="436"/>
        <v>HUN</v>
      </c>
      <c r="M1247" s="163">
        <v>3</v>
      </c>
      <c r="O1247" s="154" t="s">
        <v>410</v>
      </c>
      <c r="P1247" s="159">
        <v>46103</v>
      </c>
      <c r="Q1247" s="154" t="str">
        <f t="shared" si="437"/>
        <v>Apjok Réka - Tora HSE</v>
      </c>
      <c r="R1247" s="154" t="s">
        <v>637</v>
      </c>
      <c r="S1247" s="154" t="str">
        <f t="shared" si="438"/>
        <v>Tora HSE</v>
      </c>
      <c r="T1247" s="154" t="s">
        <v>645</v>
      </c>
      <c r="U1247" s="154" t="s">
        <v>798</v>
      </c>
      <c r="V1247" s="154"/>
    </row>
    <row r="1248" spans="1:22" s="158" customFormat="1" x14ac:dyDescent="0.3">
      <c r="A1248" s="153" t="s">
        <v>780</v>
      </c>
      <c r="B1248" s="155">
        <v>2</v>
      </c>
      <c r="C1248" s="154">
        <v>1167</v>
      </c>
      <c r="D1248" s="156" t="str">
        <f t="shared" si="435"/>
        <v>Kumite</v>
      </c>
      <c r="E1248" s="156" t="str">
        <f>"Kumite, U16/Ifjúsági lány 50-54,9 kg"</f>
        <v>Kumite, U16/Ifjúsági lány 50-54,9 kg</v>
      </c>
      <c r="F1248" s="156" t="s">
        <v>550</v>
      </c>
      <c r="G1248" s="157" t="str">
        <f>"4"</f>
        <v>4</v>
      </c>
      <c r="H1248" s="156" t="str">
        <f>"4 fős körmérkőzés"</f>
        <v>4 fős körmérkőzés</v>
      </c>
      <c r="I1248" s="157" t="str">
        <f>"4"</f>
        <v>4</v>
      </c>
      <c r="J1248" s="156" t="str">
        <f>"Ható Amanda"</f>
        <v>Ható Amanda</v>
      </c>
      <c r="K1248" s="156" t="str">
        <f>"Rakurai"</f>
        <v>Rakurai</v>
      </c>
      <c r="L1248" s="156" t="str">
        <f t="shared" si="436"/>
        <v>HUN</v>
      </c>
      <c r="M1248" s="163">
        <v>0</v>
      </c>
      <c r="N1248" s="158" t="s">
        <v>704</v>
      </c>
      <c r="O1248" s="154" t="s">
        <v>410</v>
      </c>
      <c r="P1248" s="159">
        <v>46103</v>
      </c>
      <c r="Q1248" s="154" t="str">
        <f t="shared" si="437"/>
        <v>Ható Amanda - Rakurai</v>
      </c>
      <c r="R1248" s="154" t="s">
        <v>636</v>
      </c>
      <c r="S1248" s="154" t="str">
        <f t="shared" si="438"/>
        <v>Rakurai</v>
      </c>
      <c r="T1248" s="154" t="s">
        <v>645</v>
      </c>
      <c r="U1248" s="154" t="s">
        <v>798</v>
      </c>
      <c r="V1248" s="154"/>
    </row>
    <row r="1249" spans="1:22" s="158" customFormat="1" x14ac:dyDescent="0.3">
      <c r="A1249" s="153" t="s">
        <v>780</v>
      </c>
      <c r="B1249" s="155">
        <v>2</v>
      </c>
      <c r="C1249" s="154">
        <v>1168</v>
      </c>
      <c r="D1249" s="156" t="str">
        <f t="shared" si="435"/>
        <v>Kumite</v>
      </c>
      <c r="E1249" s="156" t="str">
        <f>"Kumite, U16/Ifjúsági lány 55-59,9 kg"</f>
        <v>Kumite, U16/Ifjúsági lány 55-59,9 kg</v>
      </c>
      <c r="F1249" s="156" t="s">
        <v>551</v>
      </c>
      <c r="G1249" s="157" t="str">
        <f>"3"</f>
        <v>3</v>
      </c>
      <c r="H1249" s="156" t="str">
        <f>"3 fős körmérkőzés"</f>
        <v>3 fős körmérkőzés</v>
      </c>
      <c r="I1249" s="157" t="str">
        <f>"1"</f>
        <v>1</v>
      </c>
      <c r="J1249" s="156" t="str">
        <f>"Lukács Éva"</f>
        <v>Lukács Éva</v>
      </c>
      <c r="K1249" s="156" t="str">
        <f>"VTSE"</f>
        <v>VTSE</v>
      </c>
      <c r="L1249" s="156" t="str">
        <f t="shared" si="436"/>
        <v>HUN</v>
      </c>
      <c r="M1249" s="163">
        <v>4</v>
      </c>
      <c r="O1249" s="154" t="s">
        <v>410</v>
      </c>
      <c r="P1249" s="159">
        <v>46103</v>
      </c>
      <c r="Q1249" s="154" t="str">
        <f t="shared" si="437"/>
        <v>Lukács Éva - VTSE</v>
      </c>
      <c r="R1249" s="154" t="s">
        <v>637</v>
      </c>
      <c r="S1249" s="154" t="str">
        <f t="shared" si="438"/>
        <v>VTSE</v>
      </c>
      <c r="T1249" s="154" t="s">
        <v>645</v>
      </c>
      <c r="U1249" s="154" t="s">
        <v>798</v>
      </c>
      <c r="V1249" s="154"/>
    </row>
    <row r="1250" spans="1:22" s="158" customFormat="1" x14ac:dyDescent="0.3">
      <c r="A1250" s="153" t="s">
        <v>780</v>
      </c>
      <c r="B1250" s="155">
        <v>2</v>
      </c>
      <c r="C1250" s="154">
        <v>1169</v>
      </c>
      <c r="D1250" s="156" t="str">
        <f t="shared" si="435"/>
        <v>Kumite</v>
      </c>
      <c r="E1250" s="156" t="str">
        <f>"Kumite, U16/Ifjúsági lány 55-59,9 kg"</f>
        <v>Kumite, U16/Ifjúsági lány 55-59,9 kg</v>
      </c>
      <c r="F1250" s="156" t="s">
        <v>551</v>
      </c>
      <c r="G1250" s="157" t="str">
        <f>"3"</f>
        <v>3</v>
      </c>
      <c r="H1250" s="156" t="str">
        <f>"3 fős körmérkőzés"</f>
        <v>3 fős körmérkőzés</v>
      </c>
      <c r="I1250" s="157" t="str">
        <f>"2"</f>
        <v>2</v>
      </c>
      <c r="J1250" s="156" t="str">
        <f>"Demeter Zsófia"</f>
        <v>Demeter Zsófia</v>
      </c>
      <c r="K1250" s="156" t="str">
        <f>"WARRIORS TEAM"</f>
        <v>WARRIORS TEAM</v>
      </c>
      <c r="L1250" s="156" t="str">
        <f t="shared" si="436"/>
        <v>HUN</v>
      </c>
      <c r="M1250" s="163">
        <v>3</v>
      </c>
      <c r="O1250" s="154" t="s">
        <v>410</v>
      </c>
      <c r="P1250" s="159">
        <v>46103</v>
      </c>
      <c r="Q1250" s="154" t="str">
        <f t="shared" si="437"/>
        <v>Demeter Zsófia - WARRIORS TEAM</v>
      </c>
      <c r="R1250" s="154" t="s">
        <v>636</v>
      </c>
      <c r="S1250" s="154" t="str">
        <f t="shared" si="438"/>
        <v>WARRIORS TEAM</v>
      </c>
      <c r="T1250" s="154" t="s">
        <v>645</v>
      </c>
      <c r="U1250" s="154" t="s">
        <v>798</v>
      </c>
      <c r="V1250" s="154"/>
    </row>
    <row r="1251" spans="1:22" s="158" customFormat="1" x14ac:dyDescent="0.3">
      <c r="A1251" s="153" t="s">
        <v>780</v>
      </c>
      <c r="B1251" s="155">
        <v>2</v>
      </c>
      <c r="C1251" s="154">
        <v>1170</v>
      </c>
      <c r="D1251" s="156" t="str">
        <f t="shared" si="435"/>
        <v>Kumite</v>
      </c>
      <c r="E1251" s="156" t="str">
        <f>"Kumite, U16/Ifjúsági lány 55-59,9 kg"</f>
        <v>Kumite, U16/Ifjúsági lány 55-59,9 kg</v>
      </c>
      <c r="F1251" s="156" t="s">
        <v>551</v>
      </c>
      <c r="G1251" s="157" t="str">
        <f>"3"</f>
        <v>3</v>
      </c>
      <c r="H1251" s="156" t="str">
        <f>"3 fős körmérkőzés"</f>
        <v>3 fős körmérkőzés</v>
      </c>
      <c r="I1251" s="157" t="str">
        <f>"3"</f>
        <v>3</v>
      </c>
      <c r="J1251" s="156" t="str">
        <f>"Zsin Zsófia"</f>
        <v>Zsin Zsófia</v>
      </c>
      <c r="K1251" s="156" t="str">
        <f>"BHMSE"</f>
        <v>BHMSE</v>
      </c>
      <c r="L1251" s="156" t="str">
        <f t="shared" si="436"/>
        <v>HUN</v>
      </c>
      <c r="M1251" s="163">
        <v>2</v>
      </c>
      <c r="N1251" s="158" t="s">
        <v>801</v>
      </c>
      <c r="O1251" s="154" t="s">
        <v>410</v>
      </c>
      <c r="P1251" s="159">
        <v>46103</v>
      </c>
      <c r="Q1251" s="154" t="str">
        <f t="shared" si="437"/>
        <v>Zsin Zsófia - BHMSE</v>
      </c>
      <c r="R1251" s="154" t="s">
        <v>636</v>
      </c>
      <c r="S1251" s="154" t="str">
        <f t="shared" si="438"/>
        <v>BHMSE</v>
      </c>
      <c r="T1251" s="154" t="s">
        <v>645</v>
      </c>
      <c r="U1251" s="154" t="s">
        <v>798</v>
      </c>
      <c r="V1251" s="154"/>
    </row>
    <row r="1252" spans="1:22" s="158" customFormat="1" x14ac:dyDescent="0.3">
      <c r="A1252" s="153" t="s">
        <v>780</v>
      </c>
      <c r="B1252" s="155">
        <v>2</v>
      </c>
      <c r="C1252" s="154">
        <v>1171</v>
      </c>
      <c r="D1252" s="156" t="str">
        <f t="shared" si="435"/>
        <v>Kumite</v>
      </c>
      <c r="E1252" s="156" t="str">
        <f t="shared" ref="E1252:E1257" si="442">"Kumite, U16/Ifjúsági lány 60-64,9 kg"</f>
        <v>Kumite, U16/Ifjúsági lány 60-64,9 kg</v>
      </c>
      <c r="F1252" s="156" t="s">
        <v>552</v>
      </c>
      <c r="G1252" s="157" t="str">
        <f t="shared" ref="G1252:G1257" si="443">"6"</f>
        <v>6</v>
      </c>
      <c r="H1252" s="156" t="str">
        <f t="shared" ref="H1252:H1257" si="444">"6 fős vegyes"</f>
        <v>6 fős vegyes</v>
      </c>
      <c r="I1252" s="157" t="str">
        <f>"1"</f>
        <v>1</v>
      </c>
      <c r="J1252" s="156" t="str">
        <f>"Pénzes Zsófia"</f>
        <v>Pénzes Zsófia</v>
      </c>
      <c r="K1252" s="156" t="str">
        <f>"KHSE"</f>
        <v>KHSE</v>
      </c>
      <c r="L1252" s="156" t="str">
        <f t="shared" si="436"/>
        <v>HUN</v>
      </c>
      <c r="M1252" s="163">
        <v>6</v>
      </c>
      <c r="O1252" s="154" t="s">
        <v>410</v>
      </c>
      <c r="P1252" s="159">
        <v>46103</v>
      </c>
      <c r="Q1252" s="154" t="str">
        <f t="shared" si="437"/>
        <v>Pénzes Zsófia - KHSE</v>
      </c>
      <c r="R1252" s="154" t="s">
        <v>636</v>
      </c>
      <c r="S1252" s="154" t="str">
        <f t="shared" si="438"/>
        <v>KHSE</v>
      </c>
      <c r="T1252" s="154" t="s">
        <v>645</v>
      </c>
      <c r="U1252" s="154" t="s">
        <v>798</v>
      </c>
      <c r="V1252" s="154"/>
    </row>
    <row r="1253" spans="1:22" s="158" customFormat="1" x14ac:dyDescent="0.3">
      <c r="A1253" s="153" t="s">
        <v>780</v>
      </c>
      <c r="B1253" s="155">
        <v>2</v>
      </c>
      <c r="C1253" s="154">
        <v>1172</v>
      </c>
      <c r="D1253" s="156" t="str">
        <f t="shared" si="435"/>
        <v>Kumite</v>
      </c>
      <c r="E1253" s="156" t="str">
        <f t="shared" si="442"/>
        <v>Kumite, U16/Ifjúsági lány 60-64,9 kg</v>
      </c>
      <c r="F1253" s="156" t="s">
        <v>552</v>
      </c>
      <c r="G1253" s="157" t="str">
        <f t="shared" si="443"/>
        <v>6</v>
      </c>
      <c r="H1253" s="156" t="str">
        <f t="shared" si="444"/>
        <v>6 fős vegyes</v>
      </c>
      <c r="I1253" s="157" t="str">
        <f>"2"</f>
        <v>2</v>
      </c>
      <c r="J1253" s="156" t="str">
        <f>"Fránki Réka"</f>
        <v>Fránki Réka</v>
      </c>
      <c r="K1253" s="156" t="str">
        <f>"TADASHII "</f>
        <v xml:space="preserve">TADASHII </v>
      </c>
      <c r="L1253" s="156" t="str">
        <f t="shared" si="436"/>
        <v>HUN</v>
      </c>
      <c r="M1253" s="163">
        <v>5</v>
      </c>
      <c r="O1253" s="154" t="s">
        <v>410</v>
      </c>
      <c r="P1253" s="159">
        <v>46103</v>
      </c>
      <c r="Q1253" s="154" t="str">
        <f t="shared" si="437"/>
        <v xml:space="preserve">Fránki Réka - TADASHII </v>
      </c>
      <c r="R1253" s="154" t="s">
        <v>637</v>
      </c>
      <c r="S1253" s="154" t="str">
        <f t="shared" si="438"/>
        <v xml:space="preserve">TADASHII </v>
      </c>
      <c r="T1253" s="154" t="s">
        <v>645</v>
      </c>
      <c r="U1253" s="154" t="s">
        <v>798</v>
      </c>
      <c r="V1253" s="154"/>
    </row>
    <row r="1254" spans="1:22" s="158" customFormat="1" x14ac:dyDescent="0.3">
      <c r="A1254" s="153" t="s">
        <v>780</v>
      </c>
      <c r="B1254" s="155">
        <v>2</v>
      </c>
      <c r="C1254" s="154">
        <v>1173</v>
      </c>
      <c r="D1254" s="156" t="str">
        <f t="shared" si="435"/>
        <v>Kumite</v>
      </c>
      <c r="E1254" s="156" t="str">
        <f t="shared" si="442"/>
        <v>Kumite, U16/Ifjúsági lány 60-64,9 kg</v>
      </c>
      <c r="F1254" s="156" t="s">
        <v>552</v>
      </c>
      <c r="G1254" s="157" t="str">
        <f t="shared" si="443"/>
        <v>6</v>
      </c>
      <c r="H1254" s="156" t="str">
        <f t="shared" si="444"/>
        <v>6 fős vegyes</v>
      </c>
      <c r="I1254" s="157" t="str">
        <f>"3"</f>
        <v>3</v>
      </c>
      <c r="J1254" s="156" t="str">
        <f>"Bognár Boglárka"</f>
        <v>Bognár Boglárka</v>
      </c>
      <c r="K1254" s="156" t="str">
        <f>"Rakurai"</f>
        <v>Rakurai</v>
      </c>
      <c r="L1254" s="156" t="str">
        <f t="shared" si="436"/>
        <v>HUN</v>
      </c>
      <c r="M1254" s="163">
        <v>3</v>
      </c>
      <c r="O1254" s="154" t="s">
        <v>410</v>
      </c>
      <c r="P1254" s="159">
        <v>46103</v>
      </c>
      <c r="Q1254" s="154" t="str">
        <f t="shared" si="437"/>
        <v>Bognár Boglárka - Rakurai</v>
      </c>
      <c r="R1254" s="154" t="s">
        <v>636</v>
      </c>
      <c r="S1254" s="154" t="str">
        <f t="shared" si="438"/>
        <v>Rakurai</v>
      </c>
      <c r="T1254" s="154" t="s">
        <v>645</v>
      </c>
      <c r="U1254" s="154" t="s">
        <v>798</v>
      </c>
      <c r="V1254" s="154"/>
    </row>
    <row r="1255" spans="1:22" s="158" customFormat="1" x14ac:dyDescent="0.3">
      <c r="A1255" s="153" t="s">
        <v>780</v>
      </c>
      <c r="B1255" s="155">
        <v>2</v>
      </c>
      <c r="C1255" s="154">
        <v>1174</v>
      </c>
      <c r="D1255" s="156" t="str">
        <f t="shared" si="435"/>
        <v>Kumite</v>
      </c>
      <c r="E1255" s="156" t="str">
        <f t="shared" si="442"/>
        <v>Kumite, U16/Ifjúsági lány 60-64,9 kg</v>
      </c>
      <c r="F1255" s="156" t="s">
        <v>552</v>
      </c>
      <c r="G1255" s="157" t="str">
        <f t="shared" si="443"/>
        <v>6</v>
      </c>
      <c r="H1255" s="156" t="str">
        <f t="shared" si="444"/>
        <v>6 fős vegyes</v>
      </c>
      <c r="I1255" s="157" t="str">
        <f>"4"</f>
        <v>4</v>
      </c>
      <c r="J1255" s="156" t="str">
        <f>"Albert Szilvia Cintia"</f>
        <v>Albert Szilvia Cintia</v>
      </c>
      <c r="K1255" s="156" t="str">
        <f>"Derecske BUDO"</f>
        <v>Derecske BUDO</v>
      </c>
      <c r="L1255" s="156" t="str">
        <f t="shared" si="436"/>
        <v>HUN</v>
      </c>
      <c r="M1255" s="163">
        <v>0</v>
      </c>
      <c r="O1255" s="154" t="s">
        <v>410</v>
      </c>
      <c r="P1255" s="159">
        <v>46103</v>
      </c>
      <c r="Q1255" s="154" t="str">
        <f t="shared" si="437"/>
        <v>Albert Szilvia Cintia - Derecske BUDO</v>
      </c>
      <c r="R1255" s="154" t="s">
        <v>636</v>
      </c>
      <c r="S1255" s="154" t="str">
        <f t="shared" si="438"/>
        <v>Derecske BUDO</v>
      </c>
      <c r="T1255" s="154" t="s">
        <v>645</v>
      </c>
      <c r="U1255" s="154" t="s">
        <v>798</v>
      </c>
      <c r="V1255" s="154"/>
    </row>
    <row r="1256" spans="1:22" s="158" customFormat="1" x14ac:dyDescent="0.3">
      <c r="A1256" s="153" t="s">
        <v>780</v>
      </c>
      <c r="B1256" s="155">
        <v>2</v>
      </c>
      <c r="C1256" s="154">
        <v>1175</v>
      </c>
      <c r="D1256" s="156" t="str">
        <f t="shared" si="435"/>
        <v>Kumite</v>
      </c>
      <c r="E1256" s="156" t="str">
        <f t="shared" si="442"/>
        <v>Kumite, U16/Ifjúsági lány 60-64,9 kg</v>
      </c>
      <c r="F1256" s="156" t="s">
        <v>552</v>
      </c>
      <c r="G1256" s="157" t="str">
        <f t="shared" si="443"/>
        <v>6</v>
      </c>
      <c r="H1256" s="156" t="str">
        <f t="shared" si="444"/>
        <v>6 fős vegyes</v>
      </c>
      <c r="I1256" s="157" t="str">
        <f>"5"</f>
        <v>5</v>
      </c>
      <c r="J1256" s="156" t="str">
        <f>"Kovács Viktória"</f>
        <v>Kovács Viktória</v>
      </c>
      <c r="K1256" s="156" t="str">
        <f>"Nintai KKSE"</f>
        <v>Nintai KKSE</v>
      </c>
      <c r="L1256" s="156" t="str">
        <f t="shared" si="436"/>
        <v>HUN</v>
      </c>
      <c r="M1256" s="163">
        <v>0</v>
      </c>
      <c r="O1256" s="154" t="s">
        <v>410</v>
      </c>
      <c r="P1256" s="159">
        <v>46103</v>
      </c>
      <c r="Q1256" s="154" t="str">
        <f t="shared" si="437"/>
        <v>Kovács Viktória - Nintai KKSE</v>
      </c>
      <c r="R1256" s="154" t="s">
        <v>637</v>
      </c>
      <c r="S1256" s="154" t="str">
        <f t="shared" si="438"/>
        <v>Nintai KKSE</v>
      </c>
      <c r="T1256" s="154" t="s">
        <v>645</v>
      </c>
      <c r="U1256" s="154" t="s">
        <v>798</v>
      </c>
      <c r="V1256" s="154"/>
    </row>
    <row r="1257" spans="1:22" s="158" customFormat="1" x14ac:dyDescent="0.3">
      <c r="A1257" s="153" t="s">
        <v>780</v>
      </c>
      <c r="B1257" s="155">
        <v>2</v>
      </c>
      <c r="C1257" s="154">
        <v>1176</v>
      </c>
      <c r="D1257" s="156" t="str">
        <f t="shared" si="435"/>
        <v>Kumite</v>
      </c>
      <c r="E1257" s="156" t="str">
        <f t="shared" si="442"/>
        <v>Kumite, U16/Ifjúsági lány 60-64,9 kg</v>
      </c>
      <c r="F1257" s="156" t="s">
        <v>552</v>
      </c>
      <c r="G1257" s="157" t="str">
        <f t="shared" si="443"/>
        <v>6</v>
      </c>
      <c r="H1257" s="156" t="str">
        <f t="shared" si="444"/>
        <v>6 fős vegyes</v>
      </c>
      <c r="I1257" s="157" t="str">
        <f>"6"</f>
        <v>6</v>
      </c>
      <c r="J1257" s="156" t="str">
        <f>"Fránki Dorina"</f>
        <v>Fránki Dorina</v>
      </c>
      <c r="K1257" s="156" t="str">
        <f>"TADASHII "</f>
        <v xml:space="preserve">TADASHII </v>
      </c>
      <c r="L1257" s="156" t="str">
        <f t="shared" si="436"/>
        <v>HUN</v>
      </c>
      <c r="M1257" s="163">
        <v>0</v>
      </c>
      <c r="O1257" s="154" t="s">
        <v>410</v>
      </c>
      <c r="P1257" s="159">
        <v>46103</v>
      </c>
      <c r="Q1257" s="154" t="str">
        <f t="shared" si="437"/>
        <v xml:space="preserve">Fránki Dorina - TADASHII </v>
      </c>
      <c r="R1257" s="154" t="s">
        <v>637</v>
      </c>
      <c r="S1257" s="154" t="str">
        <f t="shared" si="438"/>
        <v xml:space="preserve">TADASHII </v>
      </c>
      <c r="T1257" s="154" t="s">
        <v>645</v>
      </c>
      <c r="U1257" s="154" t="s">
        <v>798</v>
      </c>
      <c r="V1257" s="154"/>
    </row>
    <row r="1258" spans="1:22" s="158" customFormat="1" x14ac:dyDescent="0.3">
      <c r="A1258" s="153" t="s">
        <v>780</v>
      </c>
      <c r="B1258" s="155">
        <v>2</v>
      </c>
      <c r="C1258" s="154">
        <v>1177</v>
      </c>
      <c r="D1258" s="156" t="str">
        <f t="shared" si="435"/>
        <v>Kumite</v>
      </c>
      <c r="E1258" s="156" t="str">
        <f>"Kumite, U16/Ifjúsági lány 65- kg"</f>
        <v>Kumite, U16/Ifjúsági lány 65- kg</v>
      </c>
      <c r="F1258" s="156" t="s">
        <v>553</v>
      </c>
      <c r="G1258" s="157" t="str">
        <f>"2"</f>
        <v>2</v>
      </c>
      <c r="H1258" s="156" t="str">
        <f>"2 fős egyenes kiesés"</f>
        <v>2 fős egyenes kiesés</v>
      </c>
      <c r="I1258" s="157" t="str">
        <f>"1"</f>
        <v>1</v>
      </c>
      <c r="J1258" s="156" t="str">
        <f>"Csonka Kata"</f>
        <v>Csonka Kata</v>
      </c>
      <c r="K1258" s="156" t="str">
        <f>"Kamikaze S"</f>
        <v>Kamikaze S</v>
      </c>
      <c r="L1258" s="156" t="str">
        <f t="shared" si="436"/>
        <v>HUN</v>
      </c>
      <c r="M1258" s="163">
        <v>3</v>
      </c>
      <c r="O1258" s="154" t="s">
        <v>410</v>
      </c>
      <c r="P1258" s="159">
        <v>46103</v>
      </c>
      <c r="Q1258" s="154" t="str">
        <f t="shared" si="437"/>
        <v>Csonka Kata - Kamikaze S</v>
      </c>
      <c r="R1258" s="154" t="s">
        <v>636</v>
      </c>
      <c r="S1258" s="154" t="str">
        <f t="shared" si="438"/>
        <v>Kamikaze S</v>
      </c>
      <c r="T1258" s="154" t="s">
        <v>645</v>
      </c>
      <c r="U1258" s="154" t="s">
        <v>798</v>
      </c>
      <c r="V1258" s="154"/>
    </row>
    <row r="1259" spans="1:22" s="158" customFormat="1" x14ac:dyDescent="0.3">
      <c r="A1259" s="153" t="s">
        <v>780</v>
      </c>
      <c r="B1259" s="155">
        <v>2</v>
      </c>
      <c r="C1259" s="154">
        <v>1178</v>
      </c>
      <c r="D1259" s="156" t="str">
        <f t="shared" si="435"/>
        <v>Kumite</v>
      </c>
      <c r="E1259" s="156" t="str">
        <f>"Kumite, U16/Ifjúsági lány 65- kg"</f>
        <v>Kumite, U16/Ifjúsági lány 65- kg</v>
      </c>
      <c r="F1259" s="156" t="s">
        <v>553</v>
      </c>
      <c r="G1259" s="157" t="str">
        <f>"2"</f>
        <v>2</v>
      </c>
      <c r="H1259" s="156" t="str">
        <f>"2 fős egyenes kiesés"</f>
        <v>2 fős egyenes kiesés</v>
      </c>
      <c r="I1259" s="157" t="str">
        <f>"2"</f>
        <v>2</v>
      </c>
      <c r="J1259" s="156" t="str">
        <f>"Komondi Veronika Nilla"</f>
        <v>Komondi Veronika Nilla</v>
      </c>
      <c r="K1259" s="156" t="str">
        <f>"Keszth.KKK"</f>
        <v>Keszth.KKK</v>
      </c>
      <c r="L1259" s="156" t="str">
        <f t="shared" si="436"/>
        <v>HUN</v>
      </c>
      <c r="M1259" s="163">
        <v>0</v>
      </c>
      <c r="O1259" s="154" t="s">
        <v>410</v>
      </c>
      <c r="P1259" s="159">
        <v>46103</v>
      </c>
      <c r="Q1259" s="154" t="str">
        <f t="shared" si="437"/>
        <v>Komondi Veronika Nilla - Keszth.KKK</v>
      </c>
      <c r="R1259" s="154" t="s">
        <v>636</v>
      </c>
      <c r="S1259" s="154" t="str">
        <f t="shared" si="438"/>
        <v>Keszth.KKK</v>
      </c>
      <c r="T1259" s="154" t="s">
        <v>645</v>
      </c>
      <c r="U1259" s="154" t="s">
        <v>798</v>
      </c>
      <c r="V1259" s="154"/>
    </row>
    <row r="1260" spans="1:22" s="158" customFormat="1" x14ac:dyDescent="0.3">
      <c r="A1260" s="153" t="s">
        <v>1321</v>
      </c>
      <c r="B1260" s="155">
        <v>1</v>
      </c>
      <c r="C1260" s="154">
        <v>1</v>
      </c>
      <c r="D1260" s="154" t="s">
        <v>7</v>
      </c>
      <c r="E1260" s="154" t="s">
        <v>505</v>
      </c>
      <c r="F1260" s="154" t="s">
        <v>505</v>
      </c>
      <c r="G1260" s="165" t="s">
        <v>1331</v>
      </c>
      <c r="H1260" s="165" t="s">
        <v>1331</v>
      </c>
      <c r="I1260" s="155">
        <v>3</v>
      </c>
      <c r="J1260" s="154" t="s">
        <v>1323</v>
      </c>
      <c r="K1260" s="154" t="s">
        <v>35</v>
      </c>
      <c r="L1260" s="156" t="str">
        <f t="shared" si="436"/>
        <v>HUN</v>
      </c>
      <c r="M1260" s="163">
        <v>15</v>
      </c>
      <c r="N1260" s="154"/>
      <c r="O1260" s="154" t="s">
        <v>1322</v>
      </c>
      <c r="P1260" s="159">
        <v>46151</v>
      </c>
      <c r="Q1260" s="154" t="str">
        <f t="shared" ref="Q1260:Q1281" si="445">J1260&amp;" - "&amp;K1260</f>
        <v>Ágoston Sára - KHSE</v>
      </c>
      <c r="R1260" s="154" t="s">
        <v>636</v>
      </c>
      <c r="S1260" s="154" t="str">
        <f t="shared" ref="S1260:S1280" si="446">K1260</f>
        <v>KHSE</v>
      </c>
      <c r="T1260" s="154" t="s">
        <v>645</v>
      </c>
      <c r="U1260" s="154" t="s">
        <v>799</v>
      </c>
      <c r="V1260" s="154"/>
    </row>
    <row r="1261" spans="1:22" s="158" customFormat="1" x14ac:dyDescent="0.3">
      <c r="A1261" s="153" t="s">
        <v>1321</v>
      </c>
      <c r="B1261" s="155">
        <v>1</v>
      </c>
      <c r="C1261" s="154">
        <v>2</v>
      </c>
      <c r="D1261" s="154" t="s">
        <v>7</v>
      </c>
      <c r="E1261" s="154" t="s">
        <v>505</v>
      </c>
      <c r="F1261" s="154" t="s">
        <v>505</v>
      </c>
      <c r="G1261" s="165" t="s">
        <v>1331</v>
      </c>
      <c r="H1261" s="165" t="s">
        <v>1331</v>
      </c>
      <c r="I1261" s="155">
        <v>3</v>
      </c>
      <c r="J1261" s="154" t="s">
        <v>680</v>
      </c>
      <c r="K1261" s="154" t="s">
        <v>87</v>
      </c>
      <c r="L1261" s="156" t="str">
        <f t="shared" si="436"/>
        <v>HUN</v>
      </c>
      <c r="M1261" s="163">
        <v>15</v>
      </c>
      <c r="N1261" s="154"/>
      <c r="O1261" s="154" t="s">
        <v>1322</v>
      </c>
      <c r="P1261" s="159">
        <v>46151</v>
      </c>
      <c r="Q1261" s="154" t="str">
        <f t="shared" si="445"/>
        <v>Lukács Kamilla - Victory</v>
      </c>
      <c r="R1261" s="154" t="s">
        <v>636</v>
      </c>
      <c r="S1261" s="154" t="str">
        <f t="shared" si="446"/>
        <v>Victory</v>
      </c>
      <c r="T1261" s="154" t="s">
        <v>645</v>
      </c>
      <c r="U1261" s="154" t="s">
        <v>799</v>
      </c>
      <c r="V1261" s="154"/>
    </row>
    <row r="1262" spans="1:22" s="158" customFormat="1" x14ac:dyDescent="0.3">
      <c r="A1262" s="153" t="s">
        <v>1321</v>
      </c>
      <c r="B1262" s="155">
        <v>1</v>
      </c>
      <c r="C1262" s="154">
        <v>3</v>
      </c>
      <c r="D1262" s="154" t="s">
        <v>7</v>
      </c>
      <c r="E1262" s="154" t="s">
        <v>507</v>
      </c>
      <c r="F1262" s="154" t="s">
        <v>507</v>
      </c>
      <c r="G1262" s="165" t="s">
        <v>1331</v>
      </c>
      <c r="H1262" s="165" t="s">
        <v>1331</v>
      </c>
      <c r="I1262" s="166" t="s">
        <v>302</v>
      </c>
      <c r="J1262" s="154" t="s">
        <v>478</v>
      </c>
      <c r="K1262" s="154" t="s">
        <v>14</v>
      </c>
      <c r="L1262" s="156" t="str">
        <f t="shared" si="436"/>
        <v>HUN</v>
      </c>
      <c r="M1262" s="163">
        <v>8</v>
      </c>
      <c r="N1262" s="154"/>
      <c r="O1262" s="154" t="s">
        <v>1322</v>
      </c>
      <c r="P1262" s="159">
        <v>46151</v>
      </c>
      <c r="Q1262" s="154" t="str">
        <f t="shared" ref="Q1262" si="447">J1262&amp;" - "&amp;K1262</f>
        <v>Szutor Anna - Shogun</v>
      </c>
      <c r="R1262" s="154" t="s">
        <v>636</v>
      </c>
      <c r="S1262" s="154" t="str">
        <f t="shared" ref="S1262" si="448">K1262</f>
        <v>Shogun</v>
      </c>
      <c r="T1262" s="154" t="s">
        <v>645</v>
      </c>
      <c r="U1262" s="154" t="s">
        <v>799</v>
      </c>
      <c r="V1262" s="154"/>
    </row>
    <row r="1263" spans="1:22" s="158" customFormat="1" x14ac:dyDescent="0.3">
      <c r="A1263" s="153" t="s">
        <v>1321</v>
      </c>
      <c r="B1263" s="155">
        <v>1</v>
      </c>
      <c r="C1263" s="154">
        <v>4</v>
      </c>
      <c r="D1263" s="154" t="s">
        <v>7</v>
      </c>
      <c r="E1263" s="154" t="s">
        <v>507</v>
      </c>
      <c r="F1263" s="154" t="s">
        <v>507</v>
      </c>
      <c r="G1263" s="165" t="s">
        <v>1331</v>
      </c>
      <c r="H1263" s="165" t="s">
        <v>1331</v>
      </c>
      <c r="I1263" s="166" t="s">
        <v>302</v>
      </c>
      <c r="J1263" s="154" t="s">
        <v>1326</v>
      </c>
      <c r="K1263" s="154" t="s">
        <v>87</v>
      </c>
      <c r="L1263" s="156" t="str">
        <f t="shared" si="436"/>
        <v>HUN</v>
      </c>
      <c r="M1263" s="163">
        <v>8</v>
      </c>
      <c r="N1263" s="154"/>
      <c r="O1263" s="154" t="s">
        <v>1322</v>
      </c>
      <c r="P1263" s="159">
        <v>46151</v>
      </c>
      <c r="Q1263" s="154" t="str">
        <f t="shared" ref="Q1263" si="449">J1263&amp;" - "&amp;K1263</f>
        <v>Éles Léna - Victory</v>
      </c>
      <c r="R1263" s="154" t="s">
        <v>636</v>
      </c>
      <c r="S1263" s="154" t="str">
        <f t="shared" ref="S1263" si="450">K1263</f>
        <v>Victory</v>
      </c>
      <c r="T1263" s="154" t="s">
        <v>645</v>
      </c>
      <c r="U1263" s="154" t="s">
        <v>799</v>
      </c>
      <c r="V1263" s="154"/>
    </row>
    <row r="1264" spans="1:22" s="158" customFormat="1" x14ac:dyDescent="0.3">
      <c r="A1264" s="153" t="s">
        <v>1321</v>
      </c>
      <c r="B1264" s="155">
        <v>1</v>
      </c>
      <c r="C1264" s="154">
        <v>5</v>
      </c>
      <c r="D1264" s="154" t="s">
        <v>7</v>
      </c>
      <c r="E1264" s="154" t="s">
        <v>508</v>
      </c>
      <c r="F1264" s="154" t="s">
        <v>508</v>
      </c>
      <c r="G1264" s="165" t="s">
        <v>1331</v>
      </c>
      <c r="H1264" s="165" t="s">
        <v>1331</v>
      </c>
      <c r="I1264" s="166" t="s">
        <v>302</v>
      </c>
      <c r="J1264" s="154" t="s">
        <v>372</v>
      </c>
      <c r="K1264" s="154" t="s">
        <v>35</v>
      </c>
      <c r="L1264" s="156" t="str">
        <f t="shared" si="436"/>
        <v>HUN</v>
      </c>
      <c r="M1264" s="163">
        <v>8</v>
      </c>
      <c r="N1264" s="154"/>
      <c r="O1264" s="154" t="s">
        <v>1322</v>
      </c>
      <c r="P1264" s="159">
        <v>46151</v>
      </c>
      <c r="Q1264" s="154" t="str">
        <f t="shared" si="445"/>
        <v>Vórincsák Vivien - KHSE</v>
      </c>
      <c r="R1264" s="154" t="s">
        <v>636</v>
      </c>
      <c r="S1264" s="154" t="str">
        <f t="shared" si="446"/>
        <v>KHSE</v>
      </c>
      <c r="T1264" s="154" t="s">
        <v>645</v>
      </c>
      <c r="U1264" s="154" t="s">
        <v>799</v>
      </c>
      <c r="V1264" s="154"/>
    </row>
    <row r="1265" spans="1:22" s="158" customFormat="1" x14ac:dyDescent="0.3">
      <c r="A1265" s="153" t="s">
        <v>1321</v>
      </c>
      <c r="B1265" s="155">
        <v>1</v>
      </c>
      <c r="C1265" s="154">
        <v>6</v>
      </c>
      <c r="D1265" s="154" t="s">
        <v>7</v>
      </c>
      <c r="E1265" s="154" t="s">
        <v>508</v>
      </c>
      <c r="F1265" s="154" t="s">
        <v>508</v>
      </c>
      <c r="G1265" s="165" t="s">
        <v>1331</v>
      </c>
      <c r="H1265" s="165" t="s">
        <v>1331</v>
      </c>
      <c r="I1265" s="155">
        <v>3</v>
      </c>
      <c r="J1265" s="154" t="s">
        <v>373</v>
      </c>
      <c r="K1265" s="154" t="s">
        <v>35</v>
      </c>
      <c r="L1265" s="156" t="str">
        <f t="shared" si="436"/>
        <v>HUN</v>
      </c>
      <c r="M1265" s="163">
        <v>15</v>
      </c>
      <c r="N1265" s="154"/>
      <c r="O1265" s="154" t="s">
        <v>1322</v>
      </c>
      <c r="P1265" s="159">
        <v>46151</v>
      </c>
      <c r="Q1265" s="154" t="str">
        <f t="shared" si="445"/>
        <v>Ecsedi Réka - KHSE</v>
      </c>
      <c r="R1265" s="154" t="s">
        <v>636</v>
      </c>
      <c r="S1265" s="154" t="str">
        <f t="shared" si="446"/>
        <v>KHSE</v>
      </c>
      <c r="T1265" s="154" t="s">
        <v>645</v>
      </c>
      <c r="U1265" s="154" t="s">
        <v>799</v>
      </c>
      <c r="V1265" s="154"/>
    </row>
    <row r="1266" spans="1:22" s="158" customFormat="1" x14ac:dyDescent="0.3">
      <c r="A1266" s="153" t="s">
        <v>1321</v>
      </c>
      <c r="B1266" s="155">
        <v>1</v>
      </c>
      <c r="C1266" s="154">
        <v>7</v>
      </c>
      <c r="D1266" s="154" t="s">
        <v>7</v>
      </c>
      <c r="E1266" s="154" t="s">
        <v>498</v>
      </c>
      <c r="F1266" s="154" t="s">
        <v>498</v>
      </c>
      <c r="G1266" s="165" t="s">
        <v>1331</v>
      </c>
      <c r="H1266" s="165" t="s">
        <v>1331</v>
      </c>
      <c r="I1266" s="166" t="s">
        <v>302</v>
      </c>
      <c r="J1266" s="154" t="s">
        <v>1324</v>
      </c>
      <c r="K1266" s="154" t="s">
        <v>87</v>
      </c>
      <c r="L1266" s="156" t="str">
        <f t="shared" si="436"/>
        <v>HUN</v>
      </c>
      <c r="M1266" s="163">
        <v>8</v>
      </c>
      <c r="N1266" s="154"/>
      <c r="O1266" s="154" t="s">
        <v>1322</v>
      </c>
      <c r="P1266" s="159">
        <v>46151</v>
      </c>
      <c r="Q1266" s="154" t="str">
        <f t="shared" si="445"/>
        <v>Böszörményi Gergő - Victory</v>
      </c>
      <c r="R1266" s="154" t="s">
        <v>636</v>
      </c>
      <c r="S1266" s="154" t="str">
        <f t="shared" si="446"/>
        <v>Victory</v>
      </c>
      <c r="T1266" s="154" t="s">
        <v>645</v>
      </c>
      <c r="U1266" s="154" t="s">
        <v>799</v>
      </c>
      <c r="V1266" s="154"/>
    </row>
    <row r="1267" spans="1:22" s="158" customFormat="1" x14ac:dyDescent="0.3">
      <c r="A1267" s="153" t="s">
        <v>1321</v>
      </c>
      <c r="B1267" s="155">
        <v>1</v>
      </c>
      <c r="C1267" s="154">
        <v>8</v>
      </c>
      <c r="D1267" s="154" t="s">
        <v>7</v>
      </c>
      <c r="E1267" s="154" t="s">
        <v>500</v>
      </c>
      <c r="F1267" s="154" t="s">
        <v>500</v>
      </c>
      <c r="G1267" s="165" t="s">
        <v>1331</v>
      </c>
      <c r="H1267" s="165" t="s">
        <v>1331</v>
      </c>
      <c r="I1267" s="166" t="s">
        <v>302</v>
      </c>
      <c r="J1267" s="154" t="s">
        <v>586</v>
      </c>
      <c r="K1267" s="154" t="s">
        <v>14</v>
      </c>
      <c r="L1267" s="156" t="str">
        <f t="shared" si="436"/>
        <v>HUN</v>
      </c>
      <c r="M1267" s="163">
        <v>8</v>
      </c>
      <c r="N1267" s="154"/>
      <c r="O1267" s="154" t="s">
        <v>1322</v>
      </c>
      <c r="P1267" s="159">
        <v>46151</v>
      </c>
      <c r="Q1267" s="154" t="str">
        <f t="shared" si="445"/>
        <v>Bessenyei Csongor - Shogun</v>
      </c>
      <c r="R1267" s="154" t="s">
        <v>636</v>
      </c>
      <c r="S1267" s="154" t="str">
        <f t="shared" si="446"/>
        <v>Shogun</v>
      </c>
      <c r="T1267" s="154" t="s">
        <v>645</v>
      </c>
      <c r="U1267" s="154" t="s">
        <v>799</v>
      </c>
      <c r="V1267" s="154"/>
    </row>
    <row r="1268" spans="1:22" s="158" customFormat="1" x14ac:dyDescent="0.3">
      <c r="A1268" s="153" t="s">
        <v>1321</v>
      </c>
      <c r="B1268" s="155">
        <v>1</v>
      </c>
      <c r="C1268" s="154">
        <v>9</v>
      </c>
      <c r="D1268" s="154" t="s">
        <v>126</v>
      </c>
      <c r="E1268" s="156" t="s">
        <v>502</v>
      </c>
      <c r="F1268" s="156" t="s">
        <v>502</v>
      </c>
      <c r="G1268" s="165" t="s">
        <v>1331</v>
      </c>
      <c r="H1268" s="165" t="s">
        <v>1331</v>
      </c>
      <c r="I1268" s="166" t="s">
        <v>302</v>
      </c>
      <c r="J1268" s="154" t="s">
        <v>586</v>
      </c>
      <c r="K1268" s="154" t="s">
        <v>14</v>
      </c>
      <c r="L1268" s="156" t="str">
        <f t="shared" si="436"/>
        <v>HUN</v>
      </c>
      <c r="M1268" s="163">
        <v>6</v>
      </c>
      <c r="N1268" s="154"/>
      <c r="O1268" s="154" t="s">
        <v>1322</v>
      </c>
      <c r="P1268" s="159">
        <v>46151</v>
      </c>
      <c r="Q1268" s="154" t="str">
        <f t="shared" si="445"/>
        <v>Bessenyei Csongor - Shogun</v>
      </c>
      <c r="R1268" s="154" t="s">
        <v>636</v>
      </c>
      <c r="S1268" s="154" t="str">
        <f t="shared" si="446"/>
        <v>Shogun</v>
      </c>
      <c r="T1268" s="154" t="s">
        <v>645</v>
      </c>
      <c r="U1268" s="154" t="s">
        <v>799</v>
      </c>
      <c r="V1268" s="154"/>
    </row>
    <row r="1269" spans="1:22" s="158" customFormat="1" x14ac:dyDescent="0.3">
      <c r="A1269" s="153" t="s">
        <v>1321</v>
      </c>
      <c r="B1269" s="155">
        <v>1</v>
      </c>
      <c r="C1269" s="154">
        <v>10</v>
      </c>
      <c r="D1269" s="154" t="s">
        <v>126</v>
      </c>
      <c r="E1269" s="156" t="s">
        <v>502</v>
      </c>
      <c r="F1269" s="156" t="s">
        <v>502</v>
      </c>
      <c r="G1269" s="165" t="s">
        <v>1331</v>
      </c>
      <c r="H1269" s="165" t="s">
        <v>1331</v>
      </c>
      <c r="I1269" s="166">
        <v>3</v>
      </c>
      <c r="J1269" s="154" t="s">
        <v>621</v>
      </c>
      <c r="K1269" s="154" t="s">
        <v>14</v>
      </c>
      <c r="L1269" s="156" t="str">
        <f t="shared" si="436"/>
        <v>HUN</v>
      </c>
      <c r="M1269" s="163">
        <v>10</v>
      </c>
      <c r="N1269" s="154"/>
      <c r="O1269" s="154" t="s">
        <v>1322</v>
      </c>
      <c r="P1269" s="159">
        <v>46151</v>
      </c>
      <c r="Q1269" s="154" t="str">
        <f t="shared" si="445"/>
        <v>Terbócs Roland - Shogun</v>
      </c>
      <c r="R1269" s="154" t="s">
        <v>636</v>
      </c>
      <c r="S1269" s="154" t="str">
        <f t="shared" si="446"/>
        <v>Shogun</v>
      </c>
      <c r="T1269" s="154" t="s">
        <v>645</v>
      </c>
      <c r="U1269" s="154" t="s">
        <v>799</v>
      </c>
      <c r="V1269" s="154"/>
    </row>
    <row r="1270" spans="1:22" s="158" customFormat="1" x14ac:dyDescent="0.3">
      <c r="A1270" s="153" t="s">
        <v>1321</v>
      </c>
      <c r="B1270" s="155">
        <v>1</v>
      </c>
      <c r="C1270" s="154">
        <v>11</v>
      </c>
      <c r="D1270" s="154" t="s">
        <v>7</v>
      </c>
      <c r="E1270" s="156" t="s">
        <v>489</v>
      </c>
      <c r="F1270" s="156" t="s">
        <v>489</v>
      </c>
      <c r="G1270" s="165" t="s">
        <v>1331</v>
      </c>
      <c r="H1270" s="165" t="s">
        <v>1331</v>
      </c>
      <c r="I1270" s="166" t="s">
        <v>302</v>
      </c>
      <c r="J1270" s="154" t="s">
        <v>685</v>
      </c>
      <c r="K1270" s="154" t="s">
        <v>87</v>
      </c>
      <c r="L1270" s="156" t="str">
        <f t="shared" si="436"/>
        <v>HUN</v>
      </c>
      <c r="M1270" s="163">
        <v>15</v>
      </c>
      <c r="N1270" s="154"/>
      <c r="O1270" s="154" t="s">
        <v>1322</v>
      </c>
      <c r="P1270" s="159">
        <v>46152</v>
      </c>
      <c r="Q1270" s="154" t="str">
        <f t="shared" si="445"/>
        <v>Dévényi Lora - Victory</v>
      </c>
      <c r="R1270" s="154" t="s">
        <v>636</v>
      </c>
      <c r="S1270" s="154" t="str">
        <f t="shared" si="446"/>
        <v>Victory</v>
      </c>
      <c r="T1270" s="154" t="s">
        <v>644</v>
      </c>
      <c r="U1270" s="154" t="s">
        <v>644</v>
      </c>
      <c r="V1270" s="154"/>
    </row>
    <row r="1271" spans="1:22" s="158" customFormat="1" x14ac:dyDescent="0.3">
      <c r="A1271" s="153" t="s">
        <v>1321</v>
      </c>
      <c r="B1271" s="155">
        <v>1</v>
      </c>
      <c r="C1271" s="154">
        <v>12</v>
      </c>
      <c r="D1271" s="154" t="s">
        <v>7</v>
      </c>
      <c r="E1271" s="156" t="s">
        <v>1328</v>
      </c>
      <c r="F1271" s="156" t="s">
        <v>743</v>
      </c>
      <c r="G1271" s="165" t="s">
        <v>1331</v>
      </c>
      <c r="H1271" s="165" t="s">
        <v>1331</v>
      </c>
      <c r="I1271" s="166" t="s">
        <v>302</v>
      </c>
      <c r="J1271" s="154" t="s">
        <v>110</v>
      </c>
      <c r="K1271" s="154" t="s">
        <v>35</v>
      </c>
      <c r="L1271" s="156" t="str">
        <f t="shared" si="436"/>
        <v>HUN</v>
      </c>
      <c r="M1271" s="163">
        <v>15</v>
      </c>
      <c r="N1271" s="154"/>
      <c r="O1271" s="154" t="s">
        <v>1322</v>
      </c>
      <c r="P1271" s="159">
        <v>46152</v>
      </c>
      <c r="Q1271" s="154" t="str">
        <f t="shared" si="445"/>
        <v>Gyenge Judit - KHSE</v>
      </c>
      <c r="R1271" s="154" t="s">
        <v>636</v>
      </c>
      <c r="S1271" s="154" t="str">
        <f t="shared" si="446"/>
        <v>KHSE</v>
      </c>
      <c r="T1271" s="154" t="s">
        <v>644</v>
      </c>
      <c r="U1271" s="154" t="s">
        <v>644</v>
      </c>
      <c r="V1271" s="154"/>
    </row>
    <row r="1272" spans="1:22" s="158" customFormat="1" x14ac:dyDescent="0.3">
      <c r="A1272" s="153" t="s">
        <v>1321</v>
      </c>
      <c r="B1272" s="155">
        <v>1</v>
      </c>
      <c r="C1272" s="154">
        <v>13</v>
      </c>
      <c r="D1272" s="154" t="s">
        <v>7</v>
      </c>
      <c r="E1272" s="156" t="s">
        <v>1328</v>
      </c>
      <c r="F1272" s="156" t="s">
        <v>743</v>
      </c>
      <c r="G1272" s="165" t="s">
        <v>1331</v>
      </c>
      <c r="H1272" s="165" t="s">
        <v>1331</v>
      </c>
      <c r="I1272" s="166">
        <v>2</v>
      </c>
      <c r="J1272" s="154" t="s">
        <v>107</v>
      </c>
      <c r="K1272" s="154" t="s">
        <v>35</v>
      </c>
      <c r="L1272" s="156" t="str">
        <f t="shared" si="436"/>
        <v>HUN</v>
      </c>
      <c r="M1272" s="163">
        <v>45</v>
      </c>
      <c r="N1272" s="154"/>
      <c r="O1272" s="154" t="s">
        <v>1322</v>
      </c>
      <c r="P1272" s="159">
        <v>46152</v>
      </c>
      <c r="Q1272" s="154" t="str">
        <f t="shared" si="445"/>
        <v>Litvák Lili - KHSE</v>
      </c>
      <c r="R1272" s="154" t="s">
        <v>636</v>
      </c>
      <c r="S1272" s="154" t="str">
        <f t="shared" si="446"/>
        <v>KHSE</v>
      </c>
      <c r="T1272" s="154" t="s">
        <v>644</v>
      </c>
      <c r="U1272" s="154" t="s">
        <v>644</v>
      </c>
      <c r="V1272" s="154"/>
    </row>
    <row r="1273" spans="1:22" s="158" customFormat="1" x14ac:dyDescent="0.3">
      <c r="A1273" s="153" t="s">
        <v>1321</v>
      </c>
      <c r="B1273" s="155">
        <v>1</v>
      </c>
      <c r="C1273" s="154">
        <v>14</v>
      </c>
      <c r="D1273" s="154" t="s">
        <v>7</v>
      </c>
      <c r="E1273" s="156" t="s">
        <v>492</v>
      </c>
      <c r="F1273" s="156" t="s">
        <v>492</v>
      </c>
      <c r="G1273" s="165" t="s">
        <v>1331</v>
      </c>
      <c r="H1273" s="165" t="s">
        <v>1331</v>
      </c>
      <c r="I1273" s="166">
        <v>3</v>
      </c>
      <c r="J1273" s="154" t="s">
        <v>112</v>
      </c>
      <c r="K1273" s="154" t="s">
        <v>87</v>
      </c>
      <c r="L1273" s="156" t="str">
        <f t="shared" si="436"/>
        <v>HUN</v>
      </c>
      <c r="M1273" s="163">
        <v>30</v>
      </c>
      <c r="N1273" s="154"/>
      <c r="O1273" s="154" t="s">
        <v>1322</v>
      </c>
      <c r="P1273" s="159">
        <v>46152</v>
      </c>
      <c r="Q1273" s="154" t="str">
        <f t="shared" si="445"/>
        <v>Mező Lili - Victory</v>
      </c>
      <c r="R1273" s="154" t="s">
        <v>636</v>
      </c>
      <c r="S1273" s="154" t="str">
        <f t="shared" si="446"/>
        <v>Victory</v>
      </c>
      <c r="T1273" s="154" t="s">
        <v>644</v>
      </c>
      <c r="U1273" s="154" t="s">
        <v>644</v>
      </c>
      <c r="V1273" s="154"/>
    </row>
    <row r="1274" spans="1:22" s="158" customFormat="1" x14ac:dyDescent="0.3">
      <c r="A1274" s="153" t="s">
        <v>1321</v>
      </c>
      <c r="B1274" s="155">
        <v>1</v>
      </c>
      <c r="C1274" s="154">
        <v>15</v>
      </c>
      <c r="D1274" s="154" t="s">
        <v>7</v>
      </c>
      <c r="E1274" s="156" t="s">
        <v>492</v>
      </c>
      <c r="F1274" s="156" t="s">
        <v>492</v>
      </c>
      <c r="G1274" s="165" t="s">
        <v>1331</v>
      </c>
      <c r="H1274" s="165" t="s">
        <v>1331</v>
      </c>
      <c r="I1274" s="166" t="s">
        <v>302</v>
      </c>
      <c r="J1274" s="154" t="s">
        <v>1325</v>
      </c>
      <c r="K1274" s="154" t="s">
        <v>14</v>
      </c>
      <c r="L1274" s="156" t="str">
        <f t="shared" si="436"/>
        <v>HUN</v>
      </c>
      <c r="M1274" s="163">
        <v>15</v>
      </c>
      <c r="N1274" s="154"/>
      <c r="O1274" s="154" t="s">
        <v>1322</v>
      </c>
      <c r="P1274" s="159">
        <v>46152</v>
      </c>
      <c r="Q1274" s="154" t="str">
        <f t="shared" si="445"/>
        <v>Mészáros Mercédesz - Shogun</v>
      </c>
      <c r="R1274" s="154" t="s">
        <v>636</v>
      </c>
      <c r="S1274" s="154" t="str">
        <f t="shared" si="446"/>
        <v>Shogun</v>
      </c>
      <c r="T1274" s="154" t="s">
        <v>644</v>
      </c>
      <c r="U1274" s="154" t="s">
        <v>644</v>
      </c>
      <c r="V1274" s="154"/>
    </row>
    <row r="1275" spans="1:22" s="158" customFormat="1" x14ac:dyDescent="0.3">
      <c r="A1275" s="153" t="s">
        <v>1321</v>
      </c>
      <c r="B1275" s="155">
        <v>1</v>
      </c>
      <c r="C1275" s="154">
        <v>16</v>
      </c>
      <c r="D1275" s="154" t="s">
        <v>7</v>
      </c>
      <c r="E1275" s="156" t="s">
        <v>493</v>
      </c>
      <c r="F1275" s="156" t="s">
        <v>493</v>
      </c>
      <c r="G1275" s="165" t="s">
        <v>1331</v>
      </c>
      <c r="H1275" s="165" t="s">
        <v>1331</v>
      </c>
      <c r="I1275" s="155">
        <v>3</v>
      </c>
      <c r="J1275" s="154" t="s">
        <v>121</v>
      </c>
      <c r="K1275" s="154" t="s">
        <v>87</v>
      </c>
      <c r="L1275" s="156" t="str">
        <f t="shared" si="436"/>
        <v>HUN</v>
      </c>
      <c r="M1275" s="163">
        <v>30</v>
      </c>
      <c r="N1275" s="154"/>
      <c r="O1275" s="154" t="s">
        <v>1322</v>
      </c>
      <c r="P1275" s="159">
        <v>46152</v>
      </c>
      <c r="Q1275" s="154" t="str">
        <f t="shared" si="445"/>
        <v>Tóth Csenge - Victory</v>
      </c>
      <c r="R1275" s="154" t="s">
        <v>636</v>
      </c>
      <c r="S1275" s="154" t="str">
        <f t="shared" si="446"/>
        <v>Victory</v>
      </c>
      <c r="T1275" s="154" t="s">
        <v>644</v>
      </c>
      <c r="U1275" s="154" t="s">
        <v>644</v>
      </c>
      <c r="V1275" s="154"/>
    </row>
    <row r="1276" spans="1:22" s="158" customFormat="1" x14ac:dyDescent="0.3">
      <c r="A1276" s="153" t="s">
        <v>1321</v>
      </c>
      <c r="B1276" s="155">
        <v>1</v>
      </c>
      <c r="C1276" s="154">
        <v>17</v>
      </c>
      <c r="D1276" s="154" t="s">
        <v>7</v>
      </c>
      <c r="E1276" s="156" t="s">
        <v>493</v>
      </c>
      <c r="F1276" s="156" t="s">
        <v>493</v>
      </c>
      <c r="G1276" s="165" t="s">
        <v>1331</v>
      </c>
      <c r="H1276" s="165" t="s">
        <v>1331</v>
      </c>
      <c r="I1276" s="166" t="s">
        <v>302</v>
      </c>
      <c r="J1276" s="154" t="s">
        <v>122</v>
      </c>
      <c r="K1276" s="154" t="s">
        <v>47</v>
      </c>
      <c r="L1276" s="156" t="str">
        <f t="shared" si="436"/>
        <v>HUN</v>
      </c>
      <c r="M1276" s="163">
        <v>15</v>
      </c>
      <c r="N1276" s="154"/>
      <c r="O1276" s="154" t="s">
        <v>1322</v>
      </c>
      <c r="P1276" s="159">
        <v>46152</v>
      </c>
      <c r="Q1276" s="154" t="str">
        <f t="shared" si="445"/>
        <v>Gergely Henrietta - BHMSE</v>
      </c>
      <c r="R1276" s="154" t="s">
        <v>636</v>
      </c>
      <c r="S1276" s="154" t="str">
        <f t="shared" si="446"/>
        <v>BHMSE</v>
      </c>
      <c r="T1276" s="154" t="s">
        <v>644</v>
      </c>
      <c r="U1276" s="154" t="s">
        <v>644</v>
      </c>
      <c r="V1276" s="154"/>
    </row>
    <row r="1277" spans="1:22" s="158" customFormat="1" x14ac:dyDescent="0.3">
      <c r="A1277" s="153" t="s">
        <v>1321</v>
      </c>
      <c r="B1277" s="155">
        <v>1</v>
      </c>
      <c r="C1277" s="154">
        <v>18</v>
      </c>
      <c r="D1277" s="154" t="s">
        <v>7</v>
      </c>
      <c r="E1277" s="156" t="s">
        <v>487</v>
      </c>
      <c r="F1277" s="156" t="s">
        <v>487</v>
      </c>
      <c r="G1277" s="165" t="s">
        <v>1331</v>
      </c>
      <c r="H1277" s="165" t="s">
        <v>1331</v>
      </c>
      <c r="I1277" s="155">
        <v>3</v>
      </c>
      <c r="J1277" s="154" t="s">
        <v>86</v>
      </c>
      <c r="K1277" s="154" t="s">
        <v>87</v>
      </c>
      <c r="L1277" s="156" t="str">
        <f t="shared" si="436"/>
        <v>HUN</v>
      </c>
      <c r="M1277" s="163">
        <v>30</v>
      </c>
      <c r="N1277" s="154"/>
      <c r="O1277" s="154" t="s">
        <v>1322</v>
      </c>
      <c r="P1277" s="159">
        <v>46152</v>
      </c>
      <c r="Q1277" s="154" t="str">
        <f t="shared" si="445"/>
        <v>Fekete Gergely - Victory</v>
      </c>
      <c r="R1277" s="154" t="s">
        <v>636</v>
      </c>
      <c r="S1277" s="154" t="str">
        <f t="shared" si="446"/>
        <v>Victory</v>
      </c>
      <c r="T1277" s="154" t="s">
        <v>644</v>
      </c>
      <c r="U1277" s="154" t="s">
        <v>644</v>
      </c>
      <c r="V1277" s="154"/>
    </row>
    <row r="1278" spans="1:22" s="158" customFormat="1" x14ac:dyDescent="0.3">
      <c r="A1278" s="153" t="s">
        <v>1321</v>
      </c>
      <c r="B1278" s="155">
        <v>1</v>
      </c>
      <c r="C1278" s="154">
        <v>19</v>
      </c>
      <c r="D1278" s="154" t="s">
        <v>7</v>
      </c>
      <c r="E1278" s="156" t="s">
        <v>486</v>
      </c>
      <c r="F1278" s="156" t="s">
        <v>486</v>
      </c>
      <c r="G1278" s="165" t="s">
        <v>1331</v>
      </c>
      <c r="H1278" s="165" t="s">
        <v>1331</v>
      </c>
      <c r="I1278" s="155">
        <v>1</v>
      </c>
      <c r="J1278" s="154" t="s">
        <v>95</v>
      </c>
      <c r="K1278" s="154" t="s">
        <v>87</v>
      </c>
      <c r="L1278" s="156" t="str">
        <f t="shared" si="436"/>
        <v>HUN</v>
      </c>
      <c r="M1278" s="163">
        <v>60</v>
      </c>
      <c r="N1278" s="154"/>
      <c r="O1278" s="154" t="s">
        <v>1322</v>
      </c>
      <c r="P1278" s="159">
        <v>46152</v>
      </c>
      <c r="Q1278" s="154" t="str">
        <f t="shared" si="445"/>
        <v>Lajtos Patrik - Victory</v>
      </c>
      <c r="R1278" s="154" t="s">
        <v>636</v>
      </c>
      <c r="S1278" s="154" t="str">
        <f t="shared" si="446"/>
        <v>Victory</v>
      </c>
      <c r="T1278" s="154" t="s">
        <v>644</v>
      </c>
      <c r="U1278" s="154" t="s">
        <v>644</v>
      </c>
      <c r="V1278" s="154"/>
    </row>
    <row r="1279" spans="1:22" s="158" customFormat="1" x14ac:dyDescent="0.3">
      <c r="A1279" s="153" t="s">
        <v>1321</v>
      </c>
      <c r="B1279" s="155">
        <v>1</v>
      </c>
      <c r="C1279" s="154">
        <v>20</v>
      </c>
      <c r="D1279" s="154" t="s">
        <v>126</v>
      </c>
      <c r="E1279" s="156" t="s">
        <v>1327</v>
      </c>
      <c r="F1279" s="156" t="s">
        <v>1327</v>
      </c>
      <c r="G1279" s="165" t="s">
        <v>1331</v>
      </c>
      <c r="H1279" s="165" t="s">
        <v>1331</v>
      </c>
      <c r="I1279" s="166" t="s">
        <v>302</v>
      </c>
      <c r="J1279" s="154" t="s">
        <v>107</v>
      </c>
      <c r="K1279" s="154" t="s">
        <v>35</v>
      </c>
      <c r="L1279" s="156" t="str">
        <f t="shared" si="436"/>
        <v>HUN</v>
      </c>
      <c r="M1279" s="163">
        <v>3.3</v>
      </c>
      <c r="N1279" s="154"/>
      <c r="O1279" s="154" t="s">
        <v>1322</v>
      </c>
      <c r="P1279" s="159">
        <v>46151</v>
      </c>
      <c r="Q1279" s="154" t="str">
        <f t="shared" si="445"/>
        <v>Litvák Lili - KHSE</v>
      </c>
      <c r="R1279" s="154" t="s">
        <v>636</v>
      </c>
      <c r="S1279" s="154" t="str">
        <f t="shared" si="446"/>
        <v>KHSE</v>
      </c>
      <c r="T1279" s="154" t="s">
        <v>644</v>
      </c>
      <c r="U1279" s="154" t="s">
        <v>644</v>
      </c>
      <c r="V1279" s="154"/>
    </row>
    <row r="1280" spans="1:22" s="158" customFormat="1" x14ac:dyDescent="0.3">
      <c r="A1280" s="153" t="s">
        <v>1321</v>
      </c>
      <c r="B1280" s="155">
        <v>1</v>
      </c>
      <c r="C1280" s="154">
        <v>21</v>
      </c>
      <c r="D1280" s="154" t="s">
        <v>126</v>
      </c>
      <c r="E1280" s="156" t="s">
        <v>1327</v>
      </c>
      <c r="F1280" s="156" t="s">
        <v>1327</v>
      </c>
      <c r="G1280" s="165" t="s">
        <v>1331</v>
      </c>
      <c r="H1280" s="165" t="s">
        <v>1331</v>
      </c>
      <c r="I1280" s="166" t="s">
        <v>302</v>
      </c>
      <c r="J1280" s="154" t="s">
        <v>71</v>
      </c>
      <c r="K1280" s="154" t="s">
        <v>35</v>
      </c>
      <c r="L1280" s="156" t="str">
        <f t="shared" si="436"/>
        <v>HUN</v>
      </c>
      <c r="M1280" s="163">
        <v>3.3</v>
      </c>
      <c r="N1280" s="154"/>
      <c r="O1280" s="154" t="s">
        <v>1322</v>
      </c>
      <c r="P1280" s="159">
        <v>46151</v>
      </c>
      <c r="Q1280" s="154" t="str">
        <f t="shared" si="445"/>
        <v>Rácz Dorottya - KHSE</v>
      </c>
      <c r="R1280" s="154" t="s">
        <v>636</v>
      </c>
      <c r="S1280" s="154" t="str">
        <f t="shared" si="446"/>
        <v>KHSE</v>
      </c>
      <c r="T1280" s="154" t="s">
        <v>644</v>
      </c>
      <c r="U1280" s="154" t="s">
        <v>644</v>
      </c>
      <c r="V1280" s="154"/>
    </row>
    <row r="1281" spans="1:22" s="158" customFormat="1" x14ac:dyDescent="0.3">
      <c r="A1281" s="153" t="s">
        <v>1321</v>
      </c>
      <c r="B1281" s="155">
        <v>1</v>
      </c>
      <c r="C1281" s="154">
        <v>22</v>
      </c>
      <c r="D1281" s="154" t="s">
        <v>126</v>
      </c>
      <c r="E1281" s="156" t="s">
        <v>1327</v>
      </c>
      <c r="F1281" s="156" t="s">
        <v>1327</v>
      </c>
      <c r="G1281" s="165" t="s">
        <v>1331</v>
      </c>
      <c r="H1281" s="165" t="s">
        <v>1331</v>
      </c>
      <c r="I1281" s="166" t="s">
        <v>302</v>
      </c>
      <c r="J1281" s="154" t="s">
        <v>133</v>
      </c>
      <c r="K1281" s="154" t="s">
        <v>35</v>
      </c>
      <c r="L1281" s="156" t="str">
        <f t="shared" si="436"/>
        <v>HUN</v>
      </c>
      <c r="M1281" s="163">
        <v>3.3</v>
      </c>
      <c r="N1281" s="154"/>
      <c r="O1281" s="154" t="s">
        <v>1322</v>
      </c>
      <c r="P1281" s="159">
        <v>46151</v>
      </c>
      <c r="Q1281" s="154" t="str">
        <f t="shared" si="445"/>
        <v>Jernyei Nikolett - KHSE</v>
      </c>
      <c r="R1281" s="154" t="s">
        <v>636</v>
      </c>
      <c r="S1281" s="154" t="str">
        <f t="shared" ref="S1281" si="451">K1281</f>
        <v>KHSE</v>
      </c>
      <c r="T1281" s="154" t="s">
        <v>644</v>
      </c>
      <c r="U1281" s="154" t="s">
        <v>644</v>
      </c>
      <c r="V1281" s="154"/>
    </row>
    <row r="1282" spans="1:22" s="99" customFormat="1" ht="14.85" x14ac:dyDescent="0.3">
      <c r="A1282" s="91"/>
      <c r="B1282" s="92"/>
      <c r="C1282" s="83"/>
      <c r="D1282" s="83"/>
      <c r="E1282" s="83"/>
      <c r="F1282" s="83"/>
      <c r="G1282" s="92"/>
      <c r="H1282" s="83"/>
      <c r="I1282" s="92"/>
      <c r="J1282" s="83"/>
      <c r="K1282" s="83"/>
      <c r="L1282" s="83"/>
      <c r="M1282" s="164"/>
      <c r="N1282" s="83"/>
      <c r="O1282" s="83"/>
      <c r="P1282" s="93"/>
      <c r="Q1282" s="83"/>
      <c r="R1282" s="83"/>
      <c r="S1282" s="83"/>
      <c r="T1282" s="83"/>
      <c r="U1282" s="83"/>
      <c r="V1282" s="83"/>
    </row>
    <row r="1283" spans="1:22" s="99" customFormat="1" ht="14.85" x14ac:dyDescent="0.3">
      <c r="A1283" s="91"/>
      <c r="B1283" s="92"/>
      <c r="C1283" s="83"/>
      <c r="D1283" s="83"/>
      <c r="E1283" s="83"/>
      <c r="F1283" s="83"/>
      <c r="G1283" s="92"/>
      <c r="H1283" s="83"/>
      <c r="I1283" s="92"/>
      <c r="J1283" s="83"/>
      <c r="K1283" s="83"/>
      <c r="L1283" s="83"/>
      <c r="M1283" s="164"/>
      <c r="N1283" s="83"/>
      <c r="O1283" s="83"/>
      <c r="P1283" s="93"/>
      <c r="Q1283" s="83"/>
      <c r="R1283" s="83"/>
      <c r="S1283" s="83"/>
      <c r="T1283" s="83"/>
      <c r="U1283" s="83"/>
      <c r="V1283" s="83"/>
    </row>
    <row r="1284" spans="1:22" s="99" customFormat="1" ht="14.85" x14ac:dyDescent="0.3">
      <c r="A1284" s="91"/>
      <c r="B1284" s="92"/>
      <c r="C1284" s="83"/>
      <c r="D1284" s="83"/>
      <c r="E1284" s="83"/>
      <c r="F1284" s="83"/>
      <c r="G1284" s="92"/>
      <c r="H1284" s="83"/>
      <c r="I1284" s="92"/>
      <c r="J1284" s="83"/>
      <c r="K1284" s="83"/>
      <c r="L1284" s="83"/>
      <c r="M1284" s="164"/>
      <c r="N1284" s="83"/>
      <c r="O1284" s="83"/>
      <c r="P1284" s="93"/>
      <c r="Q1284" s="83"/>
      <c r="R1284" s="83"/>
      <c r="S1284" s="83"/>
      <c r="T1284" s="83"/>
      <c r="U1284" s="83"/>
      <c r="V1284" s="83"/>
    </row>
    <row r="1285" spans="1:22" s="99" customFormat="1" ht="14.85" x14ac:dyDescent="0.3">
      <c r="A1285" s="91"/>
      <c r="B1285" s="92"/>
      <c r="C1285" s="83"/>
      <c r="D1285" s="83"/>
      <c r="E1285" s="83"/>
      <c r="F1285" s="83"/>
      <c r="G1285" s="92"/>
      <c r="H1285" s="83"/>
      <c r="I1285" s="92"/>
      <c r="J1285" s="83"/>
      <c r="K1285" s="83"/>
      <c r="L1285" s="83"/>
      <c r="M1285" s="164"/>
      <c r="N1285" s="83"/>
      <c r="O1285" s="83"/>
      <c r="P1285" s="93"/>
      <c r="Q1285" s="83"/>
      <c r="R1285" s="83"/>
      <c r="S1285" s="83"/>
      <c r="T1285" s="83"/>
      <c r="U1285" s="83"/>
      <c r="V1285" s="83"/>
    </row>
    <row r="1286" spans="1:22" s="99" customFormat="1" ht="14.85" x14ac:dyDescent="0.3">
      <c r="A1286" s="91"/>
      <c r="B1286" s="92"/>
      <c r="C1286" s="83"/>
      <c r="D1286" s="83"/>
      <c r="E1286" s="83"/>
      <c r="F1286" s="83"/>
      <c r="G1286" s="92"/>
      <c r="H1286" s="83"/>
      <c r="I1286" s="92"/>
      <c r="J1286" s="83"/>
      <c r="K1286" s="83"/>
      <c r="L1286" s="83"/>
      <c r="M1286" s="164"/>
      <c r="N1286" s="83"/>
      <c r="O1286" s="83"/>
      <c r="P1286" s="93"/>
      <c r="Q1286" s="83"/>
      <c r="R1286" s="83"/>
      <c r="S1286" s="83"/>
      <c r="T1286" s="83"/>
      <c r="U1286" s="83"/>
      <c r="V1286" s="83"/>
    </row>
    <row r="1287" spans="1:22" s="99" customFormat="1" ht="14.85" x14ac:dyDescent="0.3">
      <c r="A1287" s="91"/>
      <c r="B1287" s="92"/>
      <c r="C1287" s="83"/>
      <c r="D1287" s="83"/>
      <c r="E1287" s="83"/>
      <c r="F1287" s="83"/>
      <c r="G1287" s="92"/>
      <c r="H1287" s="83"/>
      <c r="I1287" s="92"/>
      <c r="J1287" s="83"/>
      <c r="K1287" s="83"/>
      <c r="L1287" s="83"/>
      <c r="M1287" s="164"/>
      <c r="N1287" s="83"/>
      <c r="O1287" s="83"/>
      <c r="P1287" s="93"/>
      <c r="Q1287" s="83"/>
      <c r="R1287" s="83"/>
      <c r="S1287" s="83"/>
      <c r="T1287" s="83"/>
      <c r="U1287" s="83"/>
      <c r="V1287" s="83"/>
    </row>
    <row r="1288" spans="1:22" s="99" customFormat="1" x14ac:dyDescent="0.3">
      <c r="A1288" s="91"/>
      <c r="B1288" s="92"/>
      <c r="C1288" s="83"/>
      <c r="D1288" s="83"/>
      <c r="E1288" s="83"/>
      <c r="F1288" s="83"/>
      <c r="G1288" s="92"/>
      <c r="H1288" s="83"/>
      <c r="I1288" s="92"/>
      <c r="J1288" s="83"/>
      <c r="K1288" s="83"/>
      <c r="L1288" s="83"/>
      <c r="M1288" s="164"/>
      <c r="N1288" s="83"/>
      <c r="O1288" s="83"/>
      <c r="P1288" s="93"/>
      <c r="Q1288" s="83"/>
      <c r="R1288" s="83"/>
      <c r="S1288" s="83"/>
      <c r="T1288" s="83"/>
      <c r="U1288" s="83"/>
      <c r="V1288" s="83"/>
    </row>
    <row r="1289" spans="1:22" s="99" customFormat="1" x14ac:dyDescent="0.3">
      <c r="A1289" s="91"/>
      <c r="B1289" s="92"/>
      <c r="C1289" s="83"/>
      <c r="D1289" s="83"/>
      <c r="E1289" s="83"/>
      <c r="F1289" s="83"/>
      <c r="G1289" s="92"/>
      <c r="H1289" s="83"/>
      <c r="I1289" s="92"/>
      <c r="J1289" s="83"/>
      <c r="K1289" s="83"/>
      <c r="L1289" s="83"/>
      <c r="M1289" s="164"/>
      <c r="N1289" s="83"/>
      <c r="O1289" s="83"/>
      <c r="P1289" s="93"/>
      <c r="Q1289" s="83"/>
      <c r="R1289" s="83"/>
      <c r="S1289" s="83"/>
      <c r="T1289" s="83"/>
      <c r="U1289" s="83"/>
      <c r="V1289" s="83"/>
    </row>
    <row r="1290" spans="1:22" s="99" customFormat="1" x14ac:dyDescent="0.3">
      <c r="A1290" s="91"/>
      <c r="B1290" s="92"/>
      <c r="C1290" s="83"/>
      <c r="D1290" s="83"/>
      <c r="E1290" s="83"/>
      <c r="F1290" s="83"/>
      <c r="G1290" s="92"/>
      <c r="H1290" s="83"/>
      <c r="I1290" s="92"/>
      <c r="J1290" s="83"/>
      <c r="K1290" s="83"/>
      <c r="L1290" s="83"/>
      <c r="M1290" s="164"/>
      <c r="N1290" s="83"/>
      <c r="O1290" s="83"/>
      <c r="P1290" s="93"/>
      <c r="Q1290" s="83"/>
      <c r="R1290" s="83"/>
      <c r="S1290" s="83"/>
      <c r="T1290" s="83"/>
      <c r="U1290" s="83"/>
      <c r="V1290" s="83"/>
    </row>
    <row r="1291" spans="1:22" s="99" customFormat="1" x14ac:dyDescent="0.3">
      <c r="A1291" s="91"/>
      <c r="B1291" s="92"/>
      <c r="C1291" s="83"/>
      <c r="D1291" s="83"/>
      <c r="E1291" s="83"/>
      <c r="F1291" s="83"/>
      <c r="G1291" s="92"/>
      <c r="H1291" s="83"/>
      <c r="I1291" s="92"/>
      <c r="J1291" s="83"/>
      <c r="K1291" s="83"/>
      <c r="L1291" s="83"/>
      <c r="M1291" s="164"/>
      <c r="N1291" s="83"/>
      <c r="O1291" s="83"/>
      <c r="P1291" s="93"/>
      <c r="Q1291" s="83"/>
      <c r="R1291" s="83"/>
      <c r="S1291" s="83"/>
      <c r="T1291" s="83"/>
      <c r="U1291" s="83"/>
      <c r="V1291" s="83"/>
    </row>
    <row r="1292" spans="1:22" s="99" customFormat="1" x14ac:dyDescent="0.3">
      <c r="A1292" s="91"/>
      <c r="B1292" s="92"/>
      <c r="C1292" s="83"/>
      <c r="D1292" s="83"/>
      <c r="E1292" s="83"/>
      <c r="F1292" s="83"/>
      <c r="G1292" s="92"/>
      <c r="H1292" s="83"/>
      <c r="I1292" s="92"/>
      <c r="J1292" s="83"/>
      <c r="K1292" s="83"/>
      <c r="L1292" s="83"/>
      <c r="M1292" s="164"/>
      <c r="N1292" s="83"/>
      <c r="O1292" s="83"/>
      <c r="P1292" s="93"/>
      <c r="Q1292" s="83"/>
      <c r="R1292" s="83"/>
      <c r="S1292" s="83"/>
      <c r="T1292" s="83"/>
      <c r="U1292" s="83"/>
      <c r="V1292" s="83"/>
    </row>
    <row r="1293" spans="1:22" s="99" customFormat="1" x14ac:dyDescent="0.3">
      <c r="A1293" s="91"/>
      <c r="B1293" s="92"/>
      <c r="C1293" s="83"/>
      <c r="D1293" s="83"/>
      <c r="E1293" s="83"/>
      <c r="F1293" s="83"/>
      <c r="G1293" s="92"/>
      <c r="H1293" s="83"/>
      <c r="I1293" s="92"/>
      <c r="J1293" s="83"/>
      <c r="K1293" s="83"/>
      <c r="L1293" s="83"/>
      <c r="M1293" s="164"/>
      <c r="N1293" s="83"/>
      <c r="O1293" s="83"/>
      <c r="P1293" s="93"/>
      <c r="Q1293" s="83"/>
      <c r="R1293" s="83"/>
      <c r="S1293" s="83"/>
      <c r="T1293" s="83"/>
      <c r="U1293" s="83"/>
      <c r="V1293" s="83"/>
    </row>
    <row r="1294" spans="1:22" s="99" customFormat="1" x14ac:dyDescent="0.3">
      <c r="A1294" s="91"/>
      <c r="B1294" s="92"/>
      <c r="C1294" s="83"/>
      <c r="D1294" s="83"/>
      <c r="E1294" s="83"/>
      <c r="F1294" s="83"/>
      <c r="G1294" s="92"/>
      <c r="H1294" s="83"/>
      <c r="I1294" s="92"/>
      <c r="J1294" s="83"/>
      <c r="K1294" s="83"/>
      <c r="L1294" s="83"/>
      <c r="M1294" s="164"/>
      <c r="N1294" s="83"/>
      <c r="O1294" s="83"/>
      <c r="P1294" s="93"/>
      <c r="Q1294" s="83"/>
      <c r="R1294" s="83"/>
      <c r="S1294" s="83"/>
      <c r="T1294" s="83"/>
      <c r="U1294" s="83"/>
      <c r="V1294" s="83"/>
    </row>
    <row r="1295" spans="1:22" s="99" customFormat="1" x14ac:dyDescent="0.3">
      <c r="A1295" s="91"/>
      <c r="B1295" s="92"/>
      <c r="C1295" s="83"/>
      <c r="D1295" s="83"/>
      <c r="E1295" s="83"/>
      <c r="F1295" s="83"/>
      <c r="G1295" s="92"/>
      <c r="H1295" s="83"/>
      <c r="I1295" s="92"/>
      <c r="J1295" s="83"/>
      <c r="K1295" s="83"/>
      <c r="L1295" s="83"/>
      <c r="M1295" s="164"/>
      <c r="N1295" s="83"/>
      <c r="O1295" s="83"/>
      <c r="P1295" s="93"/>
      <c r="Q1295" s="83"/>
      <c r="R1295" s="83"/>
      <c r="S1295" s="83"/>
      <c r="T1295" s="83"/>
      <c r="U1295" s="83"/>
      <c r="V1295" s="83"/>
    </row>
    <row r="1296" spans="1:22" s="99" customFormat="1" x14ac:dyDescent="0.3">
      <c r="A1296" s="91"/>
      <c r="B1296" s="92"/>
      <c r="C1296" s="83"/>
      <c r="D1296" s="83"/>
      <c r="E1296" s="83"/>
      <c r="F1296" s="83"/>
      <c r="G1296" s="92"/>
      <c r="H1296" s="83"/>
      <c r="I1296" s="92"/>
      <c r="J1296" s="83"/>
      <c r="K1296" s="83"/>
      <c r="L1296" s="83"/>
      <c r="M1296" s="164"/>
      <c r="N1296" s="83"/>
      <c r="O1296" s="83"/>
      <c r="P1296" s="93"/>
      <c r="Q1296" s="83"/>
      <c r="R1296" s="83"/>
      <c r="S1296" s="83"/>
      <c r="T1296" s="83"/>
      <c r="U1296" s="83"/>
      <c r="V1296" s="83"/>
    </row>
    <row r="1297" spans="1:22" s="99" customFormat="1" x14ac:dyDescent="0.3">
      <c r="A1297" s="91"/>
      <c r="B1297" s="92"/>
      <c r="C1297" s="83"/>
      <c r="D1297" s="83"/>
      <c r="E1297" s="83"/>
      <c r="F1297" s="83"/>
      <c r="G1297" s="92"/>
      <c r="H1297" s="83"/>
      <c r="I1297" s="92"/>
      <c r="J1297" s="83"/>
      <c r="K1297" s="83"/>
      <c r="L1297" s="83"/>
      <c r="M1297" s="164"/>
      <c r="N1297" s="83"/>
      <c r="O1297" s="83"/>
      <c r="P1297" s="93"/>
      <c r="Q1297" s="83"/>
      <c r="R1297" s="83"/>
      <c r="S1297" s="83"/>
      <c r="T1297" s="83"/>
      <c r="U1297" s="83"/>
      <c r="V1297" s="83"/>
    </row>
    <row r="1298" spans="1:22" s="99" customFormat="1" x14ac:dyDescent="0.3">
      <c r="A1298" s="91"/>
      <c r="B1298" s="92"/>
      <c r="C1298" s="83"/>
      <c r="D1298" s="83"/>
      <c r="E1298" s="83"/>
      <c r="F1298" s="83"/>
      <c r="G1298" s="92"/>
      <c r="H1298" s="83"/>
      <c r="I1298" s="92"/>
      <c r="J1298" s="83"/>
      <c r="K1298" s="83"/>
      <c r="L1298" s="83"/>
      <c r="M1298" s="164"/>
      <c r="N1298" s="83"/>
      <c r="O1298" s="83"/>
      <c r="P1298" s="93"/>
      <c r="Q1298" s="83"/>
      <c r="R1298" s="83"/>
      <c r="S1298" s="83"/>
      <c r="T1298" s="83"/>
      <c r="U1298" s="83"/>
      <c r="V1298" s="83"/>
    </row>
    <row r="1299" spans="1:22" s="99" customFormat="1" x14ac:dyDescent="0.3">
      <c r="A1299" s="91"/>
      <c r="B1299" s="92"/>
      <c r="C1299" s="83"/>
      <c r="D1299" s="83"/>
      <c r="E1299" s="83"/>
      <c r="F1299" s="83"/>
      <c r="G1299" s="92"/>
      <c r="H1299" s="83"/>
      <c r="I1299" s="92"/>
      <c r="J1299" s="83"/>
      <c r="K1299" s="83"/>
      <c r="L1299" s="83"/>
      <c r="M1299" s="164"/>
      <c r="N1299" s="83"/>
      <c r="O1299" s="83"/>
      <c r="P1299" s="93"/>
      <c r="Q1299" s="83"/>
      <c r="R1299" s="83"/>
      <c r="S1299" s="83"/>
      <c r="T1299" s="83"/>
      <c r="U1299" s="83"/>
      <c r="V1299" s="83"/>
    </row>
    <row r="1300" spans="1:22" s="99" customFormat="1" x14ac:dyDescent="0.3">
      <c r="A1300" s="91"/>
      <c r="B1300" s="92"/>
      <c r="C1300" s="83"/>
      <c r="G1300" s="147"/>
      <c r="I1300" s="147"/>
      <c r="M1300" s="164"/>
      <c r="O1300" s="83"/>
      <c r="P1300" s="93"/>
      <c r="Q1300" s="83"/>
      <c r="R1300" s="83"/>
      <c r="S1300" s="83"/>
      <c r="T1300" s="83"/>
      <c r="U1300" s="83"/>
      <c r="V1300" s="83"/>
    </row>
    <row r="1301" spans="1:22" s="99" customFormat="1" x14ac:dyDescent="0.3">
      <c r="A1301" s="91"/>
      <c r="B1301" s="92"/>
      <c r="C1301" s="83"/>
      <c r="G1301" s="147"/>
      <c r="I1301" s="147"/>
      <c r="M1301" s="164"/>
      <c r="O1301" s="83"/>
      <c r="P1301" s="93"/>
      <c r="Q1301" s="83"/>
      <c r="R1301" s="83"/>
      <c r="S1301" s="83"/>
      <c r="T1301" s="83"/>
      <c r="U1301" s="83"/>
      <c r="V1301" s="83"/>
    </row>
    <row r="1302" spans="1:22" s="99" customFormat="1" x14ac:dyDescent="0.3">
      <c r="A1302" s="91"/>
      <c r="B1302" s="92"/>
      <c r="C1302" s="83"/>
      <c r="G1302" s="147"/>
      <c r="I1302" s="147"/>
      <c r="M1302" s="164"/>
      <c r="O1302" s="83"/>
      <c r="P1302" s="93"/>
      <c r="Q1302" s="83"/>
      <c r="R1302" s="83"/>
      <c r="S1302" s="83"/>
      <c r="T1302" s="83"/>
      <c r="U1302" s="83"/>
      <c r="V1302" s="83"/>
    </row>
    <row r="1303" spans="1:22" s="99" customFormat="1" x14ac:dyDescent="0.3">
      <c r="A1303" s="91"/>
      <c r="B1303" s="92"/>
      <c r="C1303" s="83"/>
      <c r="G1303" s="147"/>
      <c r="I1303" s="147"/>
      <c r="M1303" s="164"/>
      <c r="O1303" s="83"/>
      <c r="P1303" s="93"/>
      <c r="Q1303" s="83"/>
      <c r="R1303" s="83"/>
      <c r="S1303" s="83"/>
      <c r="T1303" s="83"/>
      <c r="U1303" s="83"/>
      <c r="V1303" s="83"/>
    </row>
    <row r="1304" spans="1:22" s="99" customFormat="1" x14ac:dyDescent="0.3">
      <c r="A1304" s="91"/>
      <c r="B1304" s="92"/>
      <c r="C1304" s="83"/>
      <c r="G1304" s="147"/>
      <c r="I1304" s="147"/>
      <c r="M1304" s="164"/>
      <c r="O1304" s="83"/>
      <c r="P1304" s="93"/>
      <c r="Q1304" s="83"/>
      <c r="R1304" s="83"/>
      <c r="S1304" s="83"/>
      <c r="T1304" s="83"/>
      <c r="U1304" s="83"/>
      <c r="V1304" s="83"/>
    </row>
    <row r="1305" spans="1:22" s="99" customFormat="1" x14ac:dyDescent="0.3">
      <c r="A1305" s="91"/>
      <c r="B1305" s="92"/>
      <c r="C1305" s="83"/>
      <c r="G1305" s="147"/>
      <c r="I1305" s="147"/>
      <c r="M1305" s="164"/>
      <c r="O1305" s="83"/>
      <c r="P1305" s="93"/>
      <c r="Q1305" s="83"/>
      <c r="R1305" s="83"/>
      <c r="S1305" s="83"/>
      <c r="T1305" s="83"/>
      <c r="U1305" s="83"/>
      <c r="V1305" s="83"/>
    </row>
    <row r="1306" spans="1:22" s="99" customFormat="1" x14ac:dyDescent="0.3">
      <c r="A1306" s="91"/>
      <c r="B1306" s="92"/>
      <c r="C1306" s="83"/>
      <c r="G1306" s="147"/>
      <c r="I1306" s="147"/>
      <c r="M1306" s="164"/>
      <c r="O1306" s="83"/>
      <c r="P1306" s="93"/>
      <c r="Q1306" s="83"/>
      <c r="R1306" s="83"/>
      <c r="S1306" s="83"/>
      <c r="T1306" s="83"/>
      <c r="U1306" s="83"/>
      <c r="V1306" s="83"/>
    </row>
    <row r="1307" spans="1:22" s="99" customFormat="1" x14ac:dyDescent="0.3">
      <c r="A1307" s="91"/>
      <c r="B1307" s="92"/>
      <c r="C1307" s="83"/>
      <c r="G1307" s="147"/>
      <c r="I1307" s="147"/>
      <c r="M1307" s="164"/>
      <c r="O1307" s="83"/>
      <c r="P1307" s="93"/>
      <c r="Q1307" s="83"/>
      <c r="R1307" s="83"/>
      <c r="S1307" s="83"/>
      <c r="T1307" s="83"/>
      <c r="U1307" s="83"/>
      <c r="V1307" s="83"/>
    </row>
    <row r="1308" spans="1:22" s="99" customFormat="1" x14ac:dyDescent="0.3">
      <c r="A1308" s="91"/>
      <c r="B1308" s="92"/>
      <c r="C1308" s="83"/>
      <c r="G1308" s="147"/>
      <c r="I1308" s="147"/>
      <c r="M1308" s="164"/>
      <c r="O1308" s="83"/>
      <c r="P1308" s="93"/>
      <c r="Q1308" s="83"/>
      <c r="R1308" s="83"/>
      <c r="S1308" s="83"/>
      <c r="T1308" s="83"/>
      <c r="U1308" s="83"/>
      <c r="V1308" s="83"/>
    </row>
    <row r="1309" spans="1:22" s="99" customFormat="1" x14ac:dyDescent="0.3">
      <c r="A1309" s="91"/>
      <c r="B1309" s="92"/>
      <c r="C1309" s="83"/>
      <c r="G1309" s="147"/>
      <c r="I1309" s="147"/>
      <c r="M1309" s="164"/>
      <c r="O1309" s="83"/>
      <c r="P1309" s="93"/>
      <c r="Q1309" s="83"/>
      <c r="R1309" s="83"/>
      <c r="S1309" s="83"/>
      <c r="T1309" s="83"/>
      <c r="U1309" s="83"/>
      <c r="V1309" s="83"/>
    </row>
    <row r="1310" spans="1:22" s="99" customFormat="1" x14ac:dyDescent="0.3">
      <c r="A1310" s="91"/>
      <c r="B1310" s="92"/>
      <c r="C1310" s="83"/>
      <c r="G1310" s="147"/>
      <c r="I1310" s="147"/>
      <c r="M1310" s="164"/>
      <c r="O1310" s="83"/>
      <c r="P1310" s="93"/>
      <c r="Q1310" s="83"/>
      <c r="R1310" s="83"/>
      <c r="S1310" s="83"/>
      <c r="T1310" s="83"/>
      <c r="U1310" s="83"/>
      <c r="V1310" s="83"/>
    </row>
    <row r="1311" spans="1:22" s="99" customFormat="1" x14ac:dyDescent="0.3">
      <c r="A1311" s="91"/>
      <c r="B1311" s="92"/>
      <c r="C1311" s="83"/>
      <c r="G1311" s="147"/>
      <c r="I1311" s="147"/>
      <c r="M1311" s="164"/>
      <c r="O1311" s="83"/>
      <c r="P1311" s="93"/>
      <c r="Q1311" s="83"/>
      <c r="R1311" s="83"/>
      <c r="S1311" s="83"/>
      <c r="T1311" s="83"/>
      <c r="U1311" s="83"/>
      <c r="V1311" s="83"/>
    </row>
    <row r="1312" spans="1:22" s="99" customFormat="1" x14ac:dyDescent="0.3">
      <c r="A1312" s="91"/>
      <c r="B1312" s="92"/>
      <c r="C1312" s="83"/>
      <c r="G1312" s="147"/>
      <c r="I1312" s="147"/>
      <c r="M1312" s="164"/>
      <c r="O1312" s="83"/>
      <c r="P1312" s="93"/>
      <c r="Q1312" s="83"/>
      <c r="R1312" s="83"/>
      <c r="S1312" s="83"/>
      <c r="T1312" s="83"/>
      <c r="U1312" s="83"/>
      <c r="V1312" s="83"/>
    </row>
    <row r="1313" spans="1:22" s="99" customFormat="1" x14ac:dyDescent="0.3">
      <c r="A1313" s="91"/>
      <c r="B1313" s="92"/>
      <c r="C1313" s="83"/>
      <c r="G1313" s="147"/>
      <c r="I1313" s="147"/>
      <c r="M1313" s="164"/>
      <c r="O1313" s="83"/>
      <c r="P1313" s="93"/>
      <c r="Q1313" s="83"/>
      <c r="R1313" s="83"/>
      <c r="S1313" s="83"/>
      <c r="T1313" s="83"/>
      <c r="U1313" s="83"/>
      <c r="V1313" s="83"/>
    </row>
    <row r="1314" spans="1:22" s="99" customFormat="1" x14ac:dyDescent="0.3">
      <c r="A1314" s="91"/>
      <c r="B1314" s="92"/>
      <c r="C1314" s="83"/>
      <c r="G1314" s="147"/>
      <c r="I1314" s="147"/>
      <c r="M1314" s="164"/>
      <c r="O1314" s="83"/>
      <c r="P1314" s="93"/>
      <c r="Q1314" s="83"/>
      <c r="R1314" s="83"/>
      <c r="S1314" s="83"/>
      <c r="T1314" s="83"/>
      <c r="U1314" s="83"/>
      <c r="V1314" s="83"/>
    </row>
    <row r="1315" spans="1:22" s="99" customFormat="1" x14ac:dyDescent="0.3">
      <c r="A1315" s="91"/>
      <c r="B1315" s="92"/>
      <c r="C1315" s="83"/>
      <c r="G1315" s="147"/>
      <c r="I1315" s="147"/>
      <c r="M1315" s="164"/>
      <c r="O1315" s="83"/>
      <c r="P1315" s="93"/>
      <c r="Q1315" s="83"/>
      <c r="R1315" s="83"/>
      <c r="S1315" s="83"/>
      <c r="T1315" s="83"/>
      <c r="U1315" s="83"/>
      <c r="V1315" s="83"/>
    </row>
    <row r="1316" spans="1:22" s="99" customFormat="1" x14ac:dyDescent="0.3">
      <c r="A1316" s="91"/>
      <c r="B1316" s="92"/>
      <c r="C1316" s="83"/>
      <c r="G1316" s="147"/>
      <c r="I1316" s="147"/>
      <c r="M1316" s="164"/>
      <c r="O1316" s="83"/>
      <c r="P1316" s="93"/>
      <c r="Q1316" s="83"/>
      <c r="R1316" s="83"/>
      <c r="S1316" s="83"/>
      <c r="T1316" s="83"/>
      <c r="U1316" s="83"/>
      <c r="V1316" s="83"/>
    </row>
    <row r="1317" spans="1:22" s="99" customFormat="1" x14ac:dyDescent="0.3">
      <c r="A1317" s="91"/>
      <c r="B1317" s="92"/>
      <c r="C1317" s="83"/>
      <c r="G1317" s="147"/>
      <c r="I1317" s="147"/>
      <c r="M1317" s="164"/>
      <c r="O1317" s="83"/>
      <c r="P1317" s="93"/>
      <c r="Q1317" s="83"/>
      <c r="R1317" s="83"/>
      <c r="S1317" s="83"/>
      <c r="T1317" s="83"/>
      <c r="U1317" s="83"/>
      <c r="V1317" s="83"/>
    </row>
    <row r="1318" spans="1:22" s="99" customFormat="1" x14ac:dyDescent="0.3">
      <c r="A1318" s="91"/>
      <c r="B1318" s="92"/>
      <c r="C1318" s="83"/>
      <c r="G1318" s="147"/>
      <c r="I1318" s="147"/>
      <c r="M1318" s="164"/>
      <c r="O1318" s="83"/>
      <c r="P1318" s="93"/>
      <c r="Q1318" s="83"/>
      <c r="R1318" s="83"/>
      <c r="S1318" s="83"/>
      <c r="T1318" s="83"/>
      <c r="U1318" s="83"/>
      <c r="V1318" s="83"/>
    </row>
    <row r="1319" spans="1:22" s="99" customFormat="1" x14ac:dyDescent="0.3">
      <c r="A1319" s="91"/>
      <c r="B1319" s="92"/>
      <c r="C1319" s="83"/>
      <c r="G1319" s="147"/>
      <c r="I1319" s="147"/>
      <c r="M1319" s="164"/>
      <c r="O1319" s="83"/>
      <c r="P1319" s="93"/>
      <c r="Q1319" s="83"/>
      <c r="R1319" s="83"/>
      <c r="S1319" s="83"/>
      <c r="T1319" s="83"/>
      <c r="U1319" s="83"/>
      <c r="V1319" s="83"/>
    </row>
    <row r="1320" spans="1:22" s="99" customFormat="1" x14ac:dyDescent="0.3">
      <c r="A1320" s="91"/>
      <c r="B1320" s="92"/>
      <c r="C1320" s="83"/>
      <c r="G1320" s="147"/>
      <c r="I1320" s="147"/>
      <c r="M1320" s="164"/>
      <c r="O1320" s="83"/>
      <c r="P1320" s="93"/>
      <c r="Q1320" s="83"/>
      <c r="R1320" s="83"/>
      <c r="S1320" s="83"/>
      <c r="T1320" s="83"/>
      <c r="U1320" s="83"/>
      <c r="V1320" s="83"/>
    </row>
    <row r="1321" spans="1:22" s="99" customFormat="1" x14ac:dyDescent="0.3">
      <c r="A1321" s="91"/>
      <c r="B1321" s="92"/>
      <c r="C1321" s="83"/>
      <c r="G1321" s="147"/>
      <c r="I1321" s="147"/>
      <c r="M1321" s="164"/>
      <c r="O1321" s="83"/>
      <c r="P1321" s="93"/>
      <c r="Q1321" s="83"/>
      <c r="R1321" s="83"/>
      <c r="S1321" s="83"/>
      <c r="T1321" s="83"/>
      <c r="U1321" s="83"/>
      <c r="V1321" s="83"/>
    </row>
    <row r="1322" spans="1:22" s="99" customFormat="1" x14ac:dyDescent="0.3">
      <c r="A1322" s="91"/>
      <c r="B1322" s="92"/>
      <c r="C1322" s="83"/>
      <c r="G1322" s="147"/>
      <c r="I1322" s="147"/>
      <c r="M1322" s="164"/>
      <c r="O1322" s="83"/>
      <c r="P1322" s="93"/>
      <c r="Q1322" s="83"/>
      <c r="R1322" s="83"/>
      <c r="S1322" s="83"/>
      <c r="T1322" s="83"/>
      <c r="U1322" s="83"/>
      <c r="V1322" s="83"/>
    </row>
    <row r="1323" spans="1:22" s="99" customFormat="1" x14ac:dyDescent="0.3">
      <c r="A1323" s="91"/>
      <c r="B1323" s="92"/>
      <c r="C1323" s="83"/>
      <c r="G1323" s="147"/>
      <c r="I1323" s="147"/>
      <c r="M1323" s="164"/>
      <c r="O1323" s="83"/>
      <c r="P1323" s="93"/>
      <c r="Q1323" s="83"/>
      <c r="R1323" s="83"/>
      <c r="S1323" s="83"/>
      <c r="T1323" s="83"/>
      <c r="U1323" s="83"/>
      <c r="V1323" s="83"/>
    </row>
    <row r="1324" spans="1:22" s="99" customFormat="1" x14ac:dyDescent="0.3">
      <c r="A1324" s="91"/>
      <c r="B1324" s="92"/>
      <c r="C1324" s="83"/>
      <c r="G1324" s="147"/>
      <c r="I1324" s="147"/>
      <c r="M1324" s="164"/>
      <c r="O1324" s="83"/>
      <c r="P1324" s="93"/>
      <c r="Q1324" s="83"/>
      <c r="R1324" s="83"/>
      <c r="S1324" s="83"/>
      <c r="T1324" s="83"/>
      <c r="U1324" s="83"/>
      <c r="V1324" s="83"/>
    </row>
    <row r="1325" spans="1:22" s="99" customFormat="1" x14ac:dyDescent="0.3">
      <c r="A1325" s="91"/>
      <c r="B1325" s="92"/>
      <c r="C1325" s="83"/>
      <c r="G1325" s="147"/>
      <c r="I1325" s="147"/>
      <c r="M1325" s="164"/>
      <c r="O1325" s="83"/>
      <c r="P1325" s="93"/>
      <c r="Q1325" s="83"/>
      <c r="R1325" s="83"/>
      <c r="S1325" s="83"/>
      <c r="T1325" s="83"/>
      <c r="U1325" s="83"/>
      <c r="V1325" s="83"/>
    </row>
    <row r="1326" spans="1:22" s="99" customFormat="1" x14ac:dyDescent="0.3">
      <c r="A1326" s="91"/>
      <c r="B1326" s="92"/>
      <c r="C1326" s="83"/>
      <c r="G1326" s="147"/>
      <c r="I1326" s="147"/>
      <c r="M1326" s="164"/>
      <c r="O1326" s="83"/>
      <c r="P1326" s="93"/>
      <c r="Q1326" s="83"/>
      <c r="R1326" s="83"/>
      <c r="S1326" s="83"/>
      <c r="T1326" s="83"/>
      <c r="U1326" s="83"/>
      <c r="V1326" s="83"/>
    </row>
    <row r="1327" spans="1:22" s="99" customFormat="1" x14ac:dyDescent="0.3">
      <c r="A1327" s="91"/>
      <c r="B1327" s="92"/>
      <c r="C1327" s="83"/>
      <c r="G1327" s="147"/>
      <c r="I1327" s="147"/>
      <c r="M1327" s="164"/>
      <c r="O1327" s="83"/>
      <c r="P1327" s="93"/>
      <c r="Q1327" s="83"/>
      <c r="R1327" s="83"/>
      <c r="S1327" s="83"/>
      <c r="T1327" s="83"/>
      <c r="U1327" s="83"/>
      <c r="V1327" s="83"/>
    </row>
    <row r="1328" spans="1:22" s="99" customFormat="1" x14ac:dyDescent="0.3">
      <c r="A1328" s="91"/>
      <c r="B1328" s="92"/>
      <c r="C1328" s="83"/>
      <c r="G1328" s="147"/>
      <c r="I1328" s="147"/>
      <c r="M1328" s="164"/>
      <c r="O1328" s="83"/>
      <c r="P1328" s="93"/>
      <c r="Q1328" s="83"/>
      <c r="R1328" s="83"/>
      <c r="S1328" s="83"/>
      <c r="T1328" s="83"/>
      <c r="U1328" s="83"/>
      <c r="V1328" s="83"/>
    </row>
    <row r="1329" spans="1:22" s="99" customFormat="1" x14ac:dyDescent="0.3">
      <c r="A1329" s="91"/>
      <c r="B1329" s="92"/>
      <c r="C1329" s="83"/>
      <c r="G1329" s="147"/>
      <c r="I1329" s="147"/>
      <c r="M1329" s="164"/>
      <c r="O1329" s="83"/>
      <c r="P1329" s="93"/>
      <c r="Q1329" s="83"/>
      <c r="R1329" s="83"/>
      <c r="S1329" s="83"/>
      <c r="T1329" s="83"/>
      <c r="U1329" s="83"/>
      <c r="V1329" s="83"/>
    </row>
    <row r="1330" spans="1:22" s="99" customFormat="1" x14ac:dyDescent="0.3">
      <c r="A1330" s="91"/>
      <c r="B1330" s="92"/>
      <c r="C1330" s="83"/>
      <c r="G1330" s="147"/>
      <c r="I1330" s="147"/>
      <c r="M1330" s="164"/>
      <c r="O1330" s="83"/>
      <c r="P1330" s="93"/>
      <c r="Q1330" s="83"/>
      <c r="R1330" s="83"/>
      <c r="S1330" s="83"/>
      <c r="T1330" s="83"/>
      <c r="U1330" s="83"/>
      <c r="V1330" s="83"/>
    </row>
    <row r="1331" spans="1:22" s="99" customFormat="1" x14ac:dyDescent="0.3">
      <c r="A1331" s="91"/>
      <c r="B1331" s="92"/>
      <c r="C1331" s="83"/>
      <c r="G1331" s="147"/>
      <c r="I1331" s="147"/>
      <c r="M1331" s="164"/>
      <c r="O1331" s="83"/>
      <c r="P1331" s="93"/>
      <c r="Q1331" s="83"/>
      <c r="R1331" s="83"/>
      <c r="S1331" s="83"/>
      <c r="T1331" s="83"/>
      <c r="U1331" s="83"/>
      <c r="V1331" s="83"/>
    </row>
    <row r="1332" spans="1:22" s="99" customFormat="1" x14ac:dyDescent="0.3">
      <c r="A1332" s="91"/>
      <c r="B1332" s="92"/>
      <c r="C1332" s="83"/>
      <c r="G1332" s="147"/>
      <c r="I1332" s="147"/>
      <c r="M1332" s="164"/>
      <c r="O1332" s="83"/>
      <c r="P1332" s="93"/>
      <c r="Q1332" s="83"/>
      <c r="R1332" s="83"/>
      <c r="S1332" s="83"/>
      <c r="T1332" s="83"/>
      <c r="U1332" s="83"/>
      <c r="V1332" s="83"/>
    </row>
    <row r="1333" spans="1:22" s="99" customFormat="1" x14ac:dyDescent="0.3">
      <c r="A1333" s="91"/>
      <c r="B1333" s="92"/>
      <c r="C1333" s="83"/>
      <c r="G1333" s="147"/>
      <c r="I1333" s="147"/>
      <c r="M1333" s="164"/>
      <c r="O1333" s="83"/>
      <c r="P1333" s="93"/>
      <c r="Q1333" s="83"/>
      <c r="R1333" s="83"/>
      <c r="S1333" s="83"/>
      <c r="T1333" s="83"/>
      <c r="U1333" s="83"/>
      <c r="V1333" s="83"/>
    </row>
    <row r="1334" spans="1:22" s="99" customFormat="1" x14ac:dyDescent="0.3">
      <c r="A1334" s="91"/>
      <c r="B1334" s="92"/>
      <c r="C1334" s="83"/>
      <c r="G1334" s="147"/>
      <c r="I1334" s="147"/>
      <c r="M1334" s="164"/>
      <c r="O1334" s="83"/>
      <c r="P1334" s="93"/>
      <c r="Q1334" s="83"/>
      <c r="R1334" s="83"/>
      <c r="S1334" s="83"/>
      <c r="T1334" s="83"/>
      <c r="U1334" s="83"/>
      <c r="V1334" s="83"/>
    </row>
    <row r="1335" spans="1:22" s="99" customFormat="1" x14ac:dyDescent="0.3">
      <c r="A1335" s="91"/>
      <c r="B1335" s="92"/>
      <c r="C1335" s="83"/>
      <c r="G1335" s="147"/>
      <c r="I1335" s="147"/>
      <c r="M1335" s="164"/>
      <c r="O1335" s="83"/>
      <c r="P1335" s="93"/>
      <c r="Q1335" s="83"/>
      <c r="R1335" s="83"/>
      <c r="S1335" s="83"/>
      <c r="T1335" s="83"/>
      <c r="U1335" s="83"/>
      <c r="V1335" s="83"/>
    </row>
    <row r="1336" spans="1:22" s="99" customFormat="1" x14ac:dyDescent="0.3">
      <c r="A1336" s="91"/>
      <c r="B1336" s="92"/>
      <c r="C1336" s="83"/>
      <c r="G1336" s="147"/>
      <c r="I1336" s="147"/>
      <c r="M1336" s="164"/>
      <c r="O1336" s="83"/>
      <c r="P1336" s="93"/>
      <c r="Q1336" s="83"/>
      <c r="R1336" s="83"/>
      <c r="S1336" s="83"/>
      <c r="T1336" s="83"/>
      <c r="U1336" s="83"/>
      <c r="V1336" s="83"/>
    </row>
    <row r="1337" spans="1:22" s="99" customFormat="1" x14ac:dyDescent="0.3">
      <c r="A1337" s="91"/>
      <c r="B1337" s="92"/>
      <c r="C1337" s="83"/>
      <c r="G1337" s="147"/>
      <c r="I1337" s="147"/>
      <c r="M1337" s="164"/>
      <c r="O1337" s="83"/>
      <c r="P1337" s="93"/>
      <c r="Q1337" s="83"/>
      <c r="R1337" s="83"/>
      <c r="S1337" s="83"/>
      <c r="T1337" s="83"/>
      <c r="U1337" s="83"/>
      <c r="V1337" s="83"/>
    </row>
    <row r="1338" spans="1:22" s="99" customFormat="1" x14ac:dyDescent="0.3">
      <c r="A1338" s="91"/>
      <c r="B1338" s="92"/>
      <c r="C1338" s="83"/>
      <c r="G1338" s="147"/>
      <c r="I1338" s="147"/>
      <c r="M1338" s="164"/>
      <c r="O1338" s="83"/>
      <c r="P1338" s="93"/>
      <c r="Q1338" s="83"/>
      <c r="R1338" s="83"/>
      <c r="S1338" s="83"/>
      <c r="T1338" s="83"/>
      <c r="U1338" s="83"/>
      <c r="V1338" s="83"/>
    </row>
    <row r="1339" spans="1:22" s="99" customFormat="1" x14ac:dyDescent="0.3">
      <c r="A1339" s="91"/>
      <c r="B1339" s="92"/>
      <c r="C1339" s="83"/>
      <c r="G1339" s="147"/>
      <c r="I1339" s="147"/>
      <c r="M1339" s="164"/>
      <c r="O1339" s="83"/>
      <c r="P1339" s="93"/>
      <c r="Q1339" s="83"/>
      <c r="R1339" s="83"/>
      <c r="S1339" s="83"/>
      <c r="T1339" s="83"/>
      <c r="U1339" s="83"/>
      <c r="V1339" s="83"/>
    </row>
    <row r="1340" spans="1:22" s="99" customFormat="1" x14ac:dyDescent="0.3">
      <c r="A1340" s="91"/>
      <c r="B1340" s="92"/>
      <c r="C1340" s="83"/>
      <c r="G1340" s="147"/>
      <c r="I1340" s="147"/>
      <c r="M1340" s="164"/>
      <c r="O1340" s="83"/>
      <c r="P1340" s="93"/>
      <c r="Q1340" s="83"/>
      <c r="R1340" s="83"/>
      <c r="S1340" s="83"/>
      <c r="T1340" s="83"/>
      <c r="U1340" s="83"/>
      <c r="V1340" s="83"/>
    </row>
    <row r="1341" spans="1:22" s="99" customFormat="1" x14ac:dyDescent="0.3">
      <c r="A1341" s="91"/>
      <c r="B1341" s="92"/>
      <c r="C1341" s="83"/>
      <c r="G1341" s="147"/>
      <c r="I1341" s="147"/>
      <c r="M1341" s="164"/>
      <c r="O1341" s="83"/>
      <c r="P1341" s="93"/>
      <c r="Q1341" s="83"/>
      <c r="R1341" s="83"/>
      <c r="S1341" s="83"/>
      <c r="T1341" s="83"/>
      <c r="U1341" s="83"/>
      <c r="V1341" s="83"/>
    </row>
    <row r="1342" spans="1:22" s="99" customFormat="1" x14ac:dyDescent="0.3">
      <c r="A1342" s="91"/>
      <c r="B1342" s="92"/>
      <c r="C1342" s="83"/>
      <c r="G1342" s="147"/>
      <c r="I1342" s="147"/>
      <c r="M1342" s="164"/>
      <c r="O1342" s="83"/>
      <c r="P1342" s="93"/>
      <c r="Q1342" s="83"/>
      <c r="R1342" s="83"/>
      <c r="S1342" s="83"/>
      <c r="T1342" s="83"/>
      <c r="U1342" s="83"/>
      <c r="V1342" s="83"/>
    </row>
    <row r="1343" spans="1:22" s="99" customFormat="1" x14ac:dyDescent="0.3">
      <c r="A1343" s="91"/>
      <c r="B1343" s="92"/>
      <c r="C1343" s="83"/>
      <c r="G1343" s="147"/>
      <c r="I1343" s="147"/>
      <c r="M1343" s="164"/>
      <c r="O1343" s="83"/>
      <c r="P1343" s="93"/>
      <c r="Q1343" s="83"/>
      <c r="R1343" s="83"/>
      <c r="S1343" s="83"/>
      <c r="T1343" s="83"/>
      <c r="U1343" s="83"/>
      <c r="V1343" s="83"/>
    </row>
    <row r="1344" spans="1:22" s="99" customFormat="1" x14ac:dyDescent="0.3">
      <c r="A1344" s="91"/>
      <c r="B1344" s="92"/>
      <c r="C1344" s="83"/>
      <c r="G1344" s="147"/>
      <c r="I1344" s="147"/>
      <c r="M1344" s="164"/>
      <c r="O1344" s="83"/>
      <c r="P1344" s="93"/>
      <c r="Q1344" s="83"/>
      <c r="R1344" s="83"/>
      <c r="S1344" s="83"/>
      <c r="T1344" s="83"/>
      <c r="U1344" s="83"/>
      <c r="V1344" s="83"/>
    </row>
    <row r="1345" spans="1:22" s="99" customFormat="1" x14ac:dyDescent="0.3">
      <c r="A1345" s="91"/>
      <c r="B1345" s="92"/>
      <c r="C1345" s="83"/>
      <c r="G1345" s="147"/>
      <c r="I1345" s="147"/>
      <c r="M1345" s="164"/>
      <c r="O1345" s="83"/>
      <c r="P1345" s="93"/>
      <c r="Q1345" s="83"/>
      <c r="R1345" s="83"/>
      <c r="S1345" s="83"/>
      <c r="T1345" s="83"/>
      <c r="U1345" s="83"/>
      <c r="V1345" s="83"/>
    </row>
    <row r="1346" spans="1:22" s="99" customFormat="1" x14ac:dyDescent="0.3">
      <c r="A1346" s="91"/>
      <c r="B1346" s="92"/>
      <c r="C1346" s="83"/>
      <c r="G1346" s="147"/>
      <c r="I1346" s="147"/>
      <c r="M1346" s="164"/>
      <c r="O1346" s="83"/>
      <c r="P1346" s="93"/>
      <c r="Q1346" s="83"/>
      <c r="R1346" s="83"/>
      <c r="S1346" s="83"/>
      <c r="T1346" s="83"/>
      <c r="U1346" s="83"/>
      <c r="V1346" s="83"/>
    </row>
    <row r="1347" spans="1:22" s="99" customFormat="1" x14ac:dyDescent="0.3">
      <c r="A1347" s="91"/>
      <c r="B1347" s="92"/>
      <c r="C1347" s="83"/>
      <c r="G1347" s="147"/>
      <c r="I1347" s="147"/>
      <c r="M1347" s="164"/>
      <c r="O1347" s="83"/>
      <c r="P1347" s="93"/>
      <c r="Q1347" s="83"/>
      <c r="R1347" s="83"/>
      <c r="S1347" s="83"/>
      <c r="T1347" s="83"/>
      <c r="U1347" s="83"/>
      <c r="V1347" s="83"/>
    </row>
    <row r="1348" spans="1:22" s="99" customFormat="1" x14ac:dyDescent="0.3">
      <c r="A1348" s="91"/>
      <c r="B1348" s="92"/>
      <c r="C1348" s="83"/>
      <c r="G1348" s="147"/>
      <c r="I1348" s="147"/>
      <c r="M1348" s="164"/>
      <c r="O1348" s="83"/>
      <c r="P1348" s="93"/>
      <c r="Q1348" s="83"/>
      <c r="R1348" s="83"/>
      <c r="S1348" s="83"/>
      <c r="T1348" s="83"/>
      <c r="U1348" s="83"/>
      <c r="V1348" s="83"/>
    </row>
    <row r="1349" spans="1:22" s="99" customFormat="1" x14ac:dyDescent="0.3">
      <c r="A1349" s="91"/>
      <c r="B1349" s="92"/>
      <c r="C1349" s="83"/>
      <c r="G1349" s="147"/>
      <c r="I1349" s="147"/>
      <c r="M1349" s="164"/>
      <c r="O1349" s="83"/>
      <c r="P1349" s="93"/>
      <c r="Q1349" s="83"/>
      <c r="R1349" s="83"/>
      <c r="S1349" s="83"/>
      <c r="T1349" s="83"/>
      <c r="U1349" s="83"/>
      <c r="V1349" s="83"/>
    </row>
    <row r="1350" spans="1:22" s="99" customFormat="1" x14ac:dyDescent="0.3">
      <c r="A1350" s="91"/>
      <c r="B1350" s="92"/>
      <c r="C1350" s="83"/>
      <c r="G1350" s="147"/>
      <c r="I1350" s="147"/>
      <c r="M1350" s="164"/>
      <c r="O1350" s="83"/>
      <c r="P1350" s="93"/>
      <c r="Q1350" s="83"/>
      <c r="R1350" s="83"/>
      <c r="S1350" s="83"/>
      <c r="T1350" s="83"/>
      <c r="U1350" s="83"/>
      <c r="V1350" s="83"/>
    </row>
    <row r="1351" spans="1:22" s="99" customFormat="1" x14ac:dyDescent="0.3">
      <c r="A1351" s="91"/>
      <c r="B1351" s="92"/>
      <c r="C1351" s="83"/>
      <c r="G1351" s="147"/>
      <c r="I1351" s="147"/>
      <c r="M1351" s="164"/>
      <c r="O1351" s="83"/>
      <c r="P1351" s="93"/>
      <c r="Q1351" s="83"/>
      <c r="R1351" s="83"/>
      <c r="S1351" s="83"/>
      <c r="T1351" s="83"/>
      <c r="U1351" s="83"/>
      <c r="V1351" s="83"/>
    </row>
    <row r="1352" spans="1:22" s="99" customFormat="1" x14ac:dyDescent="0.3">
      <c r="A1352" s="91"/>
      <c r="B1352" s="92"/>
      <c r="C1352" s="83"/>
      <c r="G1352" s="147"/>
      <c r="I1352" s="147"/>
      <c r="M1352" s="164"/>
      <c r="O1352" s="83"/>
      <c r="P1352" s="93"/>
      <c r="Q1352" s="83"/>
      <c r="R1352" s="83"/>
      <c r="S1352" s="83"/>
      <c r="T1352" s="83"/>
      <c r="U1352" s="83"/>
      <c r="V1352" s="83"/>
    </row>
    <row r="1353" spans="1:22" s="99" customFormat="1" x14ac:dyDescent="0.3">
      <c r="A1353" s="91"/>
      <c r="B1353" s="92"/>
      <c r="C1353" s="83"/>
      <c r="G1353" s="147"/>
      <c r="I1353" s="147"/>
      <c r="M1353" s="164"/>
      <c r="O1353" s="83"/>
      <c r="P1353" s="93"/>
      <c r="Q1353" s="83"/>
      <c r="R1353" s="83"/>
      <c r="S1353" s="83"/>
      <c r="T1353" s="83"/>
      <c r="U1353" s="83"/>
      <c r="V1353" s="83"/>
    </row>
    <row r="1354" spans="1:22" s="99" customFormat="1" x14ac:dyDescent="0.3">
      <c r="A1354" s="91"/>
      <c r="B1354" s="92"/>
      <c r="C1354" s="83"/>
      <c r="G1354" s="147"/>
      <c r="I1354" s="147"/>
      <c r="M1354" s="164"/>
      <c r="O1354" s="83"/>
      <c r="P1354" s="93"/>
      <c r="Q1354" s="83"/>
      <c r="R1354" s="83"/>
      <c r="S1354" s="83"/>
      <c r="T1354" s="83"/>
      <c r="U1354" s="83"/>
      <c r="V1354" s="83"/>
    </row>
    <row r="1355" spans="1:22" s="99" customFormat="1" x14ac:dyDescent="0.3">
      <c r="A1355" s="91"/>
      <c r="B1355" s="92"/>
      <c r="C1355" s="83"/>
      <c r="G1355" s="147"/>
      <c r="I1355" s="147"/>
      <c r="M1355" s="164"/>
      <c r="O1355" s="83"/>
      <c r="P1355" s="93"/>
      <c r="Q1355" s="83"/>
      <c r="R1355" s="83"/>
      <c r="S1355" s="83"/>
      <c r="T1355" s="83"/>
      <c r="U1355" s="83"/>
      <c r="V1355" s="83"/>
    </row>
    <row r="1356" spans="1:22" s="99" customFormat="1" x14ac:dyDescent="0.3">
      <c r="A1356" s="91"/>
      <c r="B1356" s="92"/>
      <c r="C1356" s="83"/>
      <c r="G1356" s="147"/>
      <c r="I1356" s="147"/>
      <c r="M1356" s="164"/>
      <c r="O1356" s="83"/>
      <c r="P1356" s="93"/>
      <c r="Q1356" s="83"/>
      <c r="R1356" s="83"/>
      <c r="S1356" s="83"/>
      <c r="T1356" s="83"/>
      <c r="U1356" s="83"/>
      <c r="V1356" s="83"/>
    </row>
    <row r="1357" spans="1:22" s="99" customFormat="1" x14ac:dyDescent="0.3">
      <c r="A1357" s="91"/>
      <c r="B1357" s="92"/>
      <c r="C1357" s="83"/>
      <c r="G1357" s="147"/>
      <c r="I1357" s="147"/>
      <c r="M1357" s="164"/>
      <c r="O1357" s="83"/>
      <c r="P1357" s="93"/>
      <c r="Q1357" s="83"/>
      <c r="R1357" s="83"/>
      <c r="S1357" s="83"/>
      <c r="T1357" s="83"/>
      <c r="U1357" s="83"/>
      <c r="V1357" s="83"/>
    </row>
    <row r="1358" spans="1:22" s="99" customFormat="1" x14ac:dyDescent="0.3">
      <c r="A1358" s="91"/>
      <c r="B1358" s="92"/>
      <c r="C1358" s="83"/>
      <c r="G1358" s="147"/>
      <c r="I1358" s="147"/>
      <c r="M1358" s="164"/>
      <c r="O1358" s="83"/>
      <c r="P1358" s="93"/>
      <c r="Q1358" s="83"/>
      <c r="R1358" s="83"/>
      <c r="S1358" s="83"/>
      <c r="T1358" s="83"/>
      <c r="U1358" s="83"/>
      <c r="V1358" s="83"/>
    </row>
    <row r="1359" spans="1:22" s="99" customFormat="1" x14ac:dyDescent="0.3">
      <c r="A1359" s="91"/>
      <c r="B1359" s="92"/>
      <c r="C1359" s="83"/>
      <c r="G1359" s="147"/>
      <c r="I1359" s="147"/>
      <c r="M1359" s="164"/>
      <c r="O1359" s="83"/>
      <c r="P1359" s="93"/>
      <c r="Q1359" s="83"/>
      <c r="R1359" s="83"/>
      <c r="S1359" s="83"/>
      <c r="T1359" s="83"/>
      <c r="U1359" s="83"/>
      <c r="V1359" s="83"/>
    </row>
    <row r="1360" spans="1:22" s="99" customFormat="1" x14ac:dyDescent="0.3">
      <c r="A1360" s="91"/>
      <c r="B1360" s="92"/>
      <c r="C1360" s="83"/>
      <c r="G1360" s="147"/>
      <c r="I1360" s="147"/>
      <c r="M1360" s="164"/>
      <c r="O1360" s="83"/>
      <c r="P1360" s="93"/>
      <c r="Q1360" s="83"/>
      <c r="R1360" s="83"/>
      <c r="S1360" s="83"/>
      <c r="T1360" s="83"/>
      <c r="U1360" s="83"/>
      <c r="V1360" s="83"/>
    </row>
    <row r="1361" spans="1:22" s="99" customFormat="1" x14ac:dyDescent="0.3">
      <c r="A1361" s="91"/>
      <c r="B1361" s="92"/>
      <c r="C1361" s="83"/>
      <c r="G1361" s="147"/>
      <c r="I1361" s="147"/>
      <c r="M1361" s="164"/>
      <c r="O1361" s="83"/>
      <c r="P1361" s="93"/>
      <c r="Q1361" s="83"/>
      <c r="R1361" s="83"/>
      <c r="S1361" s="83"/>
      <c r="T1361" s="83"/>
      <c r="U1361" s="83"/>
      <c r="V1361" s="83"/>
    </row>
    <row r="1362" spans="1:22" s="99" customFormat="1" x14ac:dyDescent="0.3">
      <c r="A1362" s="91"/>
      <c r="B1362" s="92"/>
      <c r="C1362" s="83"/>
      <c r="G1362" s="147"/>
      <c r="I1362" s="147"/>
      <c r="M1362" s="164"/>
      <c r="O1362" s="83"/>
      <c r="P1362" s="93"/>
      <c r="Q1362" s="83"/>
      <c r="R1362" s="83"/>
      <c r="S1362" s="83"/>
      <c r="T1362" s="83"/>
      <c r="U1362" s="83"/>
      <c r="V1362" s="83"/>
    </row>
    <row r="1363" spans="1:22" s="99" customFormat="1" x14ac:dyDescent="0.3">
      <c r="A1363" s="91"/>
      <c r="B1363" s="92"/>
      <c r="C1363" s="83"/>
      <c r="G1363" s="147"/>
      <c r="I1363" s="147"/>
      <c r="M1363" s="164"/>
      <c r="O1363" s="83"/>
      <c r="P1363" s="93"/>
      <c r="Q1363" s="83"/>
      <c r="R1363" s="83"/>
      <c r="S1363" s="83"/>
      <c r="T1363" s="83"/>
      <c r="U1363" s="83"/>
      <c r="V1363" s="83"/>
    </row>
    <row r="1364" spans="1:22" s="99" customFormat="1" x14ac:dyDescent="0.3">
      <c r="A1364" s="91"/>
      <c r="B1364" s="92"/>
      <c r="C1364" s="83"/>
      <c r="G1364" s="147"/>
      <c r="I1364" s="147"/>
      <c r="M1364" s="164"/>
      <c r="O1364" s="83"/>
      <c r="P1364" s="93"/>
      <c r="Q1364" s="83"/>
      <c r="R1364" s="83"/>
      <c r="S1364" s="83"/>
      <c r="T1364" s="83"/>
      <c r="U1364" s="83"/>
      <c r="V1364" s="83"/>
    </row>
    <row r="1365" spans="1:22" s="99" customFormat="1" x14ac:dyDescent="0.3">
      <c r="A1365" s="91"/>
      <c r="B1365" s="92"/>
      <c r="C1365" s="83"/>
      <c r="G1365" s="147"/>
      <c r="I1365" s="150"/>
      <c r="M1365" s="164"/>
      <c r="O1365" s="83"/>
      <c r="P1365" s="93"/>
      <c r="Q1365" s="83"/>
      <c r="R1365" s="83"/>
      <c r="S1365" s="83"/>
      <c r="T1365" s="83"/>
      <c r="U1365" s="83"/>
      <c r="V1365" s="83"/>
    </row>
    <row r="1366" spans="1:22" s="99" customFormat="1" x14ac:dyDescent="0.3">
      <c r="A1366" s="91"/>
      <c r="B1366" s="92"/>
      <c r="C1366" s="83"/>
      <c r="G1366" s="147"/>
      <c r="I1366" s="149"/>
      <c r="M1366" s="164"/>
      <c r="O1366" s="83"/>
      <c r="P1366" s="93"/>
      <c r="Q1366" s="83"/>
      <c r="R1366" s="83"/>
      <c r="S1366" s="83"/>
      <c r="T1366" s="83"/>
      <c r="U1366" s="83"/>
      <c r="V1366" s="83"/>
    </row>
    <row r="1367" spans="1:22" s="99" customFormat="1" x14ac:dyDescent="0.3">
      <c r="A1367" s="91"/>
      <c r="B1367" s="92"/>
      <c r="C1367" s="83"/>
      <c r="G1367" s="147"/>
      <c r="I1367" s="147"/>
      <c r="M1367" s="164"/>
      <c r="O1367" s="83"/>
      <c r="P1367" s="93"/>
      <c r="Q1367" s="83"/>
      <c r="R1367" s="83"/>
      <c r="S1367" s="83"/>
      <c r="T1367" s="83"/>
      <c r="U1367" s="83"/>
      <c r="V1367" s="83"/>
    </row>
    <row r="1368" spans="1:22" s="99" customFormat="1" x14ac:dyDescent="0.3">
      <c r="A1368" s="91"/>
      <c r="B1368" s="92"/>
      <c r="C1368" s="83"/>
      <c r="G1368" s="147"/>
      <c r="I1368" s="147"/>
      <c r="M1368" s="164"/>
      <c r="O1368" s="83"/>
      <c r="P1368" s="93"/>
      <c r="Q1368" s="83"/>
      <c r="R1368" s="83"/>
      <c r="S1368" s="83"/>
      <c r="T1368" s="83"/>
      <c r="U1368" s="83"/>
      <c r="V1368" s="83"/>
    </row>
    <row r="1369" spans="1:22" s="99" customFormat="1" x14ac:dyDescent="0.3">
      <c r="A1369" s="91"/>
      <c r="B1369" s="92"/>
      <c r="C1369" s="83"/>
      <c r="G1369" s="147"/>
      <c r="I1369" s="147"/>
      <c r="M1369" s="164"/>
      <c r="O1369" s="83"/>
      <c r="P1369" s="93"/>
      <c r="Q1369" s="83"/>
      <c r="R1369" s="83"/>
      <c r="S1369" s="83"/>
      <c r="T1369" s="83"/>
      <c r="U1369" s="83"/>
      <c r="V1369" s="83"/>
    </row>
    <row r="1370" spans="1:22" s="99" customFormat="1" x14ac:dyDescent="0.3">
      <c r="A1370" s="91"/>
      <c r="B1370" s="92"/>
      <c r="C1370" s="83"/>
      <c r="G1370" s="147"/>
      <c r="I1370" s="147"/>
      <c r="M1370" s="164"/>
      <c r="O1370" s="83"/>
      <c r="P1370" s="93"/>
      <c r="Q1370" s="83"/>
      <c r="R1370" s="83"/>
      <c r="S1370" s="83"/>
      <c r="T1370" s="83"/>
      <c r="U1370" s="83"/>
      <c r="V1370" s="83"/>
    </row>
    <row r="1371" spans="1:22" s="99" customFormat="1" x14ac:dyDescent="0.3">
      <c r="A1371" s="91"/>
      <c r="B1371" s="92"/>
      <c r="C1371" s="83"/>
      <c r="G1371" s="147"/>
      <c r="I1371" s="147"/>
      <c r="M1371" s="164"/>
      <c r="O1371" s="83"/>
      <c r="P1371" s="93"/>
      <c r="Q1371" s="83"/>
      <c r="R1371" s="83"/>
      <c r="S1371" s="83"/>
      <c r="T1371" s="83"/>
      <c r="U1371" s="83"/>
      <c r="V1371" s="83"/>
    </row>
    <row r="1372" spans="1:22" s="99" customFormat="1" x14ac:dyDescent="0.3">
      <c r="A1372" s="91"/>
      <c r="B1372" s="92"/>
      <c r="C1372" s="83"/>
      <c r="G1372" s="147"/>
      <c r="I1372" s="147"/>
      <c r="M1372" s="164"/>
      <c r="O1372" s="83"/>
      <c r="P1372" s="93"/>
      <c r="Q1372" s="83"/>
      <c r="R1372" s="83"/>
      <c r="S1372" s="83"/>
      <c r="T1372" s="83"/>
      <c r="U1372" s="83"/>
      <c r="V1372" s="83"/>
    </row>
    <row r="1373" spans="1:22" s="99" customFormat="1" x14ac:dyDescent="0.3">
      <c r="A1373" s="91"/>
      <c r="B1373" s="92"/>
      <c r="C1373" s="83"/>
      <c r="G1373" s="147"/>
      <c r="I1373" s="147"/>
      <c r="M1373" s="164"/>
      <c r="O1373" s="83"/>
      <c r="P1373" s="93"/>
      <c r="Q1373" s="83"/>
      <c r="R1373" s="83"/>
      <c r="S1373" s="83"/>
      <c r="T1373" s="83"/>
      <c r="U1373" s="83"/>
      <c r="V1373" s="83"/>
    </row>
    <row r="1374" spans="1:22" s="99" customFormat="1" x14ac:dyDescent="0.3">
      <c r="A1374" s="91"/>
      <c r="B1374" s="92"/>
      <c r="C1374" s="83"/>
      <c r="G1374" s="147"/>
      <c r="I1374" s="147"/>
      <c r="M1374" s="164"/>
      <c r="O1374" s="83"/>
      <c r="P1374" s="93"/>
      <c r="Q1374" s="83"/>
      <c r="R1374" s="83"/>
      <c r="S1374" s="83"/>
      <c r="T1374" s="83"/>
      <c r="U1374" s="83"/>
      <c r="V1374" s="83"/>
    </row>
    <row r="1375" spans="1:22" s="99" customFormat="1" x14ac:dyDescent="0.3">
      <c r="A1375" s="91"/>
      <c r="B1375" s="92"/>
      <c r="C1375" s="83"/>
      <c r="G1375" s="147"/>
      <c r="I1375" s="147"/>
      <c r="M1375" s="164"/>
      <c r="O1375" s="83"/>
      <c r="P1375" s="93"/>
      <c r="Q1375" s="83"/>
      <c r="R1375" s="83"/>
      <c r="S1375" s="83"/>
      <c r="T1375" s="83"/>
      <c r="U1375" s="83"/>
      <c r="V1375" s="83"/>
    </row>
    <row r="1376" spans="1:22" s="99" customFormat="1" x14ac:dyDescent="0.3">
      <c r="A1376" s="91"/>
      <c r="B1376" s="92"/>
      <c r="C1376" s="83"/>
      <c r="G1376" s="147"/>
      <c r="I1376" s="147"/>
      <c r="M1376" s="164"/>
      <c r="O1376" s="83"/>
      <c r="P1376" s="93"/>
      <c r="Q1376" s="83"/>
      <c r="R1376" s="83"/>
      <c r="S1376" s="83"/>
      <c r="T1376" s="83"/>
      <c r="U1376" s="83"/>
      <c r="V1376" s="83"/>
    </row>
    <row r="1377" spans="1:22" s="99" customFormat="1" x14ac:dyDescent="0.3">
      <c r="A1377" s="91"/>
      <c r="B1377" s="92"/>
      <c r="C1377" s="83"/>
      <c r="G1377" s="147"/>
      <c r="I1377" s="147"/>
      <c r="M1377" s="164"/>
      <c r="O1377" s="83"/>
      <c r="P1377" s="93"/>
      <c r="Q1377" s="83"/>
      <c r="R1377" s="83"/>
      <c r="S1377" s="83"/>
      <c r="T1377" s="83"/>
      <c r="U1377" s="83"/>
      <c r="V1377" s="83"/>
    </row>
    <row r="1378" spans="1:22" s="99" customFormat="1" x14ac:dyDescent="0.3">
      <c r="A1378" s="91"/>
      <c r="B1378" s="92"/>
      <c r="C1378" s="83"/>
      <c r="G1378" s="147"/>
      <c r="I1378" s="147"/>
      <c r="M1378" s="164"/>
      <c r="O1378" s="83"/>
      <c r="P1378" s="93"/>
      <c r="Q1378" s="83"/>
      <c r="R1378" s="83"/>
      <c r="S1378" s="83"/>
      <c r="T1378" s="83"/>
      <c r="U1378" s="83"/>
      <c r="V1378" s="83"/>
    </row>
    <row r="1379" spans="1:22" s="99" customFormat="1" x14ac:dyDescent="0.3">
      <c r="A1379" s="91"/>
      <c r="B1379" s="92"/>
      <c r="C1379" s="83"/>
      <c r="G1379" s="147"/>
      <c r="I1379" s="147"/>
      <c r="M1379" s="164"/>
      <c r="O1379" s="83"/>
      <c r="P1379" s="93"/>
      <c r="Q1379" s="83"/>
      <c r="R1379" s="83"/>
      <c r="S1379" s="83"/>
      <c r="T1379" s="83"/>
      <c r="U1379" s="83"/>
      <c r="V1379" s="83"/>
    </row>
    <row r="1380" spans="1:22" s="99" customFormat="1" x14ac:dyDescent="0.3">
      <c r="A1380" s="91"/>
      <c r="B1380" s="92"/>
      <c r="C1380" s="83"/>
      <c r="G1380" s="147"/>
      <c r="I1380" s="147"/>
      <c r="M1380" s="164"/>
      <c r="O1380" s="83"/>
      <c r="P1380" s="93"/>
      <c r="Q1380" s="83"/>
      <c r="R1380" s="83"/>
      <c r="S1380" s="83"/>
      <c r="T1380" s="83"/>
      <c r="U1380" s="83"/>
      <c r="V1380" s="83"/>
    </row>
    <row r="1381" spans="1:22" s="99" customFormat="1" x14ac:dyDescent="0.3">
      <c r="A1381" s="91"/>
      <c r="B1381" s="92"/>
      <c r="C1381" s="83"/>
      <c r="G1381" s="147"/>
      <c r="I1381" s="147"/>
      <c r="M1381" s="164"/>
      <c r="O1381" s="83"/>
      <c r="P1381" s="93"/>
      <c r="Q1381" s="83"/>
      <c r="R1381" s="83"/>
      <c r="S1381" s="83"/>
      <c r="T1381" s="83"/>
      <c r="U1381" s="83"/>
      <c r="V1381" s="83"/>
    </row>
    <row r="1382" spans="1:22" s="99" customFormat="1" x14ac:dyDescent="0.3">
      <c r="A1382" s="91"/>
      <c r="B1382" s="92"/>
      <c r="C1382" s="83"/>
      <c r="G1382" s="147"/>
      <c r="I1382" s="147"/>
      <c r="M1382" s="164"/>
      <c r="O1382" s="83"/>
      <c r="P1382" s="93"/>
      <c r="Q1382" s="83"/>
      <c r="R1382" s="83"/>
      <c r="S1382" s="83"/>
      <c r="T1382" s="83"/>
      <c r="U1382" s="83"/>
      <c r="V1382" s="83"/>
    </row>
    <row r="1383" spans="1:22" s="99" customFormat="1" x14ac:dyDescent="0.3">
      <c r="A1383" s="91"/>
      <c r="B1383" s="92"/>
      <c r="C1383" s="83"/>
      <c r="G1383" s="147"/>
      <c r="I1383" s="147"/>
      <c r="M1383" s="164"/>
      <c r="O1383" s="83"/>
      <c r="P1383" s="93"/>
      <c r="Q1383" s="83"/>
      <c r="R1383" s="83"/>
      <c r="S1383" s="83"/>
      <c r="T1383" s="83"/>
      <c r="U1383" s="83"/>
      <c r="V1383" s="83"/>
    </row>
    <row r="1384" spans="1:22" s="99" customFormat="1" x14ac:dyDescent="0.3">
      <c r="A1384" s="91"/>
      <c r="B1384" s="92"/>
      <c r="C1384" s="83"/>
      <c r="G1384" s="147"/>
      <c r="I1384" s="147"/>
      <c r="M1384" s="164"/>
      <c r="O1384" s="83"/>
      <c r="P1384" s="93"/>
      <c r="Q1384" s="83"/>
      <c r="R1384" s="83"/>
      <c r="S1384" s="83"/>
      <c r="T1384" s="83"/>
      <c r="U1384" s="83"/>
      <c r="V1384" s="83"/>
    </row>
    <row r="1385" spans="1:22" s="99" customFormat="1" x14ac:dyDescent="0.3">
      <c r="A1385" s="91"/>
      <c r="B1385" s="92"/>
      <c r="C1385" s="83"/>
      <c r="G1385" s="147"/>
      <c r="I1385" s="147"/>
      <c r="M1385" s="164"/>
      <c r="O1385" s="83"/>
      <c r="P1385" s="93"/>
      <c r="Q1385" s="83"/>
      <c r="R1385" s="83"/>
      <c r="S1385" s="83"/>
      <c r="T1385" s="83"/>
      <c r="U1385" s="83"/>
      <c r="V1385" s="83"/>
    </row>
    <row r="1386" spans="1:22" s="99" customFormat="1" x14ac:dyDescent="0.3">
      <c r="A1386" s="91"/>
      <c r="B1386" s="92"/>
      <c r="C1386" s="83"/>
      <c r="G1386" s="147"/>
      <c r="I1386" s="147"/>
      <c r="M1386" s="164"/>
      <c r="O1386" s="83"/>
      <c r="P1386" s="93"/>
      <c r="Q1386" s="83"/>
      <c r="R1386" s="83"/>
      <c r="S1386" s="83"/>
      <c r="T1386" s="83"/>
      <c r="U1386" s="83"/>
      <c r="V1386" s="83"/>
    </row>
    <row r="1387" spans="1:22" s="99" customFormat="1" x14ac:dyDescent="0.3">
      <c r="A1387" s="91"/>
      <c r="B1387" s="92"/>
      <c r="C1387" s="83"/>
      <c r="G1387" s="147"/>
      <c r="I1387" s="147"/>
      <c r="M1387" s="164"/>
      <c r="O1387" s="83"/>
      <c r="P1387" s="93"/>
      <c r="Q1387" s="83"/>
      <c r="R1387" s="83"/>
      <c r="S1387" s="83"/>
      <c r="T1387" s="83"/>
      <c r="U1387" s="83"/>
      <c r="V1387" s="83"/>
    </row>
    <row r="1388" spans="1:22" s="99" customFormat="1" x14ac:dyDescent="0.3">
      <c r="A1388" s="91"/>
      <c r="B1388" s="92"/>
      <c r="C1388" s="83"/>
      <c r="G1388" s="147"/>
      <c r="I1388" s="147"/>
      <c r="M1388" s="164"/>
      <c r="O1388" s="83"/>
      <c r="P1388" s="93"/>
      <c r="Q1388" s="83"/>
      <c r="R1388" s="83"/>
      <c r="S1388" s="83"/>
      <c r="T1388" s="83"/>
      <c r="U1388" s="83"/>
      <c r="V1388" s="83"/>
    </row>
    <row r="1389" spans="1:22" s="99" customFormat="1" x14ac:dyDescent="0.3">
      <c r="A1389" s="91"/>
      <c r="B1389" s="92"/>
      <c r="C1389" s="83"/>
      <c r="G1389" s="147"/>
      <c r="I1389" s="147"/>
      <c r="M1389" s="164"/>
      <c r="O1389" s="83"/>
      <c r="P1389" s="93"/>
      <c r="Q1389" s="83"/>
      <c r="R1389" s="83"/>
      <c r="S1389" s="83"/>
      <c r="T1389" s="83"/>
      <c r="U1389" s="83"/>
      <c r="V1389" s="83"/>
    </row>
    <row r="1390" spans="1:22" s="99" customFormat="1" x14ac:dyDescent="0.3">
      <c r="A1390" s="91"/>
      <c r="B1390" s="92"/>
      <c r="C1390" s="83"/>
      <c r="G1390" s="147"/>
      <c r="I1390" s="147"/>
      <c r="M1390" s="164"/>
      <c r="O1390" s="83"/>
      <c r="P1390" s="93"/>
      <c r="Q1390" s="83"/>
      <c r="R1390" s="83"/>
      <c r="S1390" s="83"/>
      <c r="T1390" s="83"/>
      <c r="U1390" s="83"/>
      <c r="V1390" s="83"/>
    </row>
    <row r="1391" spans="1:22" s="99" customFormat="1" x14ac:dyDescent="0.3">
      <c r="A1391" s="91"/>
      <c r="B1391" s="92"/>
      <c r="C1391" s="83"/>
      <c r="G1391" s="147"/>
      <c r="I1391" s="147"/>
      <c r="M1391" s="164"/>
      <c r="O1391" s="83"/>
      <c r="P1391" s="93"/>
      <c r="Q1391" s="83"/>
      <c r="R1391" s="83"/>
      <c r="S1391" s="83"/>
      <c r="T1391" s="83"/>
      <c r="U1391" s="83"/>
      <c r="V1391" s="83"/>
    </row>
    <row r="1392" spans="1:22" s="99" customFormat="1" x14ac:dyDescent="0.3">
      <c r="A1392" s="91"/>
      <c r="B1392" s="92"/>
      <c r="C1392" s="83"/>
      <c r="G1392" s="147"/>
      <c r="I1392" s="147"/>
      <c r="M1392" s="164"/>
      <c r="O1392" s="83"/>
      <c r="P1392" s="93"/>
      <c r="Q1392" s="83"/>
      <c r="R1392" s="83"/>
      <c r="S1392" s="83"/>
      <c r="T1392" s="83"/>
      <c r="U1392" s="83"/>
      <c r="V1392" s="83"/>
    </row>
    <row r="1393" spans="1:22" s="99" customFormat="1" x14ac:dyDescent="0.3">
      <c r="A1393" s="91"/>
      <c r="B1393" s="92"/>
      <c r="C1393" s="83"/>
      <c r="G1393" s="147"/>
      <c r="I1393" s="147"/>
      <c r="M1393" s="164"/>
      <c r="O1393" s="83"/>
      <c r="P1393" s="93"/>
      <c r="Q1393" s="83"/>
      <c r="R1393" s="83"/>
      <c r="S1393" s="83"/>
      <c r="T1393" s="83"/>
      <c r="U1393" s="83"/>
      <c r="V1393" s="83"/>
    </row>
    <row r="1394" spans="1:22" s="99" customFormat="1" x14ac:dyDescent="0.3">
      <c r="A1394" s="91"/>
      <c r="B1394" s="92"/>
      <c r="C1394" s="83"/>
      <c r="G1394" s="147"/>
      <c r="I1394" s="147"/>
      <c r="M1394" s="164"/>
      <c r="O1394" s="83"/>
      <c r="P1394" s="93"/>
      <c r="Q1394" s="83"/>
      <c r="R1394" s="83"/>
      <c r="S1394" s="83"/>
      <c r="T1394" s="83"/>
      <c r="U1394" s="83"/>
      <c r="V1394" s="83"/>
    </row>
    <row r="1395" spans="1:22" s="99" customFormat="1" x14ac:dyDescent="0.3">
      <c r="A1395" s="91"/>
      <c r="B1395" s="92"/>
      <c r="C1395" s="83"/>
      <c r="G1395" s="147"/>
      <c r="I1395" s="147"/>
      <c r="M1395" s="164"/>
      <c r="O1395" s="83"/>
      <c r="P1395" s="93"/>
      <c r="Q1395" s="83"/>
      <c r="R1395" s="83"/>
      <c r="S1395" s="83"/>
      <c r="T1395" s="83"/>
      <c r="U1395" s="83"/>
      <c r="V1395" s="83"/>
    </row>
    <row r="1396" spans="1:22" s="99" customFormat="1" x14ac:dyDescent="0.3">
      <c r="A1396" s="91"/>
      <c r="B1396" s="92"/>
      <c r="C1396" s="83"/>
      <c r="G1396" s="147"/>
      <c r="I1396" s="147"/>
      <c r="M1396" s="164"/>
      <c r="O1396" s="83"/>
      <c r="P1396" s="93"/>
      <c r="Q1396" s="83"/>
      <c r="R1396" s="83"/>
      <c r="S1396" s="83"/>
      <c r="T1396" s="83"/>
      <c r="U1396" s="83"/>
      <c r="V1396" s="83"/>
    </row>
    <row r="1397" spans="1:22" s="99" customFormat="1" x14ac:dyDescent="0.3">
      <c r="A1397" s="91"/>
      <c r="B1397" s="92"/>
      <c r="C1397" s="83"/>
      <c r="G1397" s="147"/>
      <c r="I1397" s="147"/>
      <c r="M1397" s="164"/>
      <c r="O1397" s="83"/>
      <c r="P1397" s="93"/>
      <c r="Q1397" s="83"/>
      <c r="R1397" s="83"/>
      <c r="S1397" s="83"/>
      <c r="T1397" s="83"/>
      <c r="U1397" s="83"/>
      <c r="V1397" s="83"/>
    </row>
    <row r="1398" spans="1:22" s="99" customFormat="1" x14ac:dyDescent="0.3">
      <c r="A1398" s="91"/>
      <c r="B1398" s="92"/>
      <c r="C1398" s="83"/>
      <c r="G1398" s="147"/>
      <c r="I1398" s="147"/>
      <c r="M1398" s="164"/>
      <c r="O1398" s="83"/>
      <c r="P1398" s="93"/>
      <c r="Q1398" s="83"/>
      <c r="R1398" s="83"/>
      <c r="S1398" s="83"/>
      <c r="T1398" s="83"/>
      <c r="U1398" s="83"/>
      <c r="V1398" s="83"/>
    </row>
    <row r="1399" spans="1:22" s="99" customFormat="1" x14ac:dyDescent="0.3">
      <c r="A1399" s="91"/>
      <c r="B1399" s="92"/>
      <c r="C1399" s="83"/>
      <c r="G1399" s="147"/>
      <c r="I1399" s="147"/>
      <c r="M1399" s="164"/>
      <c r="O1399" s="83"/>
      <c r="P1399" s="93"/>
      <c r="Q1399" s="83"/>
      <c r="R1399" s="83"/>
      <c r="S1399" s="83"/>
      <c r="T1399" s="83"/>
      <c r="U1399" s="83"/>
      <c r="V1399" s="83"/>
    </row>
    <row r="1400" spans="1:22" s="99" customFormat="1" x14ac:dyDescent="0.3">
      <c r="A1400" s="91"/>
      <c r="B1400" s="92"/>
      <c r="C1400" s="83"/>
      <c r="G1400" s="147"/>
      <c r="I1400" s="147"/>
      <c r="M1400" s="164"/>
      <c r="O1400" s="83"/>
      <c r="P1400" s="93"/>
      <c r="Q1400" s="83"/>
      <c r="R1400" s="83"/>
      <c r="S1400" s="83"/>
      <c r="T1400" s="83"/>
      <c r="U1400" s="83"/>
      <c r="V1400" s="83"/>
    </row>
    <row r="1401" spans="1:22" s="99" customFormat="1" x14ac:dyDescent="0.3">
      <c r="A1401" s="91"/>
      <c r="B1401" s="92"/>
      <c r="C1401" s="83"/>
      <c r="G1401" s="147"/>
      <c r="I1401" s="147"/>
      <c r="M1401" s="164"/>
      <c r="O1401" s="83"/>
      <c r="P1401" s="93"/>
      <c r="Q1401" s="83"/>
      <c r="R1401" s="83"/>
      <c r="S1401" s="83"/>
      <c r="T1401" s="83"/>
      <c r="U1401" s="83"/>
      <c r="V1401" s="83"/>
    </row>
    <row r="1402" spans="1:22" s="99" customFormat="1" x14ac:dyDescent="0.3">
      <c r="A1402" s="91"/>
      <c r="B1402" s="92"/>
      <c r="C1402" s="83"/>
      <c r="G1402" s="147"/>
      <c r="I1402" s="147"/>
      <c r="M1402" s="164"/>
      <c r="O1402" s="83"/>
      <c r="P1402" s="93"/>
      <c r="Q1402" s="83"/>
      <c r="R1402" s="83"/>
      <c r="S1402" s="83"/>
      <c r="T1402" s="83"/>
      <c r="U1402" s="83"/>
      <c r="V1402" s="83"/>
    </row>
    <row r="1403" spans="1:22" s="99" customFormat="1" x14ac:dyDescent="0.3">
      <c r="A1403" s="91"/>
      <c r="B1403" s="92"/>
      <c r="C1403" s="83"/>
      <c r="G1403" s="147"/>
      <c r="I1403" s="147"/>
      <c r="M1403" s="164"/>
      <c r="O1403" s="83"/>
      <c r="P1403" s="93"/>
      <c r="Q1403" s="83"/>
      <c r="R1403" s="83"/>
      <c r="S1403" s="83"/>
      <c r="T1403" s="83"/>
      <c r="U1403" s="83"/>
      <c r="V1403" s="83"/>
    </row>
    <row r="1404" spans="1:22" s="99" customFormat="1" x14ac:dyDescent="0.3">
      <c r="A1404" s="91"/>
      <c r="B1404" s="92"/>
      <c r="C1404" s="83"/>
      <c r="G1404" s="147"/>
      <c r="I1404" s="147"/>
      <c r="M1404" s="164"/>
      <c r="O1404" s="83"/>
      <c r="P1404" s="93"/>
      <c r="Q1404" s="83"/>
      <c r="R1404" s="83"/>
      <c r="S1404" s="83"/>
      <c r="T1404" s="83"/>
      <c r="U1404" s="83"/>
      <c r="V1404" s="83"/>
    </row>
    <row r="1405" spans="1:22" s="99" customFormat="1" x14ac:dyDescent="0.3">
      <c r="A1405" s="91"/>
      <c r="B1405" s="92"/>
      <c r="C1405" s="83"/>
      <c r="G1405" s="147"/>
      <c r="I1405" s="147"/>
      <c r="M1405" s="164"/>
      <c r="O1405" s="83"/>
      <c r="P1405" s="93"/>
      <c r="Q1405" s="83"/>
      <c r="R1405" s="83"/>
      <c r="S1405" s="83"/>
      <c r="T1405" s="83"/>
      <c r="U1405" s="83"/>
      <c r="V1405" s="83"/>
    </row>
    <row r="1406" spans="1:22" s="99" customFormat="1" x14ac:dyDescent="0.3">
      <c r="A1406" s="91"/>
      <c r="B1406" s="92"/>
      <c r="C1406" s="83"/>
      <c r="G1406" s="147"/>
      <c r="I1406" s="147"/>
      <c r="M1406" s="164"/>
      <c r="O1406" s="83"/>
      <c r="P1406" s="93"/>
      <c r="Q1406" s="83"/>
      <c r="R1406" s="83"/>
      <c r="S1406" s="83"/>
      <c r="T1406" s="83"/>
      <c r="U1406" s="83"/>
      <c r="V1406" s="83"/>
    </row>
    <row r="1407" spans="1:22" s="99" customFormat="1" x14ac:dyDescent="0.3">
      <c r="A1407" s="91"/>
      <c r="B1407" s="92"/>
      <c r="C1407" s="83"/>
      <c r="G1407" s="147"/>
      <c r="I1407" s="147"/>
      <c r="M1407" s="164"/>
      <c r="O1407" s="83"/>
      <c r="P1407" s="93"/>
      <c r="Q1407" s="83"/>
      <c r="R1407" s="83"/>
      <c r="S1407" s="83"/>
      <c r="T1407" s="83"/>
      <c r="U1407" s="83"/>
      <c r="V1407" s="83"/>
    </row>
    <row r="1408" spans="1:22" s="99" customFormat="1" x14ac:dyDescent="0.3">
      <c r="A1408" s="91"/>
      <c r="B1408" s="92"/>
      <c r="C1408" s="83"/>
      <c r="G1408" s="147"/>
      <c r="I1408" s="147"/>
      <c r="M1408" s="164"/>
      <c r="O1408" s="83"/>
      <c r="P1408" s="93"/>
      <c r="Q1408" s="83"/>
      <c r="R1408" s="83"/>
      <c r="S1408" s="83"/>
      <c r="T1408" s="83"/>
      <c r="U1408" s="83"/>
      <c r="V1408" s="83"/>
    </row>
    <row r="1409" spans="1:22" s="99" customFormat="1" x14ac:dyDescent="0.3">
      <c r="A1409" s="91"/>
      <c r="B1409" s="92"/>
      <c r="C1409" s="83"/>
      <c r="G1409" s="147"/>
      <c r="I1409" s="147"/>
      <c r="M1409" s="164"/>
      <c r="O1409" s="83"/>
      <c r="P1409" s="93"/>
      <c r="Q1409" s="83"/>
      <c r="R1409" s="83"/>
      <c r="S1409" s="83"/>
      <c r="T1409" s="83"/>
      <c r="U1409" s="83"/>
      <c r="V1409" s="83"/>
    </row>
    <row r="1410" spans="1:22" s="99" customFormat="1" x14ac:dyDescent="0.3">
      <c r="A1410" s="91"/>
      <c r="B1410" s="92"/>
      <c r="C1410" s="83"/>
      <c r="G1410" s="147"/>
      <c r="I1410" s="147"/>
      <c r="M1410" s="164"/>
      <c r="O1410" s="83"/>
      <c r="P1410" s="93"/>
      <c r="Q1410" s="83"/>
      <c r="R1410" s="83"/>
      <c r="S1410" s="83"/>
      <c r="T1410" s="83"/>
      <c r="U1410" s="83"/>
      <c r="V1410" s="83"/>
    </row>
    <row r="1411" spans="1:22" s="99" customFormat="1" x14ac:dyDescent="0.3">
      <c r="A1411" s="91"/>
      <c r="B1411" s="92"/>
      <c r="C1411" s="83"/>
      <c r="G1411" s="147"/>
      <c r="I1411" s="147"/>
      <c r="M1411" s="164"/>
      <c r="O1411" s="83"/>
      <c r="P1411" s="93"/>
      <c r="Q1411" s="83"/>
      <c r="R1411" s="83"/>
      <c r="S1411" s="83"/>
      <c r="T1411" s="83"/>
      <c r="U1411" s="83"/>
      <c r="V1411" s="83"/>
    </row>
    <row r="1412" spans="1:22" s="99" customFormat="1" x14ac:dyDescent="0.3">
      <c r="A1412" s="91"/>
      <c r="B1412" s="92"/>
      <c r="C1412" s="83"/>
      <c r="G1412" s="147"/>
      <c r="I1412" s="147"/>
      <c r="M1412" s="164"/>
      <c r="O1412" s="83"/>
      <c r="P1412" s="93"/>
      <c r="Q1412" s="83"/>
      <c r="R1412" s="83"/>
      <c r="S1412" s="83"/>
      <c r="T1412" s="83"/>
      <c r="U1412" s="83"/>
      <c r="V1412" s="83"/>
    </row>
    <row r="1413" spans="1:22" s="99" customFormat="1" x14ac:dyDescent="0.3">
      <c r="A1413" s="91"/>
      <c r="B1413" s="92"/>
      <c r="C1413" s="83"/>
      <c r="G1413" s="147"/>
      <c r="I1413" s="147"/>
      <c r="M1413" s="164"/>
      <c r="O1413" s="83"/>
      <c r="P1413" s="93"/>
      <c r="Q1413" s="83"/>
      <c r="R1413" s="83"/>
      <c r="S1413" s="83"/>
      <c r="T1413" s="83"/>
      <c r="U1413" s="83"/>
      <c r="V1413" s="83"/>
    </row>
    <row r="1414" spans="1:22" s="99" customFormat="1" x14ac:dyDescent="0.3">
      <c r="A1414" s="91"/>
      <c r="B1414" s="92"/>
      <c r="C1414" s="83"/>
      <c r="G1414" s="147"/>
      <c r="I1414" s="147"/>
      <c r="M1414" s="164"/>
      <c r="O1414" s="83"/>
      <c r="P1414" s="93"/>
      <c r="Q1414" s="83"/>
      <c r="R1414" s="83"/>
      <c r="S1414" s="83"/>
      <c r="T1414" s="83"/>
      <c r="U1414" s="83"/>
      <c r="V1414" s="83"/>
    </row>
    <row r="1415" spans="1:22" s="99" customFormat="1" x14ac:dyDescent="0.3">
      <c r="A1415" s="91"/>
      <c r="B1415" s="92"/>
      <c r="C1415" s="83"/>
      <c r="G1415" s="147"/>
      <c r="I1415" s="147"/>
      <c r="M1415" s="164"/>
      <c r="O1415" s="83"/>
      <c r="P1415" s="93"/>
      <c r="Q1415" s="83"/>
      <c r="R1415" s="83"/>
      <c r="S1415" s="83"/>
      <c r="T1415" s="83"/>
      <c r="U1415" s="83"/>
      <c r="V1415" s="83"/>
    </row>
    <row r="1416" spans="1:22" s="99" customFormat="1" x14ac:dyDescent="0.3">
      <c r="A1416" s="91"/>
      <c r="B1416" s="92"/>
      <c r="C1416" s="83"/>
      <c r="G1416" s="147"/>
      <c r="I1416" s="147"/>
      <c r="M1416" s="164"/>
      <c r="O1416" s="83"/>
      <c r="P1416" s="93"/>
      <c r="Q1416" s="83"/>
      <c r="R1416" s="83"/>
      <c r="S1416" s="83"/>
      <c r="T1416" s="83"/>
      <c r="U1416" s="83"/>
      <c r="V1416" s="83"/>
    </row>
    <row r="1417" spans="1:22" s="99" customFormat="1" x14ac:dyDescent="0.3">
      <c r="A1417" s="91"/>
      <c r="B1417" s="92"/>
      <c r="C1417" s="83"/>
      <c r="G1417" s="147"/>
      <c r="I1417" s="147"/>
      <c r="M1417" s="164"/>
      <c r="O1417" s="83"/>
      <c r="P1417" s="93"/>
      <c r="Q1417" s="83"/>
      <c r="R1417" s="83"/>
      <c r="S1417" s="83"/>
      <c r="T1417" s="83"/>
      <c r="U1417" s="83"/>
      <c r="V1417" s="83"/>
    </row>
    <row r="1418" spans="1:22" s="99" customFormat="1" x14ac:dyDescent="0.3">
      <c r="A1418" s="91"/>
      <c r="B1418" s="92"/>
      <c r="C1418" s="83"/>
      <c r="G1418" s="147"/>
      <c r="I1418" s="147"/>
      <c r="M1418" s="164"/>
      <c r="O1418" s="83"/>
      <c r="P1418" s="93"/>
      <c r="Q1418" s="83"/>
      <c r="R1418" s="83"/>
      <c r="S1418" s="83"/>
      <c r="T1418" s="83"/>
      <c r="U1418" s="83"/>
      <c r="V1418" s="83"/>
    </row>
    <row r="1419" spans="1:22" s="99" customFormat="1" x14ac:dyDescent="0.3">
      <c r="A1419" s="91"/>
      <c r="B1419" s="92"/>
      <c r="C1419" s="83"/>
      <c r="G1419" s="147"/>
      <c r="I1419" s="147"/>
      <c r="M1419" s="164"/>
      <c r="O1419" s="83"/>
      <c r="P1419" s="93"/>
      <c r="Q1419" s="83"/>
      <c r="R1419" s="83"/>
      <c r="S1419" s="83"/>
      <c r="T1419" s="83"/>
      <c r="U1419" s="83"/>
      <c r="V1419" s="83"/>
    </row>
    <row r="1420" spans="1:22" s="99" customFormat="1" x14ac:dyDescent="0.3">
      <c r="A1420" s="91"/>
      <c r="B1420" s="92"/>
      <c r="C1420" s="83"/>
      <c r="G1420" s="147"/>
      <c r="I1420" s="147"/>
      <c r="M1420" s="164"/>
      <c r="O1420" s="83"/>
      <c r="P1420" s="93"/>
      <c r="Q1420" s="83"/>
      <c r="R1420" s="83"/>
      <c r="S1420" s="83"/>
      <c r="T1420" s="83"/>
      <c r="U1420" s="83"/>
      <c r="V1420" s="83"/>
    </row>
    <row r="1421" spans="1:22" s="99" customFormat="1" x14ac:dyDescent="0.3">
      <c r="A1421" s="91"/>
      <c r="B1421" s="92"/>
      <c r="C1421" s="83"/>
      <c r="G1421" s="147"/>
      <c r="I1421" s="147"/>
      <c r="M1421" s="164"/>
      <c r="O1421" s="83"/>
      <c r="P1421" s="93"/>
      <c r="Q1421" s="83"/>
      <c r="R1421" s="83"/>
      <c r="S1421" s="83"/>
      <c r="T1421" s="83"/>
      <c r="U1421" s="83"/>
      <c r="V1421" s="83"/>
    </row>
    <row r="1422" spans="1:22" s="99" customFormat="1" x14ac:dyDescent="0.3">
      <c r="A1422" s="91"/>
      <c r="B1422" s="92"/>
      <c r="C1422" s="83"/>
      <c r="G1422" s="147"/>
      <c r="I1422" s="147"/>
      <c r="M1422" s="164"/>
      <c r="O1422" s="83"/>
      <c r="P1422" s="93"/>
      <c r="Q1422" s="83"/>
      <c r="R1422" s="83"/>
      <c r="S1422" s="83"/>
      <c r="T1422" s="83"/>
      <c r="U1422" s="83"/>
      <c r="V1422" s="83"/>
    </row>
    <row r="1423" spans="1:22" s="99" customFormat="1" x14ac:dyDescent="0.3">
      <c r="A1423" s="91"/>
      <c r="B1423" s="92"/>
      <c r="C1423" s="83"/>
      <c r="G1423" s="147"/>
      <c r="I1423" s="147"/>
      <c r="M1423" s="164"/>
      <c r="O1423" s="83"/>
      <c r="P1423" s="93"/>
      <c r="Q1423" s="83"/>
      <c r="R1423" s="83"/>
      <c r="S1423" s="83"/>
      <c r="T1423" s="83"/>
      <c r="U1423" s="83"/>
      <c r="V1423" s="83"/>
    </row>
    <row r="1424" spans="1:22" s="99" customFormat="1" x14ac:dyDescent="0.3">
      <c r="A1424" s="91"/>
      <c r="B1424" s="92"/>
      <c r="C1424" s="83"/>
      <c r="G1424" s="147"/>
      <c r="I1424" s="149"/>
      <c r="M1424" s="164"/>
      <c r="O1424" s="83"/>
      <c r="P1424" s="93"/>
      <c r="Q1424" s="83"/>
      <c r="R1424" s="83"/>
      <c r="S1424" s="83"/>
      <c r="T1424" s="83"/>
      <c r="U1424" s="83"/>
      <c r="V1424" s="83"/>
    </row>
    <row r="1425" spans="1:22" s="99" customFormat="1" x14ac:dyDescent="0.3">
      <c r="A1425" s="91"/>
      <c r="B1425" s="92"/>
      <c r="C1425" s="83"/>
      <c r="G1425" s="147"/>
      <c r="I1425" s="147"/>
      <c r="M1425" s="164"/>
      <c r="O1425" s="83"/>
      <c r="P1425" s="93"/>
      <c r="Q1425" s="83"/>
      <c r="R1425" s="83"/>
      <c r="S1425" s="83"/>
      <c r="T1425" s="83"/>
      <c r="U1425" s="83"/>
      <c r="V1425" s="83"/>
    </row>
    <row r="1426" spans="1:22" s="99" customFormat="1" x14ac:dyDescent="0.3">
      <c r="A1426" s="91"/>
      <c r="B1426" s="92"/>
      <c r="C1426" s="83"/>
      <c r="G1426" s="147"/>
      <c r="I1426" s="147"/>
      <c r="M1426" s="164"/>
      <c r="O1426" s="83"/>
      <c r="P1426" s="93"/>
      <c r="Q1426" s="83"/>
      <c r="R1426" s="83"/>
      <c r="S1426" s="83"/>
      <c r="T1426" s="83"/>
      <c r="U1426" s="83"/>
      <c r="V1426" s="83"/>
    </row>
    <row r="1427" spans="1:22" s="99" customFormat="1" x14ac:dyDescent="0.3">
      <c r="A1427" s="91"/>
      <c r="B1427" s="92"/>
      <c r="C1427" s="83"/>
      <c r="G1427" s="147"/>
      <c r="I1427" s="147"/>
      <c r="M1427" s="164"/>
      <c r="O1427" s="83"/>
      <c r="P1427" s="93"/>
      <c r="Q1427" s="83"/>
      <c r="R1427" s="83"/>
      <c r="S1427" s="83"/>
      <c r="T1427" s="83"/>
      <c r="U1427" s="83"/>
      <c r="V1427" s="83"/>
    </row>
    <row r="1428" spans="1:22" s="99" customFormat="1" x14ac:dyDescent="0.3">
      <c r="A1428" s="91"/>
      <c r="B1428" s="92"/>
      <c r="C1428" s="83"/>
      <c r="G1428" s="147"/>
      <c r="I1428" s="147"/>
      <c r="M1428" s="164"/>
      <c r="O1428" s="83"/>
      <c r="P1428" s="93"/>
      <c r="Q1428" s="83"/>
      <c r="R1428" s="83"/>
      <c r="S1428" s="83"/>
      <c r="T1428" s="83"/>
      <c r="U1428" s="83"/>
      <c r="V1428" s="83"/>
    </row>
    <row r="1429" spans="1:22" s="99" customFormat="1" x14ac:dyDescent="0.3">
      <c r="A1429" s="91"/>
      <c r="B1429" s="92"/>
      <c r="C1429" s="83"/>
      <c r="G1429" s="147"/>
      <c r="I1429" s="147"/>
      <c r="M1429" s="164"/>
      <c r="O1429" s="83"/>
      <c r="P1429" s="93"/>
      <c r="Q1429" s="83"/>
      <c r="R1429" s="83"/>
      <c r="S1429" s="83"/>
      <c r="T1429" s="83"/>
      <c r="U1429" s="83"/>
      <c r="V1429" s="83"/>
    </row>
    <row r="1430" spans="1:22" s="99" customFormat="1" x14ac:dyDescent="0.3">
      <c r="A1430" s="91"/>
      <c r="B1430" s="92"/>
      <c r="C1430" s="83"/>
      <c r="G1430" s="147"/>
      <c r="I1430" s="147"/>
      <c r="M1430" s="164"/>
      <c r="O1430" s="83"/>
      <c r="P1430" s="93"/>
      <c r="Q1430" s="83"/>
      <c r="R1430" s="83"/>
      <c r="S1430" s="83"/>
      <c r="T1430" s="83"/>
      <c r="U1430" s="83"/>
      <c r="V1430" s="83"/>
    </row>
    <row r="1431" spans="1:22" s="99" customFormat="1" x14ac:dyDescent="0.3">
      <c r="A1431" s="91"/>
      <c r="B1431" s="92"/>
      <c r="C1431" s="83"/>
      <c r="G1431" s="147"/>
      <c r="I1431" s="147"/>
      <c r="M1431" s="164"/>
      <c r="O1431" s="83"/>
      <c r="P1431" s="93"/>
      <c r="Q1431" s="83"/>
      <c r="R1431" s="83"/>
      <c r="S1431" s="83"/>
      <c r="T1431" s="83"/>
      <c r="U1431" s="83"/>
      <c r="V1431" s="83"/>
    </row>
    <row r="1432" spans="1:22" s="99" customFormat="1" x14ac:dyDescent="0.3">
      <c r="A1432" s="91"/>
      <c r="B1432" s="92"/>
      <c r="C1432" s="83"/>
      <c r="G1432" s="147"/>
      <c r="I1432" s="147"/>
      <c r="M1432" s="164"/>
      <c r="O1432" s="83"/>
      <c r="P1432" s="93"/>
      <c r="Q1432" s="83"/>
      <c r="R1432" s="83"/>
      <c r="S1432" s="83"/>
      <c r="T1432" s="83"/>
      <c r="U1432" s="83"/>
      <c r="V1432" s="83"/>
    </row>
    <row r="1433" spans="1:22" s="99" customFormat="1" x14ac:dyDescent="0.3">
      <c r="A1433" s="91"/>
      <c r="B1433" s="92"/>
      <c r="C1433" s="83"/>
      <c r="G1433" s="147"/>
      <c r="I1433" s="147"/>
      <c r="M1433" s="164"/>
      <c r="O1433" s="83"/>
      <c r="P1433" s="93"/>
      <c r="Q1433" s="83"/>
      <c r="R1433" s="83"/>
      <c r="S1433" s="83"/>
      <c r="T1433" s="83"/>
      <c r="U1433" s="83"/>
      <c r="V1433" s="83"/>
    </row>
    <row r="1434" spans="1:22" s="99" customFormat="1" x14ac:dyDescent="0.3">
      <c r="A1434" s="91"/>
      <c r="B1434" s="92"/>
      <c r="C1434" s="83"/>
      <c r="G1434" s="147"/>
      <c r="I1434" s="147"/>
      <c r="M1434" s="164"/>
      <c r="O1434" s="83"/>
      <c r="P1434" s="93"/>
      <c r="Q1434" s="83"/>
      <c r="R1434" s="83"/>
      <c r="S1434" s="83"/>
      <c r="T1434" s="83"/>
      <c r="U1434" s="83"/>
      <c r="V1434" s="83"/>
    </row>
    <row r="1435" spans="1:22" s="99" customFormat="1" x14ac:dyDescent="0.3">
      <c r="A1435" s="91"/>
      <c r="B1435" s="92"/>
      <c r="C1435" s="83"/>
      <c r="G1435" s="147"/>
      <c r="I1435" s="147"/>
      <c r="M1435" s="164"/>
      <c r="O1435" s="83"/>
      <c r="P1435" s="93"/>
      <c r="Q1435" s="83"/>
      <c r="R1435" s="83"/>
      <c r="S1435" s="83"/>
      <c r="T1435" s="83"/>
      <c r="U1435" s="83"/>
      <c r="V1435" s="83"/>
    </row>
    <row r="1436" spans="1:22" s="99" customFormat="1" x14ac:dyDescent="0.3">
      <c r="A1436" s="83"/>
      <c r="B1436" s="92"/>
      <c r="C1436" s="83"/>
      <c r="G1436" s="147"/>
      <c r="I1436" s="147"/>
      <c r="M1436" s="164"/>
      <c r="O1436" s="83"/>
      <c r="P1436" s="93"/>
      <c r="Q1436" s="83"/>
      <c r="R1436" s="83"/>
      <c r="S1436" s="83"/>
      <c r="T1436" s="83"/>
      <c r="U1436" s="83"/>
      <c r="V1436" s="83"/>
    </row>
    <row r="1437" spans="1:22" s="99" customFormat="1" x14ac:dyDescent="0.3">
      <c r="A1437" s="83"/>
      <c r="B1437" s="92"/>
      <c r="C1437" s="83"/>
      <c r="G1437" s="147"/>
      <c r="I1437" s="147"/>
      <c r="M1437" s="164"/>
      <c r="O1437" s="83"/>
      <c r="P1437" s="93"/>
      <c r="Q1437" s="83"/>
      <c r="R1437" s="83"/>
      <c r="S1437" s="83"/>
      <c r="T1437" s="83"/>
      <c r="U1437" s="83"/>
      <c r="V1437" s="83"/>
    </row>
    <row r="1438" spans="1:22" s="99" customFormat="1" x14ac:dyDescent="0.3">
      <c r="A1438" s="83"/>
      <c r="B1438" s="92"/>
      <c r="C1438" s="83"/>
      <c r="G1438" s="147"/>
      <c r="I1438" s="147"/>
      <c r="M1438" s="164"/>
      <c r="O1438" s="83"/>
      <c r="P1438" s="93"/>
      <c r="Q1438" s="83"/>
      <c r="R1438" s="83"/>
      <c r="S1438" s="83"/>
      <c r="T1438" s="83"/>
      <c r="U1438" s="83"/>
      <c r="V1438" s="83"/>
    </row>
    <row r="1439" spans="1:22" s="99" customFormat="1" x14ac:dyDescent="0.3">
      <c r="A1439" s="83"/>
      <c r="B1439" s="92"/>
      <c r="C1439" s="83"/>
      <c r="G1439" s="147"/>
      <c r="I1439" s="147"/>
      <c r="M1439" s="164"/>
      <c r="O1439" s="83"/>
      <c r="P1439" s="93"/>
      <c r="Q1439" s="83"/>
      <c r="R1439" s="83"/>
      <c r="S1439" s="83"/>
      <c r="T1439" s="83"/>
      <c r="U1439" s="83"/>
      <c r="V1439" s="83"/>
    </row>
    <row r="1440" spans="1:22" s="99" customFormat="1" x14ac:dyDescent="0.3">
      <c r="A1440" s="83"/>
      <c r="B1440" s="92"/>
      <c r="C1440" s="83"/>
      <c r="G1440" s="147"/>
      <c r="I1440" s="147"/>
      <c r="M1440" s="164"/>
      <c r="O1440" s="83"/>
      <c r="P1440" s="93"/>
      <c r="Q1440" s="83"/>
      <c r="R1440" s="83"/>
      <c r="S1440" s="83"/>
      <c r="T1440" s="83"/>
      <c r="U1440" s="83"/>
      <c r="V1440" s="83"/>
    </row>
    <row r="1441" spans="1:22" s="99" customFormat="1" x14ac:dyDescent="0.3">
      <c r="A1441" s="83"/>
      <c r="B1441" s="92"/>
      <c r="C1441" s="83"/>
      <c r="G1441" s="147"/>
      <c r="I1441" s="147"/>
      <c r="M1441" s="164"/>
      <c r="O1441" s="83"/>
      <c r="P1441" s="93"/>
      <c r="Q1441" s="83"/>
      <c r="R1441" s="83"/>
      <c r="S1441" s="83"/>
      <c r="T1441" s="83"/>
      <c r="U1441" s="83"/>
      <c r="V1441" s="83"/>
    </row>
    <row r="1442" spans="1:22" s="99" customFormat="1" x14ac:dyDescent="0.3">
      <c r="A1442" s="83"/>
      <c r="B1442" s="92"/>
      <c r="C1442" s="83"/>
      <c r="G1442" s="147"/>
      <c r="I1442" s="147"/>
      <c r="M1442" s="164"/>
      <c r="O1442" s="83"/>
      <c r="P1442" s="93"/>
      <c r="Q1442" s="83"/>
      <c r="R1442" s="83"/>
      <c r="S1442" s="83"/>
      <c r="T1442" s="83"/>
      <c r="U1442" s="83"/>
      <c r="V1442" s="83"/>
    </row>
    <row r="1443" spans="1:22" s="99" customFormat="1" x14ac:dyDescent="0.3">
      <c r="A1443" s="83"/>
      <c r="B1443" s="92"/>
      <c r="C1443" s="83"/>
      <c r="G1443" s="147"/>
      <c r="I1443" s="147"/>
      <c r="M1443" s="164"/>
      <c r="O1443" s="83"/>
      <c r="P1443" s="93"/>
      <c r="Q1443" s="83"/>
      <c r="R1443" s="83"/>
      <c r="S1443" s="83"/>
      <c r="T1443" s="83"/>
      <c r="U1443" s="83"/>
      <c r="V1443" s="83"/>
    </row>
    <row r="1444" spans="1:22" s="99" customFormat="1" x14ac:dyDescent="0.3">
      <c r="A1444" s="83"/>
      <c r="B1444" s="92"/>
      <c r="C1444" s="83"/>
      <c r="G1444" s="147"/>
      <c r="I1444" s="147"/>
      <c r="M1444" s="164"/>
      <c r="O1444" s="83"/>
      <c r="P1444" s="93"/>
      <c r="Q1444" s="83"/>
      <c r="R1444" s="83"/>
      <c r="S1444" s="83"/>
      <c r="T1444" s="83"/>
      <c r="U1444" s="83"/>
      <c r="V1444" s="83"/>
    </row>
    <row r="1445" spans="1:22" s="99" customFormat="1" x14ac:dyDescent="0.3">
      <c r="A1445" s="83"/>
      <c r="B1445" s="92"/>
      <c r="C1445" s="83"/>
      <c r="G1445" s="147"/>
      <c r="I1445" s="147"/>
      <c r="M1445" s="164"/>
      <c r="O1445" s="83"/>
      <c r="P1445" s="93"/>
      <c r="Q1445" s="83"/>
      <c r="R1445" s="83"/>
      <c r="S1445" s="83"/>
      <c r="T1445" s="83"/>
      <c r="U1445" s="83"/>
      <c r="V1445" s="83"/>
    </row>
    <row r="1446" spans="1:22" s="99" customFormat="1" x14ac:dyDescent="0.3">
      <c r="A1446" s="83"/>
      <c r="B1446" s="92"/>
      <c r="C1446" s="83"/>
      <c r="G1446" s="147"/>
      <c r="I1446" s="147"/>
      <c r="M1446" s="164"/>
      <c r="O1446" s="83"/>
      <c r="P1446" s="93"/>
      <c r="Q1446" s="83"/>
      <c r="R1446" s="83"/>
      <c r="S1446" s="83"/>
      <c r="T1446" s="83"/>
      <c r="U1446" s="83"/>
      <c r="V1446" s="83"/>
    </row>
    <row r="1447" spans="1:22" s="99" customFormat="1" x14ac:dyDescent="0.3">
      <c r="A1447" s="83"/>
      <c r="B1447" s="92"/>
      <c r="C1447" s="83"/>
      <c r="G1447" s="147"/>
      <c r="I1447" s="147"/>
      <c r="M1447" s="164"/>
      <c r="O1447" s="83"/>
      <c r="P1447" s="93"/>
      <c r="Q1447" s="83"/>
      <c r="R1447" s="83"/>
      <c r="S1447" s="83"/>
      <c r="T1447" s="83"/>
      <c r="U1447" s="83"/>
      <c r="V1447" s="83"/>
    </row>
    <row r="1448" spans="1:22" s="99" customFormat="1" x14ac:dyDescent="0.3">
      <c r="A1448" s="83"/>
      <c r="B1448" s="92"/>
      <c r="C1448" s="83"/>
      <c r="G1448" s="147"/>
      <c r="I1448" s="147"/>
      <c r="M1448" s="164"/>
      <c r="O1448" s="83"/>
      <c r="P1448" s="93"/>
      <c r="Q1448" s="83"/>
      <c r="R1448" s="83"/>
      <c r="S1448" s="83"/>
      <c r="T1448" s="83"/>
      <c r="U1448" s="83"/>
      <c r="V1448" s="83"/>
    </row>
    <row r="1449" spans="1:22" s="99" customFormat="1" x14ac:dyDescent="0.3">
      <c r="A1449" s="83"/>
      <c r="B1449" s="92"/>
      <c r="C1449" s="83"/>
      <c r="G1449" s="147"/>
      <c r="I1449" s="147"/>
      <c r="M1449" s="164"/>
      <c r="O1449" s="83"/>
      <c r="P1449" s="93"/>
      <c r="Q1449" s="83"/>
      <c r="R1449" s="83"/>
      <c r="S1449" s="83"/>
      <c r="T1449" s="83"/>
      <c r="U1449" s="83"/>
      <c r="V1449" s="83"/>
    </row>
    <row r="1450" spans="1:22" s="99" customFormat="1" x14ac:dyDescent="0.3">
      <c r="A1450" s="83"/>
      <c r="B1450" s="92"/>
      <c r="C1450" s="83"/>
      <c r="G1450" s="147"/>
      <c r="I1450" s="147"/>
      <c r="M1450" s="164"/>
      <c r="O1450" s="83"/>
      <c r="P1450" s="93"/>
      <c r="Q1450" s="83"/>
      <c r="R1450" s="83"/>
      <c r="S1450" s="83"/>
      <c r="T1450" s="83"/>
      <c r="U1450" s="83"/>
      <c r="V1450" s="83"/>
    </row>
    <row r="1451" spans="1:22" s="99" customFormat="1" x14ac:dyDescent="0.3">
      <c r="A1451" s="83"/>
      <c r="B1451" s="92"/>
      <c r="C1451" s="83"/>
      <c r="G1451" s="147"/>
      <c r="I1451" s="147"/>
      <c r="M1451" s="164"/>
      <c r="O1451" s="83"/>
      <c r="P1451" s="93"/>
      <c r="Q1451" s="83"/>
      <c r="R1451" s="83"/>
      <c r="S1451" s="83"/>
      <c r="T1451" s="83"/>
      <c r="U1451" s="83"/>
      <c r="V1451" s="83"/>
    </row>
    <row r="1452" spans="1:22" s="99" customFormat="1" x14ac:dyDescent="0.3">
      <c r="A1452" s="83"/>
      <c r="B1452" s="92"/>
      <c r="C1452" s="83"/>
      <c r="G1452" s="147"/>
      <c r="I1452" s="147"/>
      <c r="M1452" s="164"/>
      <c r="O1452" s="83"/>
      <c r="P1452" s="93"/>
      <c r="Q1452" s="83"/>
      <c r="R1452" s="83"/>
      <c r="S1452" s="83"/>
      <c r="T1452" s="83"/>
      <c r="U1452" s="83"/>
      <c r="V1452" s="83"/>
    </row>
    <row r="1453" spans="1:22" s="99" customFormat="1" x14ac:dyDescent="0.3">
      <c r="A1453" s="83"/>
      <c r="B1453" s="92"/>
      <c r="C1453" s="83"/>
      <c r="G1453" s="147"/>
      <c r="I1453" s="147"/>
      <c r="M1453" s="164"/>
      <c r="O1453" s="83"/>
      <c r="P1453" s="93"/>
      <c r="Q1453" s="83"/>
      <c r="R1453" s="83"/>
      <c r="S1453" s="83"/>
      <c r="T1453" s="83"/>
      <c r="U1453" s="83"/>
      <c r="V1453" s="83"/>
    </row>
    <row r="1454" spans="1:22" s="99" customFormat="1" x14ac:dyDescent="0.3">
      <c r="A1454" s="83"/>
      <c r="B1454" s="92"/>
      <c r="C1454" s="83"/>
      <c r="G1454" s="147"/>
      <c r="I1454" s="147"/>
      <c r="M1454" s="164"/>
      <c r="O1454" s="83"/>
      <c r="P1454" s="93"/>
      <c r="Q1454" s="83"/>
      <c r="R1454" s="83"/>
      <c r="S1454" s="83"/>
      <c r="T1454" s="83"/>
      <c r="U1454" s="83"/>
      <c r="V1454" s="83"/>
    </row>
    <row r="1455" spans="1:22" s="99" customFormat="1" x14ac:dyDescent="0.3">
      <c r="A1455" s="83"/>
      <c r="B1455" s="92"/>
      <c r="C1455" s="83"/>
      <c r="G1455" s="147"/>
      <c r="I1455" s="147"/>
      <c r="M1455" s="164"/>
      <c r="O1455" s="83"/>
      <c r="P1455" s="93"/>
      <c r="Q1455" s="83"/>
      <c r="R1455" s="83"/>
      <c r="S1455" s="83"/>
      <c r="T1455" s="83"/>
      <c r="U1455" s="83"/>
      <c r="V1455" s="83"/>
    </row>
    <row r="1456" spans="1:22" s="99" customFormat="1" x14ac:dyDescent="0.3">
      <c r="A1456" s="83"/>
      <c r="B1456" s="92"/>
      <c r="C1456" s="83"/>
      <c r="G1456" s="147"/>
      <c r="I1456" s="147"/>
      <c r="M1456" s="164"/>
      <c r="O1456" s="83"/>
      <c r="P1456" s="93"/>
      <c r="Q1456" s="83"/>
      <c r="R1456" s="83"/>
      <c r="S1456" s="83"/>
      <c r="T1456" s="83"/>
      <c r="U1456" s="83"/>
      <c r="V1456" s="83"/>
    </row>
    <row r="1457" spans="1:22" s="99" customFormat="1" x14ac:dyDescent="0.3">
      <c r="A1457" s="83"/>
      <c r="B1457" s="92"/>
      <c r="C1457" s="83"/>
      <c r="G1457" s="147"/>
      <c r="I1457" s="147"/>
      <c r="M1457" s="164"/>
      <c r="O1457" s="83"/>
      <c r="P1457" s="93"/>
      <c r="Q1457" s="83"/>
      <c r="R1457" s="83"/>
      <c r="S1457" s="83"/>
      <c r="T1457" s="83"/>
      <c r="U1457" s="83"/>
      <c r="V1457" s="83"/>
    </row>
    <row r="1458" spans="1:22" s="99" customFormat="1" x14ac:dyDescent="0.3">
      <c r="A1458" s="83"/>
      <c r="B1458" s="92"/>
      <c r="C1458" s="83"/>
      <c r="G1458" s="147"/>
      <c r="I1458" s="147"/>
      <c r="M1458" s="164"/>
      <c r="O1458" s="83"/>
      <c r="P1458" s="93"/>
      <c r="Q1458" s="83"/>
      <c r="R1458" s="83"/>
      <c r="S1458" s="83"/>
      <c r="T1458" s="83"/>
      <c r="U1458" s="83"/>
      <c r="V1458" s="83"/>
    </row>
    <row r="1459" spans="1:22" s="99" customFormat="1" x14ac:dyDescent="0.3">
      <c r="A1459" s="83"/>
      <c r="B1459" s="92"/>
      <c r="C1459" s="83"/>
      <c r="G1459" s="147"/>
      <c r="I1459" s="147"/>
      <c r="M1459" s="164"/>
      <c r="O1459" s="83"/>
      <c r="P1459" s="93"/>
      <c r="Q1459" s="83"/>
      <c r="R1459" s="83"/>
      <c r="S1459" s="83"/>
      <c r="T1459" s="83"/>
      <c r="U1459" s="83"/>
      <c r="V1459" s="83"/>
    </row>
    <row r="1460" spans="1:22" s="99" customFormat="1" x14ac:dyDescent="0.3">
      <c r="A1460" s="83"/>
      <c r="B1460" s="92"/>
      <c r="C1460" s="83"/>
      <c r="G1460" s="147"/>
      <c r="I1460" s="147"/>
      <c r="M1460" s="164"/>
      <c r="O1460" s="83"/>
      <c r="P1460" s="93"/>
      <c r="Q1460" s="83"/>
      <c r="R1460" s="83"/>
      <c r="S1460" s="83"/>
      <c r="T1460" s="83"/>
      <c r="U1460" s="83"/>
      <c r="V1460" s="83"/>
    </row>
    <row r="1461" spans="1:22" s="99" customFormat="1" x14ac:dyDescent="0.3">
      <c r="A1461" s="83"/>
      <c r="B1461" s="92"/>
      <c r="C1461" s="83"/>
      <c r="G1461" s="147"/>
      <c r="I1461" s="147"/>
      <c r="M1461" s="164"/>
      <c r="O1461" s="83"/>
      <c r="P1461" s="93"/>
      <c r="Q1461" s="83"/>
      <c r="R1461" s="83"/>
      <c r="S1461" s="83"/>
      <c r="T1461" s="83"/>
      <c r="U1461" s="83"/>
      <c r="V1461" s="83"/>
    </row>
    <row r="1462" spans="1:22" s="99" customFormat="1" x14ac:dyDescent="0.3">
      <c r="A1462" s="83"/>
      <c r="B1462" s="92"/>
      <c r="C1462" s="83"/>
      <c r="G1462" s="147"/>
      <c r="I1462" s="147"/>
      <c r="M1462" s="164"/>
      <c r="O1462" s="83"/>
      <c r="P1462" s="93"/>
      <c r="Q1462" s="83"/>
      <c r="R1462" s="83"/>
      <c r="S1462" s="83"/>
      <c r="T1462" s="83"/>
      <c r="U1462" s="83"/>
      <c r="V1462" s="83"/>
    </row>
    <row r="1463" spans="1:22" s="99" customFormat="1" x14ac:dyDescent="0.3">
      <c r="A1463" s="83"/>
      <c r="B1463" s="92"/>
      <c r="C1463" s="83"/>
      <c r="G1463" s="147"/>
      <c r="I1463" s="147"/>
      <c r="M1463" s="164"/>
      <c r="O1463" s="83"/>
      <c r="P1463" s="93"/>
      <c r="Q1463" s="83"/>
      <c r="R1463" s="83"/>
      <c r="S1463" s="83"/>
      <c r="T1463" s="83"/>
      <c r="U1463" s="83"/>
      <c r="V1463" s="83"/>
    </row>
    <row r="1464" spans="1:22" s="99" customFormat="1" x14ac:dyDescent="0.3">
      <c r="A1464" s="83"/>
      <c r="B1464" s="92"/>
      <c r="C1464" s="83"/>
      <c r="G1464" s="147"/>
      <c r="I1464" s="147"/>
      <c r="M1464" s="164"/>
      <c r="O1464" s="83"/>
      <c r="P1464" s="93"/>
      <c r="Q1464" s="83"/>
      <c r="R1464" s="83"/>
      <c r="S1464" s="83"/>
      <c r="T1464" s="83"/>
      <c r="U1464" s="83"/>
      <c r="V1464" s="83"/>
    </row>
    <row r="1465" spans="1:22" s="99" customFormat="1" x14ac:dyDescent="0.3">
      <c r="A1465" s="83"/>
      <c r="B1465" s="92"/>
      <c r="C1465" s="83"/>
      <c r="G1465" s="147"/>
      <c r="I1465" s="147"/>
      <c r="M1465" s="164"/>
      <c r="O1465" s="83"/>
      <c r="P1465" s="93"/>
      <c r="Q1465" s="83"/>
      <c r="R1465" s="83"/>
      <c r="S1465" s="83"/>
      <c r="T1465" s="83"/>
      <c r="U1465" s="83"/>
      <c r="V1465" s="83"/>
    </row>
    <row r="1466" spans="1:22" s="99" customFormat="1" x14ac:dyDescent="0.3">
      <c r="A1466" s="83"/>
      <c r="B1466" s="92"/>
      <c r="C1466" s="83"/>
      <c r="G1466" s="147"/>
      <c r="I1466" s="147"/>
      <c r="M1466" s="164"/>
      <c r="O1466" s="83"/>
      <c r="P1466" s="93"/>
      <c r="Q1466" s="83"/>
      <c r="R1466" s="83"/>
      <c r="S1466" s="83"/>
      <c r="T1466" s="83"/>
      <c r="U1466" s="83"/>
      <c r="V1466" s="83"/>
    </row>
    <row r="1467" spans="1:22" s="99" customFormat="1" x14ac:dyDescent="0.3">
      <c r="A1467" s="83"/>
      <c r="B1467" s="92"/>
      <c r="C1467" s="83"/>
      <c r="G1467" s="147"/>
      <c r="I1467" s="147"/>
      <c r="M1467" s="164"/>
      <c r="O1467" s="83"/>
      <c r="P1467" s="93"/>
      <c r="Q1467" s="83"/>
      <c r="R1467" s="83"/>
      <c r="S1467" s="83"/>
      <c r="T1467" s="83"/>
      <c r="U1467" s="83"/>
      <c r="V1467" s="83"/>
    </row>
    <row r="1468" spans="1:22" s="99" customFormat="1" x14ac:dyDescent="0.3">
      <c r="A1468" s="83"/>
      <c r="B1468" s="92"/>
      <c r="C1468" s="83"/>
      <c r="G1468" s="147"/>
      <c r="I1468" s="147"/>
      <c r="M1468" s="164"/>
      <c r="O1468" s="83"/>
      <c r="P1468" s="93"/>
      <c r="Q1468" s="83"/>
      <c r="R1468" s="83"/>
      <c r="S1468" s="83"/>
      <c r="T1468" s="83"/>
      <c r="U1468" s="83"/>
      <c r="V1468" s="83"/>
    </row>
    <row r="1469" spans="1:22" s="99" customFormat="1" x14ac:dyDescent="0.3">
      <c r="A1469" s="83"/>
      <c r="B1469" s="92"/>
      <c r="C1469" s="83"/>
      <c r="G1469" s="147"/>
      <c r="I1469" s="147"/>
      <c r="M1469" s="164"/>
      <c r="O1469" s="83"/>
      <c r="P1469" s="93"/>
      <c r="Q1469" s="83"/>
      <c r="R1469" s="83"/>
      <c r="S1469" s="83"/>
      <c r="T1469" s="83"/>
      <c r="U1469" s="83"/>
      <c r="V1469" s="83"/>
    </row>
    <row r="1470" spans="1:22" s="99" customFormat="1" x14ac:dyDescent="0.3">
      <c r="A1470" s="83"/>
      <c r="B1470" s="92"/>
      <c r="C1470" s="83"/>
      <c r="G1470" s="147"/>
      <c r="I1470" s="147"/>
      <c r="M1470" s="164"/>
      <c r="O1470" s="83"/>
      <c r="P1470" s="93"/>
      <c r="Q1470" s="83"/>
      <c r="R1470" s="83"/>
      <c r="S1470" s="83"/>
      <c r="T1470" s="83"/>
      <c r="U1470" s="83"/>
      <c r="V1470" s="83"/>
    </row>
    <row r="1471" spans="1:22" s="99" customFormat="1" x14ac:dyDescent="0.3">
      <c r="A1471" s="83"/>
      <c r="B1471" s="92"/>
      <c r="C1471" s="83"/>
      <c r="G1471" s="147"/>
      <c r="I1471" s="147"/>
      <c r="M1471" s="164"/>
      <c r="O1471" s="83"/>
      <c r="P1471" s="93"/>
      <c r="Q1471" s="83"/>
      <c r="R1471" s="83"/>
      <c r="S1471" s="83"/>
      <c r="T1471" s="83"/>
      <c r="U1471" s="83"/>
      <c r="V1471" s="83"/>
    </row>
    <row r="1472" spans="1:22" s="99" customFormat="1" x14ac:dyDescent="0.3">
      <c r="A1472" s="83"/>
      <c r="B1472" s="92"/>
      <c r="C1472" s="83"/>
      <c r="G1472" s="147"/>
      <c r="I1472" s="147"/>
      <c r="M1472" s="164"/>
      <c r="O1472" s="83"/>
      <c r="P1472" s="93"/>
      <c r="Q1472" s="83"/>
      <c r="R1472" s="83"/>
      <c r="S1472" s="83"/>
      <c r="T1472" s="83"/>
      <c r="U1472" s="83"/>
      <c r="V1472" s="83"/>
    </row>
    <row r="1473" spans="1:22" s="99" customFormat="1" x14ac:dyDescent="0.3">
      <c r="A1473" s="83"/>
      <c r="B1473" s="92"/>
      <c r="C1473" s="83"/>
      <c r="G1473" s="147"/>
      <c r="I1473" s="147"/>
      <c r="M1473" s="164"/>
      <c r="O1473" s="83"/>
      <c r="P1473" s="93"/>
      <c r="Q1473" s="83"/>
      <c r="R1473" s="83"/>
      <c r="S1473" s="83"/>
      <c r="T1473" s="83"/>
      <c r="U1473" s="83"/>
      <c r="V1473" s="83"/>
    </row>
    <row r="1474" spans="1:22" s="99" customFormat="1" x14ac:dyDescent="0.3">
      <c r="A1474" s="83"/>
      <c r="B1474" s="92"/>
      <c r="C1474" s="83"/>
      <c r="G1474" s="147"/>
      <c r="I1474" s="149"/>
      <c r="M1474" s="164"/>
      <c r="O1474" s="83"/>
      <c r="P1474" s="93"/>
      <c r="Q1474" s="83"/>
      <c r="R1474" s="83"/>
      <c r="S1474" s="83"/>
      <c r="T1474" s="83"/>
      <c r="U1474" s="83"/>
      <c r="V1474" s="83"/>
    </row>
    <row r="1475" spans="1:22" s="99" customFormat="1" x14ac:dyDescent="0.3">
      <c r="A1475" s="83"/>
      <c r="B1475" s="92"/>
      <c r="C1475" s="83"/>
      <c r="G1475" s="147"/>
      <c r="I1475" s="147"/>
      <c r="M1475" s="164"/>
      <c r="O1475" s="83"/>
      <c r="P1475" s="93"/>
      <c r="Q1475" s="83"/>
      <c r="R1475" s="83"/>
      <c r="S1475" s="83"/>
      <c r="T1475" s="83"/>
      <c r="U1475" s="83"/>
      <c r="V1475" s="83"/>
    </row>
    <row r="1476" spans="1:22" s="99" customFormat="1" x14ac:dyDescent="0.3">
      <c r="A1476" s="83"/>
      <c r="B1476" s="92"/>
      <c r="C1476" s="83"/>
      <c r="G1476" s="147"/>
      <c r="I1476" s="147"/>
      <c r="M1476" s="164"/>
      <c r="O1476" s="83"/>
      <c r="P1476" s="93"/>
      <c r="Q1476" s="83"/>
      <c r="R1476" s="83"/>
      <c r="S1476" s="83"/>
      <c r="T1476" s="83"/>
      <c r="U1476" s="83"/>
      <c r="V1476" s="83"/>
    </row>
    <row r="1477" spans="1:22" s="99" customFormat="1" x14ac:dyDescent="0.3">
      <c r="A1477" s="83"/>
      <c r="B1477" s="92"/>
      <c r="C1477" s="83"/>
      <c r="G1477" s="147"/>
      <c r="I1477" s="147"/>
      <c r="M1477" s="164"/>
      <c r="O1477" s="83"/>
      <c r="P1477" s="93"/>
      <c r="Q1477" s="83"/>
      <c r="R1477" s="83"/>
      <c r="S1477" s="83"/>
      <c r="T1477" s="83"/>
      <c r="U1477" s="83"/>
      <c r="V1477" s="83"/>
    </row>
    <row r="1478" spans="1:22" s="99" customFormat="1" x14ac:dyDescent="0.3">
      <c r="A1478" s="83"/>
      <c r="B1478" s="92"/>
      <c r="C1478" s="83"/>
      <c r="G1478" s="147"/>
      <c r="I1478" s="147"/>
      <c r="M1478" s="164"/>
      <c r="O1478" s="83"/>
      <c r="P1478" s="93"/>
      <c r="Q1478" s="83"/>
      <c r="R1478" s="83"/>
      <c r="S1478" s="83"/>
      <c r="T1478" s="83"/>
      <c r="U1478" s="83"/>
      <c r="V1478" s="83"/>
    </row>
    <row r="1479" spans="1:22" s="99" customFormat="1" x14ac:dyDescent="0.3">
      <c r="A1479" s="83"/>
      <c r="B1479" s="92"/>
      <c r="C1479" s="83"/>
      <c r="G1479" s="147"/>
      <c r="I1479" s="147"/>
      <c r="M1479" s="164"/>
      <c r="O1479" s="83"/>
      <c r="P1479" s="93"/>
      <c r="Q1479" s="83"/>
      <c r="R1479" s="83"/>
      <c r="S1479" s="83"/>
      <c r="T1479" s="83"/>
      <c r="U1479" s="83"/>
      <c r="V1479" s="83"/>
    </row>
    <row r="1480" spans="1:22" s="99" customFormat="1" x14ac:dyDescent="0.3">
      <c r="A1480" s="83"/>
      <c r="B1480" s="92"/>
      <c r="C1480" s="83"/>
      <c r="G1480" s="147"/>
      <c r="I1480" s="147"/>
      <c r="M1480" s="164"/>
      <c r="O1480" s="83"/>
      <c r="P1480" s="93"/>
      <c r="Q1480" s="83"/>
      <c r="R1480" s="83"/>
      <c r="S1480" s="83"/>
      <c r="T1480" s="83"/>
      <c r="U1480" s="83"/>
      <c r="V1480" s="83"/>
    </row>
    <row r="1481" spans="1:22" s="99" customFormat="1" x14ac:dyDescent="0.3">
      <c r="A1481" s="83"/>
      <c r="B1481" s="92"/>
      <c r="C1481" s="83"/>
      <c r="G1481" s="147"/>
      <c r="I1481" s="147"/>
      <c r="M1481" s="164"/>
      <c r="O1481" s="83"/>
      <c r="P1481" s="93"/>
      <c r="Q1481" s="83"/>
      <c r="R1481" s="83"/>
      <c r="S1481" s="83"/>
      <c r="T1481" s="83"/>
      <c r="U1481" s="83"/>
      <c r="V1481" s="83"/>
    </row>
    <row r="1482" spans="1:22" s="99" customFormat="1" x14ac:dyDescent="0.3">
      <c r="A1482" s="83"/>
      <c r="B1482" s="92"/>
      <c r="C1482" s="83"/>
      <c r="G1482" s="147"/>
      <c r="I1482" s="147"/>
      <c r="M1482" s="164"/>
      <c r="O1482" s="83"/>
      <c r="P1482" s="93"/>
      <c r="Q1482" s="83"/>
      <c r="R1482" s="83"/>
      <c r="S1482" s="83"/>
      <c r="T1482" s="83"/>
      <c r="U1482" s="83"/>
      <c r="V1482" s="83"/>
    </row>
    <row r="1483" spans="1:22" s="99" customFormat="1" x14ac:dyDescent="0.3">
      <c r="A1483" s="83"/>
      <c r="B1483" s="92"/>
      <c r="C1483" s="83"/>
      <c r="G1483" s="147"/>
      <c r="I1483" s="147"/>
      <c r="M1483" s="164"/>
      <c r="O1483" s="83"/>
      <c r="P1483" s="93"/>
      <c r="Q1483" s="83"/>
      <c r="R1483" s="83"/>
      <c r="S1483" s="83"/>
      <c r="T1483" s="83"/>
      <c r="U1483" s="83"/>
      <c r="V1483" s="83"/>
    </row>
    <row r="1484" spans="1:22" s="99" customFormat="1" x14ac:dyDescent="0.3">
      <c r="A1484" s="83"/>
      <c r="B1484" s="92"/>
      <c r="C1484" s="83"/>
      <c r="G1484" s="147"/>
      <c r="I1484" s="147"/>
      <c r="M1484" s="164"/>
      <c r="O1484" s="83"/>
      <c r="P1484" s="93"/>
      <c r="Q1484" s="83"/>
      <c r="R1484" s="83"/>
      <c r="S1484" s="83"/>
      <c r="T1484" s="83"/>
      <c r="U1484" s="83"/>
      <c r="V1484" s="83"/>
    </row>
    <row r="1485" spans="1:22" s="99" customFormat="1" x14ac:dyDescent="0.3">
      <c r="A1485" s="83"/>
      <c r="B1485" s="92"/>
      <c r="C1485" s="83"/>
      <c r="G1485" s="147"/>
      <c r="I1485" s="147"/>
      <c r="M1485" s="164"/>
      <c r="O1485" s="83"/>
      <c r="P1485" s="93"/>
      <c r="Q1485" s="83"/>
      <c r="R1485" s="83"/>
      <c r="S1485" s="83"/>
      <c r="T1485" s="83"/>
      <c r="U1485" s="83"/>
      <c r="V1485" s="83"/>
    </row>
    <row r="1486" spans="1:22" s="99" customFormat="1" x14ac:dyDescent="0.3">
      <c r="A1486" s="83"/>
      <c r="B1486" s="92"/>
      <c r="C1486" s="83"/>
      <c r="G1486" s="147"/>
      <c r="I1486" s="147"/>
      <c r="M1486" s="164"/>
      <c r="O1486" s="83"/>
      <c r="P1486" s="93"/>
      <c r="Q1486" s="83"/>
      <c r="R1486" s="83"/>
      <c r="S1486" s="83"/>
      <c r="T1486" s="83"/>
      <c r="U1486" s="83"/>
      <c r="V1486" s="83"/>
    </row>
    <row r="1487" spans="1:22" s="99" customFormat="1" x14ac:dyDescent="0.3">
      <c r="A1487" s="83"/>
      <c r="B1487" s="92"/>
      <c r="C1487" s="83"/>
      <c r="G1487" s="147"/>
      <c r="I1487" s="147"/>
      <c r="M1487" s="164"/>
      <c r="O1487" s="83"/>
      <c r="P1487" s="93"/>
      <c r="Q1487" s="83"/>
      <c r="R1487" s="83"/>
      <c r="S1487" s="83"/>
      <c r="T1487" s="83"/>
      <c r="U1487" s="83"/>
      <c r="V1487" s="83"/>
    </row>
    <row r="1488" spans="1:22" s="99" customFormat="1" x14ac:dyDescent="0.3">
      <c r="A1488" s="83"/>
      <c r="B1488" s="92"/>
      <c r="C1488" s="83"/>
      <c r="G1488" s="147"/>
      <c r="I1488" s="147"/>
      <c r="M1488" s="164"/>
      <c r="O1488" s="83"/>
      <c r="P1488" s="93"/>
      <c r="Q1488" s="83"/>
      <c r="R1488" s="83"/>
      <c r="S1488" s="83"/>
      <c r="T1488" s="83"/>
      <c r="U1488" s="83"/>
      <c r="V1488" s="83"/>
    </row>
    <row r="1489" spans="1:22" s="99" customFormat="1" x14ac:dyDescent="0.3">
      <c r="A1489" s="83"/>
      <c r="B1489" s="92"/>
      <c r="C1489" s="83"/>
      <c r="G1489" s="147"/>
      <c r="I1489" s="147"/>
      <c r="M1489" s="164"/>
      <c r="O1489" s="83"/>
      <c r="P1489" s="93"/>
      <c r="Q1489" s="83"/>
      <c r="R1489" s="83"/>
      <c r="S1489" s="83"/>
      <c r="T1489" s="83"/>
      <c r="U1489" s="83"/>
      <c r="V1489" s="83"/>
    </row>
    <row r="1490" spans="1:22" s="99" customFormat="1" x14ac:dyDescent="0.3">
      <c r="A1490" s="83"/>
      <c r="B1490" s="92"/>
      <c r="C1490" s="83"/>
      <c r="G1490" s="147"/>
      <c r="I1490" s="147"/>
      <c r="M1490" s="164"/>
      <c r="O1490" s="83"/>
      <c r="P1490" s="93"/>
      <c r="Q1490" s="83"/>
      <c r="R1490" s="83"/>
      <c r="S1490" s="83"/>
      <c r="T1490" s="83"/>
      <c r="U1490" s="83"/>
      <c r="V1490" s="83"/>
    </row>
    <row r="1491" spans="1:22" s="99" customFormat="1" x14ac:dyDescent="0.3">
      <c r="A1491" s="83"/>
      <c r="B1491" s="92"/>
      <c r="C1491" s="83"/>
      <c r="G1491" s="147"/>
      <c r="I1491" s="147"/>
      <c r="M1491" s="164"/>
      <c r="O1491" s="83"/>
      <c r="P1491" s="93"/>
      <c r="Q1491" s="83"/>
      <c r="R1491" s="83"/>
      <c r="S1491" s="83"/>
      <c r="T1491" s="83"/>
      <c r="U1491" s="83"/>
      <c r="V1491" s="83"/>
    </row>
    <row r="1492" spans="1:22" s="99" customFormat="1" x14ac:dyDescent="0.3">
      <c r="A1492" s="83"/>
      <c r="B1492" s="92"/>
      <c r="C1492" s="83"/>
      <c r="G1492" s="147"/>
      <c r="I1492" s="147"/>
      <c r="M1492" s="164"/>
      <c r="O1492" s="83"/>
      <c r="P1492" s="93"/>
      <c r="Q1492" s="83"/>
      <c r="R1492" s="83"/>
      <c r="S1492" s="83"/>
      <c r="T1492" s="83"/>
      <c r="U1492" s="83"/>
      <c r="V1492" s="83"/>
    </row>
    <row r="1493" spans="1:22" s="99" customFormat="1" x14ac:dyDescent="0.3">
      <c r="A1493" s="83"/>
      <c r="B1493" s="92"/>
      <c r="C1493" s="83"/>
      <c r="G1493" s="147"/>
      <c r="I1493" s="147"/>
      <c r="M1493" s="164"/>
      <c r="O1493" s="83"/>
      <c r="P1493" s="93"/>
      <c r="Q1493" s="83"/>
      <c r="R1493" s="83"/>
      <c r="S1493" s="83"/>
      <c r="T1493" s="83"/>
      <c r="U1493" s="83"/>
      <c r="V1493" s="83"/>
    </row>
    <row r="1494" spans="1:22" s="99" customFormat="1" x14ac:dyDescent="0.3">
      <c r="A1494" s="83"/>
      <c r="B1494" s="92"/>
      <c r="C1494" s="83"/>
      <c r="G1494" s="147"/>
      <c r="I1494" s="147"/>
      <c r="M1494" s="164"/>
      <c r="O1494" s="83"/>
      <c r="P1494" s="93"/>
      <c r="Q1494" s="83"/>
      <c r="R1494" s="83"/>
      <c r="S1494" s="83"/>
      <c r="T1494" s="83"/>
      <c r="U1494" s="83"/>
      <c r="V1494" s="83"/>
    </row>
    <row r="1495" spans="1:22" s="99" customFormat="1" x14ac:dyDescent="0.3">
      <c r="A1495" s="83"/>
      <c r="B1495" s="92"/>
      <c r="C1495" s="83"/>
      <c r="G1495" s="147"/>
      <c r="I1495" s="147"/>
      <c r="M1495" s="164"/>
      <c r="O1495" s="83"/>
      <c r="P1495" s="93"/>
      <c r="Q1495" s="83"/>
      <c r="R1495" s="83"/>
      <c r="S1495" s="83"/>
      <c r="T1495" s="83"/>
      <c r="U1495" s="83"/>
      <c r="V1495" s="83"/>
    </row>
    <row r="1496" spans="1:22" s="99" customFormat="1" x14ac:dyDescent="0.3">
      <c r="A1496" s="83"/>
      <c r="B1496" s="92"/>
      <c r="C1496" s="83"/>
      <c r="G1496" s="147"/>
      <c r="I1496" s="147"/>
      <c r="M1496" s="164"/>
      <c r="O1496" s="83"/>
      <c r="P1496" s="93"/>
      <c r="Q1496" s="83"/>
      <c r="R1496" s="83"/>
      <c r="S1496" s="83"/>
      <c r="T1496" s="83"/>
      <c r="U1496" s="83"/>
      <c r="V1496" s="83"/>
    </row>
    <row r="1497" spans="1:22" s="99" customFormat="1" x14ac:dyDescent="0.3">
      <c r="A1497" s="83"/>
      <c r="B1497" s="92"/>
      <c r="C1497" s="83"/>
      <c r="G1497" s="147"/>
      <c r="I1497" s="147"/>
      <c r="M1497" s="164"/>
      <c r="O1497" s="83"/>
      <c r="P1497" s="93"/>
      <c r="Q1497" s="83"/>
      <c r="R1497" s="83"/>
      <c r="S1497" s="83"/>
      <c r="T1497" s="83"/>
      <c r="U1497" s="83"/>
      <c r="V1497" s="83"/>
    </row>
    <row r="1498" spans="1:22" s="99" customFormat="1" x14ac:dyDescent="0.3">
      <c r="A1498" s="83"/>
      <c r="B1498" s="92"/>
      <c r="C1498" s="83"/>
      <c r="G1498" s="147"/>
      <c r="I1498" s="147"/>
      <c r="M1498" s="164"/>
      <c r="O1498" s="83"/>
      <c r="P1498" s="93"/>
      <c r="Q1498" s="83"/>
      <c r="R1498" s="83"/>
      <c r="S1498" s="83"/>
      <c r="T1498" s="83"/>
      <c r="U1498" s="83"/>
      <c r="V1498" s="83"/>
    </row>
    <row r="1499" spans="1:22" s="99" customFormat="1" x14ac:dyDescent="0.3">
      <c r="A1499" s="83"/>
      <c r="B1499" s="92"/>
      <c r="C1499" s="83"/>
      <c r="G1499" s="147"/>
      <c r="I1499" s="147"/>
      <c r="M1499" s="164"/>
      <c r="O1499" s="83"/>
      <c r="P1499" s="93"/>
      <c r="Q1499" s="83"/>
      <c r="R1499" s="83"/>
      <c r="S1499" s="83"/>
      <c r="T1499" s="83"/>
      <c r="U1499" s="83"/>
      <c r="V1499" s="83"/>
    </row>
    <row r="1500" spans="1:22" s="99" customFormat="1" x14ac:dyDescent="0.3">
      <c r="A1500" s="83"/>
      <c r="B1500" s="92"/>
      <c r="C1500" s="83"/>
      <c r="G1500" s="147"/>
      <c r="I1500" s="147"/>
      <c r="M1500" s="164"/>
      <c r="O1500" s="83"/>
      <c r="P1500" s="93"/>
      <c r="Q1500" s="83"/>
      <c r="R1500" s="83"/>
      <c r="S1500" s="83"/>
      <c r="T1500" s="83"/>
      <c r="U1500" s="83"/>
      <c r="V1500" s="83"/>
    </row>
    <row r="1501" spans="1:22" s="99" customFormat="1" x14ac:dyDescent="0.3">
      <c r="A1501" s="83"/>
      <c r="B1501" s="92"/>
      <c r="C1501" s="83"/>
      <c r="G1501" s="147"/>
      <c r="I1501" s="147"/>
      <c r="M1501" s="164"/>
      <c r="O1501" s="83"/>
      <c r="P1501" s="93"/>
      <c r="Q1501" s="83"/>
      <c r="R1501" s="83"/>
      <c r="S1501" s="83"/>
      <c r="T1501" s="83"/>
      <c r="U1501" s="83"/>
      <c r="V1501" s="83"/>
    </row>
    <row r="1502" spans="1:22" s="99" customFormat="1" x14ac:dyDescent="0.3">
      <c r="A1502" s="83"/>
      <c r="B1502" s="92"/>
      <c r="C1502" s="83"/>
      <c r="G1502" s="147"/>
      <c r="I1502" s="147"/>
      <c r="M1502" s="164"/>
      <c r="O1502" s="83"/>
      <c r="P1502" s="93"/>
      <c r="Q1502" s="83"/>
      <c r="R1502" s="83"/>
      <c r="S1502" s="83"/>
      <c r="T1502" s="83"/>
      <c r="U1502" s="83"/>
      <c r="V1502" s="83"/>
    </row>
    <row r="1503" spans="1:22" s="99" customFormat="1" x14ac:dyDescent="0.3">
      <c r="A1503" s="83"/>
      <c r="B1503" s="92"/>
      <c r="C1503" s="83"/>
      <c r="G1503" s="147"/>
      <c r="I1503" s="147"/>
      <c r="M1503" s="164"/>
      <c r="O1503" s="83"/>
      <c r="P1503" s="93"/>
      <c r="Q1503" s="83"/>
      <c r="R1503" s="83"/>
      <c r="S1503" s="83"/>
      <c r="T1503" s="83"/>
      <c r="U1503" s="83"/>
      <c r="V1503" s="83"/>
    </row>
    <row r="1504" spans="1:22" s="99" customFormat="1" x14ac:dyDescent="0.3">
      <c r="A1504" s="83"/>
      <c r="B1504" s="92"/>
      <c r="C1504" s="83"/>
      <c r="G1504" s="147"/>
      <c r="I1504" s="147"/>
      <c r="M1504" s="164"/>
      <c r="O1504" s="83"/>
      <c r="P1504" s="93"/>
      <c r="Q1504" s="83"/>
      <c r="R1504" s="83"/>
      <c r="S1504" s="83"/>
      <c r="T1504" s="83"/>
      <c r="U1504" s="83"/>
      <c r="V1504" s="83"/>
    </row>
    <row r="1505" spans="1:22" s="99" customFormat="1" x14ac:dyDescent="0.3">
      <c r="A1505" s="83"/>
      <c r="B1505" s="92"/>
      <c r="C1505" s="83"/>
      <c r="G1505" s="147"/>
      <c r="I1505" s="147"/>
      <c r="M1505" s="164"/>
      <c r="O1505" s="83"/>
      <c r="P1505" s="93"/>
      <c r="Q1505" s="83"/>
      <c r="R1505" s="83"/>
      <c r="S1505" s="83"/>
      <c r="T1505" s="83"/>
      <c r="U1505" s="83"/>
      <c r="V1505" s="83"/>
    </row>
    <row r="1506" spans="1:22" s="99" customFormat="1" x14ac:dyDescent="0.3">
      <c r="A1506" s="83"/>
      <c r="B1506" s="92"/>
      <c r="C1506" s="83"/>
      <c r="G1506" s="147"/>
      <c r="I1506" s="147"/>
      <c r="M1506" s="164"/>
      <c r="O1506" s="83"/>
      <c r="P1506" s="93"/>
      <c r="Q1506" s="83"/>
      <c r="R1506" s="83"/>
      <c r="S1506" s="83"/>
      <c r="T1506" s="83"/>
      <c r="U1506" s="83"/>
      <c r="V1506" s="83"/>
    </row>
    <row r="1507" spans="1:22" s="99" customFormat="1" x14ac:dyDescent="0.3">
      <c r="A1507" s="83"/>
      <c r="B1507" s="92"/>
      <c r="C1507" s="83"/>
      <c r="G1507" s="147"/>
      <c r="I1507" s="147"/>
      <c r="M1507" s="164"/>
      <c r="O1507" s="83"/>
      <c r="P1507" s="93"/>
      <c r="Q1507" s="83"/>
      <c r="R1507" s="83"/>
      <c r="S1507" s="83"/>
      <c r="T1507" s="83"/>
      <c r="U1507" s="83"/>
      <c r="V1507" s="83"/>
    </row>
    <row r="1508" spans="1:22" s="99" customFormat="1" x14ac:dyDescent="0.3">
      <c r="A1508" s="83"/>
      <c r="B1508" s="92"/>
      <c r="C1508" s="83"/>
      <c r="G1508" s="147"/>
      <c r="I1508" s="147"/>
      <c r="M1508" s="164"/>
      <c r="O1508" s="83"/>
      <c r="P1508" s="93"/>
      <c r="Q1508" s="83"/>
      <c r="R1508" s="83"/>
      <c r="S1508" s="83"/>
      <c r="T1508" s="83"/>
      <c r="U1508" s="83"/>
      <c r="V1508" s="83"/>
    </row>
    <row r="1509" spans="1:22" s="99" customFormat="1" x14ac:dyDescent="0.3">
      <c r="A1509" s="83"/>
      <c r="B1509" s="92"/>
      <c r="C1509" s="83"/>
      <c r="G1509" s="147"/>
      <c r="I1509" s="147"/>
      <c r="M1509" s="164"/>
      <c r="O1509" s="83"/>
      <c r="P1509" s="93"/>
      <c r="Q1509" s="83"/>
      <c r="R1509" s="83"/>
      <c r="S1509" s="83"/>
      <c r="T1509" s="83"/>
      <c r="U1509" s="83"/>
      <c r="V1509" s="83"/>
    </row>
    <row r="1510" spans="1:22" s="99" customFormat="1" x14ac:dyDescent="0.3">
      <c r="A1510" s="83"/>
      <c r="B1510" s="92"/>
      <c r="C1510" s="83"/>
      <c r="G1510" s="147"/>
      <c r="I1510" s="147"/>
      <c r="M1510" s="164"/>
      <c r="O1510" s="83"/>
      <c r="P1510" s="93"/>
      <c r="Q1510" s="83"/>
      <c r="R1510" s="83"/>
      <c r="S1510" s="83"/>
      <c r="T1510" s="83"/>
      <c r="U1510" s="83"/>
      <c r="V1510" s="83"/>
    </row>
    <row r="1511" spans="1:22" s="99" customFormat="1" x14ac:dyDescent="0.3">
      <c r="A1511" s="83"/>
      <c r="B1511" s="92"/>
      <c r="C1511" s="83"/>
      <c r="G1511" s="147"/>
      <c r="I1511" s="147"/>
      <c r="M1511" s="164"/>
      <c r="O1511" s="83"/>
      <c r="P1511" s="93"/>
      <c r="Q1511" s="83"/>
      <c r="R1511" s="83"/>
      <c r="S1511" s="83"/>
      <c r="T1511" s="83"/>
      <c r="U1511" s="83"/>
      <c r="V1511" s="83"/>
    </row>
    <row r="1512" spans="1:22" s="99" customFormat="1" x14ac:dyDescent="0.3">
      <c r="A1512" s="83"/>
      <c r="B1512" s="92"/>
      <c r="C1512" s="83"/>
      <c r="G1512" s="147"/>
      <c r="I1512" s="147"/>
      <c r="M1512" s="164"/>
      <c r="O1512" s="83"/>
      <c r="P1512" s="93"/>
      <c r="Q1512" s="83"/>
      <c r="R1512" s="83"/>
      <c r="S1512" s="83"/>
      <c r="T1512" s="83"/>
      <c r="U1512" s="83"/>
      <c r="V1512" s="83"/>
    </row>
    <row r="1513" spans="1:22" s="99" customFormat="1" x14ac:dyDescent="0.3">
      <c r="A1513" s="83"/>
      <c r="B1513" s="92"/>
      <c r="C1513" s="83"/>
      <c r="G1513" s="147"/>
      <c r="I1513" s="147"/>
      <c r="M1513" s="164"/>
      <c r="O1513" s="83"/>
      <c r="P1513" s="93"/>
      <c r="Q1513" s="83"/>
      <c r="R1513" s="83"/>
      <c r="S1513" s="83"/>
      <c r="T1513" s="83"/>
      <c r="U1513" s="83"/>
      <c r="V1513" s="83"/>
    </row>
    <row r="1514" spans="1:22" s="99" customFormat="1" x14ac:dyDescent="0.3">
      <c r="A1514" s="83"/>
      <c r="B1514" s="92"/>
      <c r="C1514" s="83"/>
      <c r="G1514" s="147"/>
      <c r="I1514" s="147"/>
      <c r="M1514" s="164"/>
      <c r="O1514" s="83"/>
      <c r="P1514" s="93"/>
      <c r="Q1514" s="83"/>
      <c r="R1514" s="83"/>
      <c r="S1514" s="83"/>
      <c r="T1514" s="83"/>
      <c r="U1514" s="83"/>
      <c r="V1514" s="83"/>
    </row>
    <row r="1515" spans="1:22" s="99" customFormat="1" x14ac:dyDescent="0.3">
      <c r="A1515" s="83"/>
      <c r="B1515" s="92"/>
      <c r="C1515" s="83"/>
      <c r="G1515" s="147"/>
      <c r="I1515" s="147"/>
      <c r="M1515" s="164"/>
      <c r="O1515" s="83"/>
      <c r="P1515" s="93"/>
      <c r="Q1515" s="83"/>
      <c r="R1515" s="83"/>
      <c r="S1515" s="83"/>
      <c r="T1515" s="83"/>
      <c r="U1515" s="83"/>
      <c r="V1515" s="83"/>
    </row>
    <row r="1516" spans="1:22" s="99" customFormat="1" x14ac:dyDescent="0.3">
      <c r="A1516" s="83"/>
      <c r="B1516" s="92"/>
      <c r="C1516" s="83"/>
      <c r="G1516" s="147"/>
      <c r="I1516" s="147"/>
      <c r="M1516" s="164"/>
      <c r="O1516" s="83"/>
      <c r="P1516" s="93"/>
      <c r="Q1516" s="83"/>
      <c r="R1516" s="83"/>
      <c r="S1516" s="83"/>
      <c r="T1516" s="83"/>
      <c r="U1516" s="83"/>
      <c r="V1516" s="83"/>
    </row>
    <row r="1517" spans="1:22" s="99" customFormat="1" x14ac:dyDescent="0.3">
      <c r="A1517" s="83"/>
      <c r="B1517" s="92"/>
      <c r="C1517" s="83"/>
      <c r="G1517" s="147"/>
      <c r="I1517" s="147"/>
      <c r="M1517" s="164"/>
      <c r="O1517" s="83"/>
      <c r="P1517" s="93"/>
      <c r="Q1517" s="83"/>
      <c r="R1517" s="83"/>
      <c r="S1517" s="83"/>
      <c r="T1517" s="83"/>
      <c r="U1517" s="83"/>
      <c r="V1517" s="83"/>
    </row>
    <row r="1518" spans="1:22" s="99" customFormat="1" x14ac:dyDescent="0.3">
      <c r="A1518" s="83"/>
      <c r="B1518" s="92"/>
      <c r="C1518" s="83"/>
      <c r="G1518" s="147"/>
      <c r="I1518" s="147"/>
      <c r="M1518" s="164"/>
      <c r="O1518" s="83"/>
      <c r="P1518" s="93"/>
      <c r="Q1518" s="83"/>
      <c r="R1518" s="83"/>
      <c r="S1518" s="83"/>
      <c r="T1518" s="83"/>
      <c r="U1518" s="83"/>
      <c r="V1518" s="83"/>
    </row>
    <row r="1519" spans="1:22" s="99" customFormat="1" x14ac:dyDescent="0.3">
      <c r="A1519" s="83"/>
      <c r="B1519" s="92"/>
      <c r="C1519" s="83"/>
      <c r="G1519" s="147"/>
      <c r="I1519" s="147"/>
      <c r="M1519" s="164"/>
      <c r="O1519" s="83"/>
      <c r="P1519" s="93"/>
      <c r="Q1519" s="83"/>
      <c r="R1519" s="83"/>
      <c r="S1519" s="83"/>
      <c r="T1519" s="83"/>
      <c r="U1519" s="83"/>
      <c r="V1519" s="83"/>
    </row>
    <row r="1520" spans="1:22" s="99" customFormat="1" x14ac:dyDescent="0.3">
      <c r="A1520" s="83"/>
      <c r="B1520" s="92"/>
      <c r="C1520" s="83"/>
      <c r="G1520" s="147"/>
      <c r="I1520" s="147"/>
      <c r="M1520" s="164"/>
      <c r="O1520" s="83"/>
      <c r="P1520" s="93"/>
      <c r="Q1520" s="83"/>
      <c r="R1520" s="83"/>
      <c r="S1520" s="83"/>
      <c r="T1520" s="83"/>
      <c r="U1520" s="83"/>
      <c r="V1520" s="83"/>
    </row>
    <row r="1521" spans="1:22" s="99" customFormat="1" x14ac:dyDescent="0.3">
      <c r="A1521" s="83"/>
      <c r="B1521" s="92"/>
      <c r="C1521" s="83"/>
      <c r="G1521" s="147"/>
      <c r="I1521" s="147"/>
      <c r="M1521" s="164"/>
      <c r="O1521" s="83"/>
      <c r="P1521" s="93"/>
      <c r="Q1521" s="83"/>
      <c r="R1521" s="83"/>
      <c r="S1521" s="83"/>
      <c r="T1521" s="83"/>
      <c r="U1521" s="83"/>
      <c r="V1521" s="83"/>
    </row>
    <row r="1522" spans="1:22" s="99" customFormat="1" x14ac:dyDescent="0.3">
      <c r="A1522" s="83"/>
      <c r="B1522" s="92"/>
      <c r="C1522" s="83"/>
      <c r="G1522" s="147"/>
      <c r="I1522" s="147"/>
      <c r="M1522" s="164"/>
      <c r="O1522" s="83"/>
      <c r="P1522" s="93"/>
      <c r="Q1522" s="83"/>
      <c r="R1522" s="83"/>
      <c r="S1522" s="83"/>
      <c r="T1522" s="83"/>
      <c r="U1522" s="83"/>
      <c r="V1522" s="83"/>
    </row>
    <row r="1523" spans="1:22" s="99" customFormat="1" x14ac:dyDescent="0.3">
      <c r="A1523" s="83"/>
      <c r="B1523" s="92"/>
      <c r="C1523" s="83"/>
      <c r="G1523" s="147"/>
      <c r="I1523" s="147"/>
      <c r="M1523" s="164"/>
      <c r="O1523" s="83"/>
      <c r="P1523" s="93"/>
      <c r="Q1523" s="83"/>
      <c r="R1523" s="83"/>
      <c r="S1523" s="83"/>
      <c r="T1523" s="83"/>
      <c r="U1523" s="83"/>
      <c r="V1523" s="83"/>
    </row>
    <row r="1524" spans="1:22" s="99" customFormat="1" x14ac:dyDescent="0.3">
      <c r="A1524" s="83"/>
      <c r="B1524" s="92"/>
      <c r="C1524" s="83"/>
      <c r="G1524" s="147"/>
      <c r="I1524" s="147"/>
      <c r="M1524" s="164"/>
      <c r="O1524" s="83"/>
      <c r="P1524" s="93"/>
      <c r="Q1524" s="83"/>
      <c r="R1524" s="83"/>
      <c r="S1524" s="83"/>
      <c r="T1524" s="83"/>
      <c r="U1524" s="83"/>
      <c r="V1524" s="83"/>
    </row>
    <row r="1525" spans="1:22" s="99" customFormat="1" x14ac:dyDescent="0.3">
      <c r="A1525" s="83"/>
      <c r="B1525" s="92"/>
      <c r="C1525" s="83"/>
      <c r="G1525" s="147"/>
      <c r="I1525" s="147"/>
      <c r="M1525" s="164"/>
      <c r="O1525" s="83"/>
      <c r="P1525" s="93"/>
      <c r="Q1525" s="83"/>
      <c r="R1525" s="83"/>
      <c r="S1525" s="83"/>
      <c r="T1525" s="83"/>
      <c r="U1525" s="83"/>
      <c r="V1525" s="83"/>
    </row>
    <row r="1526" spans="1:22" s="99" customFormat="1" x14ac:dyDescent="0.3">
      <c r="A1526" s="83"/>
      <c r="B1526" s="92"/>
      <c r="C1526" s="83"/>
      <c r="G1526" s="147"/>
      <c r="I1526" s="147"/>
      <c r="M1526" s="164"/>
      <c r="O1526" s="83"/>
      <c r="P1526" s="93"/>
      <c r="Q1526" s="83"/>
      <c r="R1526" s="83"/>
      <c r="S1526" s="83"/>
      <c r="T1526" s="83"/>
      <c r="U1526" s="83"/>
      <c r="V1526" s="83"/>
    </row>
    <row r="1527" spans="1:22" s="99" customFormat="1" x14ac:dyDescent="0.3">
      <c r="A1527" s="83"/>
      <c r="B1527" s="92"/>
      <c r="C1527" s="83"/>
      <c r="G1527" s="147"/>
      <c r="I1527" s="147"/>
      <c r="M1527" s="164"/>
      <c r="O1527" s="83"/>
      <c r="P1527" s="93"/>
      <c r="Q1527" s="83"/>
      <c r="R1527" s="83"/>
      <c r="S1527" s="83"/>
      <c r="T1527" s="83"/>
      <c r="U1527" s="83"/>
      <c r="V1527" s="83"/>
    </row>
    <row r="1528" spans="1:22" s="99" customFormat="1" x14ac:dyDescent="0.3">
      <c r="A1528" s="83"/>
      <c r="B1528" s="92"/>
      <c r="C1528" s="83"/>
      <c r="G1528" s="147"/>
      <c r="I1528" s="147"/>
      <c r="M1528" s="164"/>
      <c r="O1528" s="83"/>
      <c r="P1528" s="93"/>
      <c r="Q1528" s="83"/>
      <c r="R1528" s="83"/>
      <c r="S1528" s="83"/>
      <c r="T1528" s="83"/>
      <c r="U1528" s="83"/>
      <c r="V1528" s="83"/>
    </row>
    <row r="1529" spans="1:22" s="99" customFormat="1" x14ac:dyDescent="0.3">
      <c r="A1529" s="83"/>
      <c r="B1529" s="92"/>
      <c r="C1529" s="83"/>
      <c r="G1529" s="147"/>
      <c r="I1529" s="147"/>
      <c r="M1529" s="164"/>
      <c r="O1529" s="83"/>
      <c r="P1529" s="93"/>
      <c r="Q1529" s="83"/>
      <c r="R1529" s="83"/>
      <c r="S1529" s="83"/>
      <c r="T1529" s="83"/>
      <c r="U1529" s="83"/>
      <c r="V1529" s="83"/>
    </row>
    <row r="1530" spans="1:22" s="99" customFormat="1" x14ac:dyDescent="0.3">
      <c r="A1530" s="83"/>
      <c r="B1530" s="92"/>
      <c r="C1530" s="83"/>
      <c r="G1530" s="147"/>
      <c r="I1530" s="147"/>
      <c r="M1530" s="164"/>
      <c r="O1530" s="83"/>
      <c r="P1530" s="93"/>
      <c r="Q1530" s="83"/>
      <c r="R1530" s="83"/>
      <c r="S1530" s="83"/>
      <c r="T1530" s="83"/>
      <c r="U1530" s="83"/>
      <c r="V1530" s="83"/>
    </row>
    <row r="1531" spans="1:22" s="99" customFormat="1" x14ac:dyDescent="0.3">
      <c r="A1531" s="83"/>
      <c r="B1531" s="92"/>
      <c r="C1531" s="83"/>
      <c r="G1531" s="147"/>
      <c r="I1531" s="147"/>
      <c r="M1531" s="164"/>
      <c r="O1531" s="83"/>
      <c r="P1531" s="93"/>
      <c r="Q1531" s="83"/>
      <c r="R1531" s="83"/>
      <c r="S1531" s="83"/>
      <c r="T1531" s="83"/>
      <c r="U1531" s="83"/>
      <c r="V1531" s="83"/>
    </row>
    <row r="1532" spans="1:22" s="99" customFormat="1" x14ac:dyDescent="0.3">
      <c r="A1532" s="83"/>
      <c r="B1532" s="92"/>
      <c r="C1532" s="83"/>
      <c r="G1532" s="147"/>
      <c r="I1532" s="147"/>
      <c r="M1532" s="164"/>
      <c r="O1532" s="83"/>
      <c r="P1532" s="93"/>
      <c r="Q1532" s="83"/>
      <c r="R1532" s="83"/>
      <c r="S1532" s="83"/>
      <c r="T1532" s="83"/>
      <c r="U1532" s="83"/>
      <c r="V1532" s="83"/>
    </row>
    <row r="1533" spans="1:22" s="99" customFormat="1" x14ac:dyDescent="0.3">
      <c r="A1533" s="83"/>
      <c r="B1533" s="92"/>
      <c r="C1533" s="83"/>
      <c r="G1533" s="147"/>
      <c r="I1533" s="147"/>
      <c r="M1533" s="164"/>
      <c r="O1533" s="83"/>
      <c r="P1533" s="93"/>
      <c r="Q1533" s="83"/>
      <c r="R1533" s="83"/>
      <c r="S1533" s="83"/>
      <c r="T1533" s="83"/>
      <c r="U1533" s="83"/>
      <c r="V1533" s="83"/>
    </row>
    <row r="1534" spans="1:22" s="99" customFormat="1" x14ac:dyDescent="0.3">
      <c r="A1534" s="83"/>
      <c r="B1534" s="92"/>
      <c r="C1534" s="83"/>
      <c r="G1534" s="147"/>
      <c r="I1534" s="147"/>
      <c r="M1534" s="164"/>
      <c r="O1534" s="83"/>
      <c r="P1534" s="93"/>
      <c r="Q1534" s="83"/>
      <c r="R1534" s="83"/>
      <c r="S1534" s="83"/>
      <c r="T1534" s="83"/>
      <c r="U1534" s="83"/>
      <c r="V1534" s="83"/>
    </row>
    <row r="1535" spans="1:22" s="99" customFormat="1" x14ac:dyDescent="0.3">
      <c r="A1535" s="83"/>
      <c r="B1535" s="92"/>
      <c r="C1535" s="83"/>
      <c r="G1535" s="147"/>
      <c r="I1535" s="147"/>
      <c r="M1535" s="164"/>
      <c r="O1535" s="83"/>
      <c r="P1535" s="93"/>
      <c r="Q1535" s="83"/>
      <c r="R1535" s="83"/>
      <c r="S1535" s="83"/>
      <c r="T1535" s="83"/>
      <c r="U1535" s="83"/>
      <c r="V1535" s="83"/>
    </row>
    <row r="1536" spans="1:22" s="99" customFormat="1" x14ac:dyDescent="0.3">
      <c r="A1536" s="83"/>
      <c r="B1536" s="92"/>
      <c r="C1536" s="83"/>
      <c r="G1536" s="147"/>
      <c r="I1536" s="147"/>
      <c r="M1536" s="164"/>
      <c r="O1536" s="83"/>
      <c r="P1536" s="93"/>
      <c r="Q1536" s="83"/>
      <c r="R1536" s="83"/>
      <c r="S1536" s="83"/>
      <c r="T1536" s="83"/>
      <c r="U1536" s="83"/>
      <c r="V1536" s="83"/>
    </row>
    <row r="1537" spans="1:22" s="99" customFormat="1" x14ac:dyDescent="0.3">
      <c r="A1537" s="83"/>
      <c r="B1537" s="92"/>
      <c r="C1537" s="83"/>
      <c r="G1537" s="147"/>
      <c r="I1537" s="147"/>
      <c r="M1537" s="164"/>
      <c r="O1537" s="83"/>
      <c r="P1537" s="93"/>
      <c r="Q1537" s="83"/>
      <c r="R1537" s="83"/>
      <c r="S1537" s="83"/>
      <c r="T1537" s="83"/>
      <c r="U1537" s="83"/>
      <c r="V1537" s="83"/>
    </row>
    <row r="1538" spans="1:22" s="99" customFormat="1" x14ac:dyDescent="0.3">
      <c r="A1538" s="83"/>
      <c r="B1538" s="92"/>
      <c r="C1538" s="83"/>
      <c r="G1538" s="147"/>
      <c r="I1538" s="147"/>
      <c r="M1538" s="164"/>
      <c r="O1538" s="83"/>
      <c r="P1538" s="93"/>
      <c r="Q1538" s="83"/>
      <c r="R1538" s="83"/>
      <c r="S1538" s="83"/>
      <c r="T1538" s="83"/>
      <c r="U1538" s="83"/>
      <c r="V1538" s="83"/>
    </row>
    <row r="1539" spans="1:22" s="99" customFormat="1" x14ac:dyDescent="0.3">
      <c r="A1539" s="83"/>
      <c r="B1539" s="92"/>
      <c r="C1539" s="83"/>
      <c r="G1539" s="147"/>
      <c r="I1539" s="147"/>
      <c r="M1539" s="164"/>
      <c r="O1539" s="83"/>
      <c r="P1539" s="93"/>
      <c r="Q1539" s="83"/>
      <c r="R1539" s="83"/>
      <c r="S1539" s="83"/>
      <c r="T1539" s="83"/>
      <c r="U1539" s="83"/>
      <c r="V1539" s="83"/>
    </row>
    <row r="1540" spans="1:22" s="99" customFormat="1" x14ac:dyDescent="0.3">
      <c r="A1540" s="83"/>
      <c r="B1540" s="92"/>
      <c r="C1540" s="83"/>
      <c r="G1540" s="147"/>
      <c r="I1540" s="147"/>
      <c r="M1540" s="164"/>
      <c r="O1540" s="83"/>
      <c r="P1540" s="93"/>
      <c r="Q1540" s="83"/>
      <c r="R1540" s="83"/>
      <c r="S1540" s="83"/>
      <c r="T1540" s="83"/>
      <c r="U1540" s="83"/>
      <c r="V1540" s="83"/>
    </row>
    <row r="1541" spans="1:22" s="99" customFormat="1" x14ac:dyDescent="0.3">
      <c r="A1541" s="83"/>
      <c r="B1541" s="92"/>
      <c r="C1541" s="83"/>
      <c r="G1541" s="147"/>
      <c r="I1541" s="147"/>
      <c r="M1541" s="164"/>
      <c r="O1541" s="83"/>
      <c r="P1541" s="93"/>
      <c r="Q1541" s="83"/>
      <c r="R1541" s="83"/>
      <c r="S1541" s="83"/>
      <c r="T1541" s="83"/>
      <c r="U1541" s="83"/>
      <c r="V1541" s="83"/>
    </row>
    <row r="1542" spans="1:22" s="99" customFormat="1" x14ac:dyDescent="0.3">
      <c r="A1542" s="83"/>
      <c r="B1542" s="92"/>
      <c r="C1542" s="83"/>
      <c r="G1542" s="147"/>
      <c r="I1542" s="147"/>
      <c r="M1542" s="164"/>
      <c r="O1542" s="83"/>
      <c r="P1542" s="93"/>
      <c r="Q1542" s="83"/>
      <c r="R1542" s="83"/>
      <c r="S1542" s="83"/>
      <c r="T1542" s="83"/>
      <c r="U1542" s="83"/>
      <c r="V1542" s="83"/>
    </row>
    <row r="1543" spans="1:22" s="99" customFormat="1" x14ac:dyDescent="0.3">
      <c r="A1543" s="83"/>
      <c r="B1543" s="92"/>
      <c r="C1543" s="83"/>
      <c r="G1543" s="147"/>
      <c r="I1543" s="147"/>
      <c r="M1543" s="164"/>
      <c r="O1543" s="83"/>
      <c r="P1543" s="93"/>
      <c r="Q1543" s="83"/>
      <c r="R1543" s="83"/>
      <c r="S1543" s="83"/>
      <c r="T1543" s="83"/>
      <c r="U1543" s="83"/>
      <c r="V1543" s="83"/>
    </row>
    <row r="1544" spans="1:22" s="99" customFormat="1" x14ac:dyDescent="0.3">
      <c r="A1544" s="83"/>
      <c r="B1544" s="92"/>
      <c r="C1544" s="83"/>
      <c r="G1544" s="147"/>
      <c r="I1544" s="147"/>
      <c r="M1544" s="164"/>
      <c r="O1544" s="83"/>
      <c r="P1544" s="93"/>
      <c r="Q1544" s="83"/>
      <c r="R1544" s="83"/>
      <c r="S1544" s="83"/>
      <c r="T1544" s="83"/>
      <c r="U1544" s="83"/>
      <c r="V1544" s="83"/>
    </row>
    <row r="1545" spans="1:22" s="99" customFormat="1" x14ac:dyDescent="0.3">
      <c r="A1545" s="83"/>
      <c r="B1545" s="92"/>
      <c r="C1545" s="83"/>
      <c r="G1545" s="147"/>
      <c r="I1545" s="147"/>
      <c r="M1545" s="164"/>
      <c r="O1545" s="83"/>
      <c r="P1545" s="93"/>
      <c r="Q1545" s="83"/>
      <c r="R1545" s="83"/>
      <c r="S1545" s="83"/>
      <c r="T1545" s="83"/>
      <c r="U1545" s="83"/>
      <c r="V1545" s="83"/>
    </row>
    <row r="1546" spans="1:22" s="99" customFormat="1" x14ac:dyDescent="0.3">
      <c r="A1546" s="83"/>
      <c r="B1546" s="92"/>
      <c r="C1546" s="83"/>
      <c r="G1546" s="147"/>
      <c r="I1546" s="147"/>
      <c r="M1546" s="164"/>
      <c r="O1546" s="83"/>
      <c r="P1546" s="93"/>
      <c r="Q1546" s="83"/>
      <c r="R1546" s="83"/>
      <c r="S1546" s="83"/>
      <c r="T1546" s="83"/>
      <c r="U1546" s="83"/>
      <c r="V1546" s="83"/>
    </row>
    <row r="1547" spans="1:22" s="99" customFormat="1" x14ac:dyDescent="0.3">
      <c r="A1547" s="83"/>
      <c r="B1547" s="92"/>
      <c r="C1547" s="83"/>
      <c r="G1547" s="147"/>
      <c r="I1547" s="147"/>
      <c r="M1547" s="164"/>
      <c r="O1547" s="83"/>
      <c r="P1547" s="93"/>
      <c r="Q1547" s="83"/>
      <c r="R1547" s="83"/>
      <c r="S1547" s="83"/>
      <c r="T1547" s="83"/>
      <c r="U1547" s="83"/>
      <c r="V1547" s="83"/>
    </row>
    <row r="1548" spans="1:22" s="99" customFormat="1" x14ac:dyDescent="0.3">
      <c r="A1548" s="83"/>
      <c r="B1548" s="92"/>
      <c r="C1548" s="83"/>
      <c r="G1548" s="147"/>
      <c r="I1548" s="147"/>
      <c r="M1548" s="164"/>
      <c r="O1548" s="83"/>
      <c r="P1548" s="93"/>
      <c r="Q1548" s="83"/>
      <c r="R1548" s="83"/>
      <c r="S1548" s="83"/>
      <c r="T1548" s="83"/>
      <c r="U1548" s="83"/>
      <c r="V1548" s="83"/>
    </row>
    <row r="1549" spans="1:22" s="99" customFormat="1" x14ac:dyDescent="0.3">
      <c r="A1549" s="83"/>
      <c r="B1549" s="92"/>
      <c r="C1549" s="83"/>
      <c r="G1549" s="147"/>
      <c r="I1549" s="147"/>
      <c r="M1549" s="164"/>
      <c r="O1549" s="83"/>
      <c r="P1549" s="93"/>
      <c r="Q1549" s="83"/>
      <c r="R1549" s="83"/>
      <c r="S1549" s="83"/>
      <c r="T1549" s="83"/>
      <c r="U1549" s="83"/>
      <c r="V1549" s="83"/>
    </row>
    <row r="1550" spans="1:22" s="99" customFormat="1" x14ac:dyDescent="0.3">
      <c r="A1550" s="83"/>
      <c r="B1550" s="92"/>
      <c r="C1550" s="83"/>
      <c r="G1550" s="147"/>
      <c r="I1550" s="147"/>
      <c r="M1550" s="164"/>
      <c r="O1550" s="83"/>
      <c r="P1550" s="93"/>
      <c r="Q1550" s="83"/>
      <c r="R1550" s="83"/>
      <c r="S1550" s="83"/>
      <c r="T1550" s="83"/>
      <c r="U1550" s="83"/>
      <c r="V1550" s="83"/>
    </row>
    <row r="1551" spans="1:22" s="99" customFormat="1" x14ac:dyDescent="0.3">
      <c r="A1551" s="83"/>
      <c r="B1551" s="92"/>
      <c r="C1551" s="83"/>
      <c r="G1551" s="147"/>
      <c r="I1551" s="147"/>
      <c r="M1551" s="164"/>
      <c r="O1551" s="83"/>
      <c r="P1551" s="93"/>
      <c r="Q1551" s="83"/>
      <c r="R1551" s="83"/>
      <c r="S1551" s="83"/>
      <c r="T1551" s="83"/>
      <c r="U1551" s="83"/>
      <c r="V1551" s="83"/>
    </row>
    <row r="1552" spans="1:22" s="99" customFormat="1" x14ac:dyDescent="0.3">
      <c r="A1552" s="83"/>
      <c r="B1552" s="92"/>
      <c r="C1552" s="83"/>
      <c r="G1552" s="147"/>
      <c r="I1552" s="147"/>
      <c r="M1552" s="164"/>
      <c r="O1552" s="83"/>
      <c r="P1552" s="93"/>
      <c r="Q1552" s="83"/>
      <c r="R1552" s="83"/>
      <c r="S1552" s="83"/>
      <c r="T1552" s="83"/>
      <c r="U1552" s="83"/>
      <c r="V1552" s="83"/>
    </row>
    <row r="1553" spans="1:22" s="99" customFormat="1" x14ac:dyDescent="0.3">
      <c r="A1553" s="83"/>
      <c r="B1553" s="92"/>
      <c r="C1553" s="83"/>
      <c r="G1553" s="147"/>
      <c r="I1553" s="147"/>
      <c r="M1553" s="164"/>
      <c r="O1553" s="83"/>
      <c r="P1553" s="93"/>
      <c r="Q1553" s="83"/>
      <c r="R1553" s="83"/>
      <c r="S1553" s="83"/>
      <c r="T1553" s="83"/>
      <c r="U1553" s="83"/>
      <c r="V1553" s="83"/>
    </row>
    <row r="1554" spans="1:22" s="99" customFormat="1" x14ac:dyDescent="0.3">
      <c r="A1554" s="83"/>
      <c r="B1554" s="92"/>
      <c r="C1554" s="83"/>
      <c r="G1554" s="147"/>
      <c r="I1554" s="147"/>
      <c r="M1554" s="164"/>
      <c r="O1554" s="83"/>
      <c r="P1554" s="93"/>
      <c r="Q1554" s="83"/>
      <c r="R1554" s="83"/>
      <c r="S1554" s="83"/>
      <c r="T1554" s="83"/>
      <c r="U1554" s="83"/>
      <c r="V1554" s="83"/>
    </row>
    <row r="1555" spans="1:22" s="99" customFormat="1" x14ac:dyDescent="0.3">
      <c r="A1555" s="83"/>
      <c r="B1555" s="92"/>
      <c r="C1555" s="83"/>
      <c r="G1555" s="147"/>
      <c r="I1555" s="147"/>
      <c r="M1555" s="164"/>
      <c r="O1555" s="83"/>
      <c r="P1555" s="93"/>
      <c r="Q1555" s="83"/>
      <c r="R1555" s="83"/>
      <c r="S1555" s="83"/>
      <c r="T1555" s="83"/>
      <c r="U1555" s="83"/>
      <c r="V1555" s="83"/>
    </row>
    <row r="1556" spans="1:22" s="99" customFormat="1" x14ac:dyDescent="0.3">
      <c r="A1556" s="83"/>
      <c r="B1556" s="92"/>
      <c r="C1556" s="83"/>
      <c r="G1556" s="147"/>
      <c r="I1556" s="147"/>
      <c r="M1556" s="164"/>
      <c r="O1556" s="83"/>
      <c r="P1556" s="93"/>
      <c r="Q1556" s="83"/>
      <c r="R1556" s="83"/>
      <c r="S1556" s="83"/>
      <c r="T1556" s="83"/>
      <c r="U1556" s="83"/>
      <c r="V1556" s="83"/>
    </row>
    <row r="1557" spans="1:22" s="99" customFormat="1" x14ac:dyDescent="0.3">
      <c r="A1557" s="83"/>
      <c r="B1557" s="92"/>
      <c r="C1557" s="83"/>
      <c r="G1557" s="147"/>
      <c r="I1557" s="147"/>
      <c r="M1557" s="164"/>
      <c r="O1557" s="83"/>
      <c r="P1557" s="93"/>
      <c r="Q1557" s="83"/>
      <c r="R1557" s="83"/>
      <c r="S1557" s="83"/>
      <c r="T1557" s="83"/>
      <c r="U1557" s="83"/>
      <c r="V1557" s="83"/>
    </row>
    <row r="1558" spans="1:22" s="99" customFormat="1" x14ac:dyDescent="0.3">
      <c r="A1558" s="83"/>
      <c r="B1558" s="92"/>
      <c r="C1558" s="83"/>
      <c r="G1558" s="147"/>
      <c r="I1558" s="147"/>
      <c r="M1558" s="164"/>
      <c r="O1558" s="83"/>
      <c r="P1558" s="93"/>
      <c r="Q1558" s="83"/>
      <c r="R1558" s="83"/>
      <c r="S1558" s="83"/>
      <c r="T1558" s="83"/>
      <c r="U1558" s="83"/>
      <c r="V1558" s="83"/>
    </row>
    <row r="1559" spans="1:22" s="99" customFormat="1" x14ac:dyDescent="0.3">
      <c r="A1559" s="83"/>
      <c r="B1559" s="92"/>
      <c r="C1559" s="83"/>
      <c r="G1559" s="147"/>
      <c r="I1559" s="147"/>
      <c r="M1559" s="164"/>
      <c r="O1559" s="83"/>
      <c r="P1559" s="93"/>
      <c r="Q1559" s="83"/>
      <c r="R1559" s="83"/>
      <c r="S1559" s="83"/>
      <c r="T1559" s="83"/>
      <c r="U1559" s="83"/>
      <c r="V1559" s="83"/>
    </row>
    <row r="1560" spans="1:22" s="99" customFormat="1" x14ac:dyDescent="0.3">
      <c r="A1560" s="83"/>
      <c r="B1560" s="92"/>
      <c r="C1560" s="83"/>
      <c r="G1560" s="147"/>
      <c r="I1560" s="147"/>
      <c r="M1560" s="164"/>
      <c r="O1560" s="83"/>
      <c r="P1560" s="93"/>
      <c r="Q1560" s="83"/>
      <c r="R1560" s="83"/>
      <c r="S1560" s="83"/>
      <c r="T1560" s="83"/>
      <c r="U1560" s="83"/>
      <c r="V1560" s="83"/>
    </row>
    <row r="1561" spans="1:22" s="99" customFormat="1" x14ac:dyDescent="0.3">
      <c r="A1561" s="83"/>
      <c r="B1561" s="92"/>
      <c r="C1561" s="83"/>
      <c r="G1561" s="147"/>
      <c r="I1561" s="147"/>
      <c r="M1561" s="164"/>
      <c r="O1561" s="83"/>
      <c r="P1561" s="93"/>
      <c r="Q1561" s="83"/>
      <c r="R1561" s="83"/>
      <c r="S1561" s="83"/>
      <c r="T1561" s="83"/>
      <c r="U1561" s="83"/>
      <c r="V1561" s="83"/>
    </row>
    <row r="1562" spans="1:22" s="99" customFormat="1" x14ac:dyDescent="0.3">
      <c r="A1562" s="83"/>
      <c r="B1562" s="92"/>
      <c r="C1562" s="83"/>
      <c r="G1562" s="147"/>
      <c r="I1562" s="147"/>
      <c r="M1562" s="164"/>
      <c r="O1562" s="83"/>
      <c r="P1562" s="93"/>
      <c r="Q1562" s="83"/>
      <c r="R1562" s="83"/>
      <c r="S1562" s="83"/>
      <c r="T1562" s="83"/>
      <c r="U1562" s="83"/>
      <c r="V1562" s="83"/>
    </row>
    <row r="1563" spans="1:22" s="99" customFormat="1" x14ac:dyDescent="0.3">
      <c r="A1563" s="83"/>
      <c r="B1563" s="92"/>
      <c r="C1563" s="83"/>
      <c r="G1563" s="147"/>
      <c r="I1563" s="147"/>
      <c r="M1563" s="164"/>
      <c r="O1563" s="83"/>
      <c r="P1563" s="93"/>
      <c r="Q1563" s="83"/>
      <c r="R1563" s="83"/>
      <c r="S1563" s="83"/>
      <c r="T1563" s="83"/>
      <c r="U1563" s="83"/>
      <c r="V1563" s="83"/>
    </row>
    <row r="1564" spans="1:22" s="99" customFormat="1" x14ac:dyDescent="0.3">
      <c r="A1564" s="83"/>
      <c r="B1564" s="92"/>
      <c r="C1564" s="83"/>
      <c r="G1564" s="147"/>
      <c r="I1564" s="147"/>
      <c r="M1564" s="164"/>
      <c r="O1564" s="83"/>
      <c r="P1564" s="93"/>
      <c r="Q1564" s="83"/>
      <c r="R1564" s="83"/>
      <c r="S1564" s="83"/>
      <c r="T1564" s="83"/>
      <c r="U1564" s="83"/>
      <c r="V1564" s="83"/>
    </row>
    <row r="1565" spans="1:22" s="99" customFormat="1" x14ac:dyDescent="0.3">
      <c r="A1565" s="83"/>
      <c r="B1565" s="92"/>
      <c r="C1565" s="83"/>
      <c r="G1565" s="148"/>
      <c r="I1565" s="147"/>
      <c r="J1565" s="151"/>
      <c r="M1565" s="164"/>
      <c r="O1565" s="83"/>
      <c r="P1565" s="93"/>
      <c r="Q1565" s="83"/>
      <c r="R1565" s="83"/>
      <c r="S1565" s="83"/>
      <c r="T1565" s="83"/>
      <c r="U1565" s="83"/>
      <c r="V1565" s="83"/>
    </row>
    <row r="1566" spans="1:22" s="99" customFormat="1" x14ac:dyDescent="0.3">
      <c r="A1566" s="83"/>
      <c r="B1566" s="92"/>
      <c r="C1566" s="83"/>
      <c r="G1566" s="148"/>
      <c r="I1566" s="147"/>
      <c r="J1566" s="151"/>
      <c r="M1566" s="164"/>
      <c r="O1566" s="83"/>
      <c r="P1566" s="93"/>
      <c r="Q1566" s="83"/>
      <c r="R1566" s="83"/>
      <c r="S1566" s="83"/>
      <c r="T1566" s="83"/>
      <c r="U1566" s="83"/>
      <c r="V1566" s="83"/>
    </row>
    <row r="1567" spans="1:22" s="99" customFormat="1" x14ac:dyDescent="0.3">
      <c r="A1567" s="83"/>
      <c r="B1567" s="92"/>
      <c r="C1567" s="83"/>
      <c r="G1567" s="148"/>
      <c r="I1567" s="147"/>
      <c r="J1567" s="151"/>
      <c r="M1567" s="164"/>
      <c r="O1567" s="83"/>
      <c r="P1567" s="93"/>
      <c r="Q1567" s="83"/>
      <c r="R1567" s="83"/>
      <c r="S1567" s="83"/>
      <c r="T1567" s="83"/>
      <c r="U1567" s="83"/>
      <c r="V1567" s="83"/>
    </row>
    <row r="1568" spans="1:22" s="99" customFormat="1" x14ac:dyDescent="0.3">
      <c r="A1568" s="83"/>
      <c r="B1568" s="92"/>
      <c r="C1568" s="83"/>
      <c r="G1568" s="148"/>
      <c r="I1568" s="147"/>
      <c r="J1568" s="151"/>
      <c r="M1568" s="164"/>
      <c r="O1568" s="83"/>
      <c r="P1568" s="93"/>
      <c r="Q1568" s="83"/>
      <c r="R1568" s="83"/>
      <c r="S1568" s="83"/>
      <c r="T1568" s="83"/>
      <c r="U1568" s="83"/>
      <c r="V1568" s="83"/>
    </row>
    <row r="1569" spans="1:22" s="99" customFormat="1" x14ac:dyDescent="0.3">
      <c r="A1569" s="83"/>
      <c r="B1569" s="92"/>
      <c r="C1569" s="83"/>
      <c r="G1569" s="148"/>
      <c r="I1569" s="147"/>
      <c r="J1569" s="151"/>
      <c r="M1569" s="164"/>
      <c r="O1569" s="83"/>
      <c r="P1569" s="93"/>
      <c r="Q1569" s="83"/>
      <c r="R1569" s="83"/>
      <c r="S1569" s="83"/>
      <c r="T1569" s="83"/>
      <c r="U1569" s="83"/>
      <c r="V1569" s="83"/>
    </row>
    <row r="1570" spans="1:22" s="99" customFormat="1" x14ac:dyDescent="0.3">
      <c r="A1570" s="83"/>
      <c r="B1570" s="92"/>
      <c r="C1570" s="83"/>
      <c r="G1570" s="148"/>
      <c r="I1570" s="147"/>
      <c r="J1570" s="151"/>
      <c r="M1570" s="164"/>
      <c r="O1570" s="83"/>
      <c r="P1570" s="93"/>
      <c r="Q1570" s="83"/>
      <c r="R1570" s="83"/>
      <c r="S1570" s="83"/>
      <c r="T1570" s="83"/>
      <c r="U1570" s="83"/>
      <c r="V1570" s="83"/>
    </row>
    <row r="1571" spans="1:22" s="99" customFormat="1" x14ac:dyDescent="0.3">
      <c r="A1571" s="83"/>
      <c r="B1571" s="92"/>
      <c r="C1571" s="83"/>
      <c r="G1571" s="148"/>
      <c r="I1571" s="147"/>
      <c r="J1571" s="151"/>
      <c r="M1571" s="164"/>
      <c r="O1571" s="83"/>
      <c r="P1571" s="93"/>
      <c r="Q1571" s="83"/>
      <c r="R1571" s="83"/>
      <c r="S1571" s="83"/>
      <c r="T1571" s="83"/>
      <c r="U1571" s="83"/>
      <c r="V1571" s="83"/>
    </row>
    <row r="1572" spans="1:22" s="99" customFormat="1" x14ac:dyDescent="0.3">
      <c r="A1572" s="83"/>
      <c r="B1572" s="92"/>
      <c r="C1572" s="83"/>
      <c r="G1572" s="148"/>
      <c r="I1572" s="147"/>
      <c r="J1572" s="151"/>
      <c r="M1572" s="164"/>
      <c r="O1572" s="83"/>
      <c r="P1572" s="93"/>
      <c r="Q1572" s="83"/>
      <c r="R1572" s="83"/>
      <c r="S1572" s="83"/>
      <c r="T1572" s="83"/>
      <c r="U1572" s="83"/>
      <c r="V1572" s="83"/>
    </row>
  </sheetData>
  <autoFilter ref="A1:V1572"/>
  <phoneticPr fontId="18" type="noConversion"/>
  <pageMargins left="0.7" right="0.7" top="0.75" bottom="0.75" header="0.3" footer="0.3"/>
  <pageSetup paperSize="9" orientation="portrait" verticalDpi="0" r:id="rId1"/>
  <ignoredErrors>
    <ignoredError sqref="K88:K315 I227 I100:I102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C89"/>
  <sheetViews>
    <sheetView tabSelected="1" workbookViewId="0">
      <selection activeCell="A49" sqref="A49"/>
    </sheetView>
  </sheetViews>
  <sheetFormatPr defaultRowHeight="14.4" x14ac:dyDescent="0.3"/>
  <cols>
    <col min="1" max="1" width="7.109375" style="119" customWidth="1"/>
    <col min="2" max="2" width="21.5546875" bestFit="1" customWidth="1"/>
    <col min="3" max="3" width="13.44140625" bestFit="1" customWidth="1"/>
  </cols>
  <sheetData>
    <row r="1" spans="1:3" ht="37.950000000000003" customHeight="1" x14ac:dyDescent="0.3">
      <c r="A1" s="169" t="s">
        <v>696</v>
      </c>
      <c r="B1" s="169"/>
      <c r="C1" s="169"/>
    </row>
    <row r="2" spans="1:3" ht="29.55" customHeight="1" x14ac:dyDescent="0.3">
      <c r="A2" s="135"/>
      <c r="B2" s="134" t="s">
        <v>725</v>
      </c>
      <c r="C2" s="133" t="s">
        <v>165</v>
      </c>
    </row>
    <row r="3" spans="1:3" ht="14.85" x14ac:dyDescent="0.3">
      <c r="A3" s="119" t="s">
        <v>726</v>
      </c>
      <c r="B3" s="2" t="s">
        <v>636</v>
      </c>
      <c r="C3" s="105">
        <v>3582.9000000599999</v>
      </c>
    </row>
    <row r="4" spans="1:3" ht="14.85" x14ac:dyDescent="0.3">
      <c r="A4" s="119">
        <v>1</v>
      </c>
      <c r="B4" s="3" t="s">
        <v>14</v>
      </c>
      <c r="C4" s="105">
        <v>542.00000002000002</v>
      </c>
    </row>
    <row r="5" spans="1:3" ht="14.85" x14ac:dyDescent="0.3">
      <c r="A5" s="152">
        <v>2</v>
      </c>
      <c r="B5" s="3" t="s">
        <v>35</v>
      </c>
      <c r="C5" s="105">
        <v>443.90000001000004</v>
      </c>
    </row>
    <row r="6" spans="1:3" ht="14.85" x14ac:dyDescent="0.3">
      <c r="A6" s="152">
        <v>3</v>
      </c>
      <c r="B6" s="3" t="s">
        <v>87</v>
      </c>
      <c r="C6" s="105">
        <v>432</v>
      </c>
    </row>
    <row r="7" spans="1:3" ht="14.85" x14ac:dyDescent="0.3">
      <c r="A7" s="119">
        <v>4</v>
      </c>
      <c r="B7" s="3" t="s">
        <v>47</v>
      </c>
      <c r="C7" s="105">
        <v>273</v>
      </c>
    </row>
    <row r="8" spans="1:3" ht="14.85" x14ac:dyDescent="0.3">
      <c r="A8" s="119">
        <v>5</v>
      </c>
      <c r="B8" s="3" t="s">
        <v>67</v>
      </c>
      <c r="C8" s="105">
        <v>156</v>
      </c>
    </row>
    <row r="9" spans="1:3" x14ac:dyDescent="0.3">
      <c r="A9" s="152">
        <v>6</v>
      </c>
      <c r="B9" s="3" t="s">
        <v>167</v>
      </c>
      <c r="C9" s="105">
        <v>102</v>
      </c>
    </row>
    <row r="10" spans="1:3" x14ac:dyDescent="0.3">
      <c r="A10" s="152">
        <v>7</v>
      </c>
      <c r="B10" s="3" t="s">
        <v>150</v>
      </c>
      <c r="C10" s="105">
        <v>101</v>
      </c>
    </row>
    <row r="11" spans="1:3" ht="14.85" x14ac:dyDescent="0.3">
      <c r="A11" s="119">
        <v>8</v>
      </c>
      <c r="B11" s="3" t="s">
        <v>325</v>
      </c>
      <c r="C11" s="105">
        <v>100</v>
      </c>
    </row>
    <row r="12" spans="1:3" ht="14.85" x14ac:dyDescent="0.3">
      <c r="A12" s="119">
        <v>9</v>
      </c>
      <c r="B12" s="3" t="s">
        <v>318</v>
      </c>
      <c r="C12" s="105">
        <v>94</v>
      </c>
    </row>
    <row r="13" spans="1:3" ht="14.85" x14ac:dyDescent="0.3">
      <c r="A13" s="152">
        <v>10</v>
      </c>
      <c r="B13" s="3" t="s">
        <v>817</v>
      </c>
      <c r="C13" s="105">
        <v>94</v>
      </c>
    </row>
    <row r="14" spans="1:3" x14ac:dyDescent="0.3">
      <c r="A14" s="152">
        <v>11</v>
      </c>
      <c r="B14" s="3" t="s">
        <v>65</v>
      </c>
      <c r="C14" s="105">
        <v>92</v>
      </c>
    </row>
    <row r="15" spans="1:3" ht="14.85" x14ac:dyDescent="0.3">
      <c r="A15" s="119">
        <v>12</v>
      </c>
      <c r="B15" s="3" t="s">
        <v>803</v>
      </c>
      <c r="C15" s="105">
        <v>91</v>
      </c>
    </row>
    <row r="16" spans="1:3" ht="14.85" x14ac:dyDescent="0.3">
      <c r="A16" s="119">
        <v>13</v>
      </c>
      <c r="B16" s="3" t="s">
        <v>37</v>
      </c>
      <c r="C16" s="105">
        <v>79</v>
      </c>
    </row>
    <row r="17" spans="1:3" ht="14.85" x14ac:dyDescent="0.3">
      <c r="A17" s="152">
        <v>14</v>
      </c>
      <c r="B17" s="3" t="s">
        <v>326</v>
      </c>
      <c r="C17" s="105">
        <v>73</v>
      </c>
    </row>
    <row r="18" spans="1:3" x14ac:dyDescent="0.3">
      <c r="A18" s="152">
        <v>15</v>
      </c>
      <c r="B18" s="3" t="s">
        <v>39</v>
      </c>
      <c r="C18" s="105">
        <v>70</v>
      </c>
    </row>
    <row r="19" spans="1:3" ht="14.85" x14ac:dyDescent="0.3">
      <c r="A19" s="119">
        <v>16</v>
      </c>
      <c r="B19" s="3" t="s">
        <v>79</v>
      </c>
      <c r="C19" s="105">
        <v>65</v>
      </c>
    </row>
    <row r="20" spans="1:3" ht="14.85" x14ac:dyDescent="0.3">
      <c r="A20" s="119">
        <v>17</v>
      </c>
      <c r="B20" s="3" t="s">
        <v>41</v>
      </c>
      <c r="C20" s="105">
        <v>63</v>
      </c>
    </row>
    <row r="21" spans="1:3" ht="14.85" x14ac:dyDescent="0.3">
      <c r="A21" s="152">
        <v>18</v>
      </c>
      <c r="B21" s="3" t="s">
        <v>151</v>
      </c>
      <c r="C21" s="105">
        <v>62</v>
      </c>
    </row>
    <row r="22" spans="1:3" ht="14.85" x14ac:dyDescent="0.3">
      <c r="A22" s="152">
        <v>19</v>
      </c>
      <c r="B22" s="3" t="s">
        <v>23</v>
      </c>
      <c r="C22" s="105">
        <v>57</v>
      </c>
    </row>
    <row r="23" spans="1:3" ht="14.85" x14ac:dyDescent="0.3">
      <c r="A23" s="119">
        <v>20</v>
      </c>
      <c r="B23" s="3" t="s">
        <v>149</v>
      </c>
      <c r="C23" s="105">
        <v>52.000000030000002</v>
      </c>
    </row>
    <row r="24" spans="1:3" ht="14.85" x14ac:dyDescent="0.3">
      <c r="A24" s="119">
        <v>21</v>
      </c>
      <c r="B24" s="3" t="s">
        <v>818</v>
      </c>
      <c r="C24" s="105">
        <v>50</v>
      </c>
    </row>
    <row r="25" spans="1:3" x14ac:dyDescent="0.3">
      <c r="A25" s="152">
        <v>22</v>
      </c>
      <c r="B25" s="3" t="s">
        <v>51</v>
      </c>
      <c r="C25" s="105">
        <v>50</v>
      </c>
    </row>
    <row r="26" spans="1:3" ht="14.85" x14ac:dyDescent="0.3">
      <c r="A26" s="152">
        <v>23</v>
      </c>
      <c r="B26" s="3" t="s">
        <v>312</v>
      </c>
      <c r="C26" s="105">
        <v>46</v>
      </c>
    </row>
    <row r="27" spans="1:3" ht="14.85" x14ac:dyDescent="0.3">
      <c r="A27" s="119">
        <v>24</v>
      </c>
      <c r="B27" s="3" t="s">
        <v>16</v>
      </c>
      <c r="C27" s="105">
        <v>45</v>
      </c>
    </row>
    <row r="28" spans="1:3" x14ac:dyDescent="0.3">
      <c r="A28" s="119">
        <v>25</v>
      </c>
      <c r="B28" s="3" t="s">
        <v>307</v>
      </c>
      <c r="C28" s="105">
        <v>44</v>
      </c>
    </row>
    <row r="29" spans="1:3" x14ac:dyDescent="0.3">
      <c r="A29" s="152">
        <v>26</v>
      </c>
      <c r="B29" s="3" t="s">
        <v>314</v>
      </c>
      <c r="C29" s="105">
        <v>44</v>
      </c>
    </row>
    <row r="30" spans="1:3" x14ac:dyDescent="0.3">
      <c r="A30" s="152">
        <v>27</v>
      </c>
      <c r="B30" s="3" t="s">
        <v>315</v>
      </c>
      <c r="C30" s="105">
        <v>39</v>
      </c>
    </row>
    <row r="31" spans="1:3" x14ac:dyDescent="0.3">
      <c r="A31" s="119">
        <v>28</v>
      </c>
      <c r="B31" s="3" t="s">
        <v>117</v>
      </c>
      <c r="C31" s="105">
        <v>37</v>
      </c>
    </row>
    <row r="32" spans="1:3" x14ac:dyDescent="0.3">
      <c r="A32" s="119">
        <v>29</v>
      </c>
      <c r="B32" s="3" t="s">
        <v>309</v>
      </c>
      <c r="C32" s="105">
        <v>33</v>
      </c>
    </row>
    <row r="33" spans="1:3" x14ac:dyDescent="0.3">
      <c r="A33" s="152">
        <v>30</v>
      </c>
      <c r="B33" s="3" t="s">
        <v>82</v>
      </c>
      <c r="C33" s="105">
        <v>28</v>
      </c>
    </row>
    <row r="34" spans="1:3" x14ac:dyDescent="0.3">
      <c r="A34" s="152">
        <v>31</v>
      </c>
      <c r="B34" s="3" t="s">
        <v>61</v>
      </c>
      <c r="C34" s="105">
        <v>25</v>
      </c>
    </row>
    <row r="35" spans="1:3" x14ac:dyDescent="0.3">
      <c r="A35" s="119">
        <v>32</v>
      </c>
      <c r="B35" s="3" t="s">
        <v>335</v>
      </c>
      <c r="C35" s="105">
        <v>24</v>
      </c>
    </row>
    <row r="36" spans="1:3" x14ac:dyDescent="0.3">
      <c r="A36" s="119">
        <v>33</v>
      </c>
      <c r="B36" s="3" t="s">
        <v>823</v>
      </c>
      <c r="C36" s="105">
        <v>15</v>
      </c>
    </row>
    <row r="37" spans="1:3" x14ac:dyDescent="0.3">
      <c r="A37" s="152">
        <v>34</v>
      </c>
      <c r="B37" s="3" t="s">
        <v>322</v>
      </c>
      <c r="C37" s="105">
        <v>11</v>
      </c>
    </row>
    <row r="38" spans="1:3" x14ac:dyDescent="0.3">
      <c r="A38" s="152">
        <v>35</v>
      </c>
      <c r="B38" s="3" t="s">
        <v>327</v>
      </c>
      <c r="C38" s="105">
        <v>11</v>
      </c>
    </row>
    <row r="39" spans="1:3" x14ac:dyDescent="0.3">
      <c r="A39" s="119">
        <v>36</v>
      </c>
      <c r="B39" s="3" t="s">
        <v>336</v>
      </c>
      <c r="C39" s="105">
        <v>9</v>
      </c>
    </row>
    <row r="40" spans="1:3" x14ac:dyDescent="0.3">
      <c r="A40" s="119">
        <v>37</v>
      </c>
      <c r="B40" s="3" t="s">
        <v>26</v>
      </c>
      <c r="C40" s="105">
        <v>9</v>
      </c>
    </row>
    <row r="41" spans="1:3" x14ac:dyDescent="0.3">
      <c r="A41" s="152">
        <v>38</v>
      </c>
      <c r="B41" s="3" t="s">
        <v>331</v>
      </c>
      <c r="C41" s="105">
        <v>8</v>
      </c>
    </row>
    <row r="42" spans="1:3" x14ac:dyDescent="0.3">
      <c r="A42" s="152">
        <v>39</v>
      </c>
      <c r="B42" s="3" t="s">
        <v>310</v>
      </c>
      <c r="C42" s="105">
        <v>4</v>
      </c>
    </row>
    <row r="43" spans="1:3" x14ac:dyDescent="0.3">
      <c r="A43" s="119">
        <v>40</v>
      </c>
      <c r="B43" s="3" t="s">
        <v>332</v>
      </c>
      <c r="C43" s="105">
        <v>4</v>
      </c>
    </row>
    <row r="44" spans="1:3" x14ac:dyDescent="0.3">
      <c r="A44" s="119">
        <v>41</v>
      </c>
      <c r="B44" s="3" t="s">
        <v>790</v>
      </c>
      <c r="C44" s="105">
        <v>3</v>
      </c>
    </row>
    <row r="45" spans="1:3" x14ac:dyDescent="0.3">
      <c r="A45" s="152">
        <v>42</v>
      </c>
      <c r="B45" s="3" t="s">
        <v>826</v>
      </c>
      <c r="C45" s="105">
        <v>2</v>
      </c>
    </row>
    <row r="46" spans="1:3" x14ac:dyDescent="0.3">
      <c r="A46" s="152">
        <v>43</v>
      </c>
      <c r="B46" s="3" t="s">
        <v>829</v>
      </c>
      <c r="C46" s="105">
        <v>0</v>
      </c>
    </row>
    <row r="47" spans="1:3" x14ac:dyDescent="0.3">
      <c r="A47" s="119">
        <v>44</v>
      </c>
      <c r="B47" s="3" t="s">
        <v>828</v>
      </c>
      <c r="C47" s="105">
        <v>0</v>
      </c>
    </row>
    <row r="48" spans="1:3" x14ac:dyDescent="0.3">
      <c r="A48" s="119">
        <v>45</v>
      </c>
      <c r="B48" s="3" t="s">
        <v>441</v>
      </c>
      <c r="C48" s="105">
        <v>0</v>
      </c>
    </row>
    <row r="49" spans="1:3" x14ac:dyDescent="0.3">
      <c r="B49" s="2" t="s">
        <v>637</v>
      </c>
      <c r="C49" s="105">
        <v>518.00000002000002</v>
      </c>
    </row>
    <row r="50" spans="1:3" x14ac:dyDescent="0.3">
      <c r="A50" s="152">
        <v>1</v>
      </c>
      <c r="B50" s="3" t="s">
        <v>702</v>
      </c>
      <c r="C50" s="105">
        <v>202</v>
      </c>
    </row>
    <row r="51" spans="1:3" x14ac:dyDescent="0.3">
      <c r="A51" s="152">
        <v>2</v>
      </c>
      <c r="B51" s="3" t="s">
        <v>98</v>
      </c>
      <c r="C51" s="105">
        <v>65.000000010000008</v>
      </c>
    </row>
    <row r="52" spans="1:3" x14ac:dyDescent="0.3">
      <c r="A52" s="119">
        <v>3</v>
      </c>
      <c r="B52" s="3" t="s">
        <v>711</v>
      </c>
      <c r="C52" s="105">
        <v>52</v>
      </c>
    </row>
    <row r="53" spans="1:3" x14ac:dyDescent="0.3">
      <c r="A53" s="152">
        <v>4</v>
      </c>
      <c r="B53" s="3" t="s">
        <v>819</v>
      </c>
      <c r="C53" s="105">
        <v>37</v>
      </c>
    </row>
    <row r="54" spans="1:3" x14ac:dyDescent="0.3">
      <c r="A54" s="152">
        <v>5</v>
      </c>
      <c r="B54" s="3" t="s">
        <v>701</v>
      </c>
      <c r="C54" s="105">
        <v>28.000000010000001</v>
      </c>
    </row>
    <row r="55" spans="1:3" x14ac:dyDescent="0.3">
      <c r="A55" s="119">
        <v>6</v>
      </c>
      <c r="B55" s="3" t="s">
        <v>703</v>
      </c>
      <c r="C55" s="105">
        <v>28</v>
      </c>
    </row>
    <row r="56" spans="1:3" x14ac:dyDescent="0.3">
      <c r="A56" s="152">
        <v>7</v>
      </c>
      <c r="B56" s="3" t="s">
        <v>820</v>
      </c>
      <c r="C56" s="105">
        <v>21</v>
      </c>
    </row>
    <row r="57" spans="1:3" x14ac:dyDescent="0.3">
      <c r="A57" s="152">
        <v>8</v>
      </c>
      <c r="B57" s="3" t="s">
        <v>821</v>
      </c>
      <c r="C57" s="105">
        <v>19</v>
      </c>
    </row>
    <row r="58" spans="1:3" x14ac:dyDescent="0.3">
      <c r="A58" s="119">
        <v>9</v>
      </c>
      <c r="B58" s="3" t="s">
        <v>595</v>
      </c>
      <c r="C58" s="105">
        <v>17</v>
      </c>
    </row>
    <row r="59" spans="1:3" x14ac:dyDescent="0.3">
      <c r="A59" s="152">
        <v>10</v>
      </c>
      <c r="B59" s="3" t="s">
        <v>822</v>
      </c>
      <c r="C59" s="105">
        <v>16</v>
      </c>
    </row>
    <row r="60" spans="1:3" x14ac:dyDescent="0.3">
      <c r="A60" s="152">
        <v>11</v>
      </c>
      <c r="B60" s="3" t="s">
        <v>825</v>
      </c>
      <c r="C60" s="105">
        <v>12</v>
      </c>
    </row>
    <row r="61" spans="1:3" x14ac:dyDescent="0.3">
      <c r="A61" s="119">
        <v>12</v>
      </c>
      <c r="B61" s="3" t="s">
        <v>824</v>
      </c>
      <c r="C61" s="105">
        <v>12</v>
      </c>
    </row>
    <row r="62" spans="1:3" x14ac:dyDescent="0.3">
      <c r="A62" s="152">
        <v>13</v>
      </c>
      <c r="B62" s="3" t="s">
        <v>317</v>
      </c>
      <c r="C62" s="105">
        <v>9</v>
      </c>
    </row>
    <row r="63" spans="1:3" x14ac:dyDescent="0.3">
      <c r="A63" s="152">
        <v>14</v>
      </c>
      <c r="B63" s="3" t="s">
        <v>827</v>
      </c>
      <c r="C63" s="105">
        <v>0</v>
      </c>
    </row>
    <row r="64" spans="1:3" x14ac:dyDescent="0.3">
      <c r="A64" s="119">
        <v>15</v>
      </c>
      <c r="B64" s="3" t="s">
        <v>328</v>
      </c>
      <c r="C64" s="105">
        <v>0</v>
      </c>
    </row>
    <row r="65" spans="1:3" x14ac:dyDescent="0.3">
      <c r="A65" s="139"/>
      <c r="B65" s="2" t="s">
        <v>164</v>
      </c>
      <c r="C65" s="105">
        <v>4100.9000000799997</v>
      </c>
    </row>
    <row r="66" spans="1:3" x14ac:dyDescent="0.3">
      <c r="A66" s="139"/>
    </row>
    <row r="67" spans="1:3" x14ac:dyDescent="0.3">
      <c r="A67" s="139"/>
    </row>
    <row r="68" spans="1:3" x14ac:dyDescent="0.3">
      <c r="A68" s="139"/>
    </row>
    <row r="69" spans="1:3" x14ac:dyDescent="0.3">
      <c r="A69" s="139"/>
    </row>
    <row r="70" spans="1:3" x14ac:dyDescent="0.3">
      <c r="A70" s="139"/>
    </row>
    <row r="71" spans="1:3" x14ac:dyDescent="0.3">
      <c r="A71" s="139"/>
    </row>
    <row r="72" spans="1:3" x14ac:dyDescent="0.3">
      <c r="A72" s="139"/>
    </row>
    <row r="73" spans="1:3" x14ac:dyDescent="0.3">
      <c r="A73" s="139"/>
    </row>
    <row r="74" spans="1:3" x14ac:dyDescent="0.3">
      <c r="A74" s="139"/>
    </row>
    <row r="75" spans="1:3" x14ac:dyDescent="0.3">
      <c r="A75" s="139"/>
    </row>
    <row r="76" spans="1:3" x14ac:dyDescent="0.3">
      <c r="A76" s="139"/>
    </row>
    <row r="77" spans="1:3" x14ac:dyDescent="0.3">
      <c r="A77" s="139"/>
    </row>
    <row r="78" spans="1:3" x14ac:dyDescent="0.3">
      <c r="A78" s="139"/>
    </row>
    <row r="79" spans="1:3" x14ac:dyDescent="0.3">
      <c r="A79" s="139"/>
    </row>
    <row r="80" spans="1:3" x14ac:dyDescent="0.3">
      <c r="A80" s="139"/>
    </row>
    <row r="81" spans="1:1" x14ac:dyDescent="0.3">
      <c r="A81" s="139"/>
    </row>
    <row r="82" spans="1:1" x14ac:dyDescent="0.3">
      <c r="A82" s="139"/>
    </row>
    <row r="83" spans="1:1" x14ac:dyDescent="0.3">
      <c r="A83" s="139"/>
    </row>
    <row r="84" spans="1:1" x14ac:dyDescent="0.3">
      <c r="A84" s="139"/>
    </row>
    <row r="85" spans="1:1" x14ac:dyDescent="0.3">
      <c r="A85" s="139"/>
    </row>
    <row r="86" spans="1:1" x14ac:dyDescent="0.3">
      <c r="A86" s="139"/>
    </row>
    <row r="87" spans="1:1" x14ac:dyDescent="0.3">
      <c r="A87" s="139"/>
    </row>
    <row r="88" spans="1:1" x14ac:dyDescent="0.3">
      <c r="A88" s="139"/>
    </row>
    <row r="89" spans="1:1" x14ac:dyDescent="0.3">
      <c r="A89" s="139"/>
    </row>
  </sheetData>
  <mergeCells count="1">
    <mergeCell ref="A1:C1"/>
  </mergeCells>
  <pageMargins left="0.7" right="0.7" top="0.75" bottom="0.75" header="0.3" footer="0.3"/>
  <pageSetup paperSize="9" orientation="portrait" verticalDpi="0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B134"/>
  <sheetViews>
    <sheetView topLeftCell="A16" zoomScaleNormal="100" workbookViewId="0">
      <selection activeCell="B6" sqref="B6"/>
    </sheetView>
  </sheetViews>
  <sheetFormatPr defaultRowHeight="14.4" x14ac:dyDescent="0.3"/>
  <cols>
    <col min="1" max="1" width="23.44140625" bestFit="1" customWidth="1"/>
    <col min="2" max="2" width="20.77734375" style="120" bestFit="1" customWidth="1"/>
    <col min="3" max="3" width="14" bestFit="1" customWidth="1"/>
    <col min="4" max="4" width="9.21875" bestFit="1" customWidth="1"/>
  </cols>
  <sheetData>
    <row r="1" spans="1:2" ht="37.950000000000003" customHeight="1" x14ac:dyDescent="0.3">
      <c r="A1" s="170" t="s">
        <v>727</v>
      </c>
      <c r="B1" s="170"/>
    </row>
    <row r="2" spans="1:2" ht="27" customHeight="1" x14ac:dyDescent="0.3">
      <c r="A2" s="132" t="s">
        <v>725</v>
      </c>
      <c r="B2" s="136" t="s">
        <v>165</v>
      </c>
    </row>
    <row r="3" spans="1:2" ht="14.85" x14ac:dyDescent="0.3">
      <c r="A3" s="2" t="s">
        <v>636</v>
      </c>
      <c r="B3" s="120">
        <v>3582.9000000599999</v>
      </c>
    </row>
    <row r="4" spans="1:2" ht="14.85" x14ac:dyDescent="0.3">
      <c r="A4" s="3" t="s">
        <v>126</v>
      </c>
      <c r="B4" s="120">
        <v>673.90000006000002</v>
      </c>
    </row>
    <row r="5" spans="1:2" ht="14.85" x14ac:dyDescent="0.3">
      <c r="A5" s="94" t="s">
        <v>14</v>
      </c>
      <c r="B5" s="120">
        <v>205.00000002000002</v>
      </c>
    </row>
    <row r="6" spans="1:2" ht="14.85" x14ac:dyDescent="0.3">
      <c r="A6" s="94" t="s">
        <v>47</v>
      </c>
      <c r="B6" s="120">
        <v>79</v>
      </c>
    </row>
    <row r="7" spans="1:2" x14ac:dyDescent="0.3">
      <c r="A7" s="94" t="s">
        <v>150</v>
      </c>
      <c r="B7" s="120">
        <v>56</v>
      </c>
    </row>
    <row r="8" spans="1:2" ht="14.85" x14ac:dyDescent="0.3">
      <c r="A8" s="94" t="s">
        <v>149</v>
      </c>
      <c r="B8" s="120">
        <v>52.000000030000002</v>
      </c>
    </row>
    <row r="9" spans="1:2" ht="14.85" x14ac:dyDescent="0.3">
      <c r="A9" s="94" t="s">
        <v>87</v>
      </c>
      <c r="B9" s="120">
        <v>32</v>
      </c>
    </row>
    <row r="10" spans="1:2" ht="14.85" x14ac:dyDescent="0.3">
      <c r="A10" s="94" t="s">
        <v>23</v>
      </c>
      <c r="B10" s="120">
        <v>25</v>
      </c>
    </row>
    <row r="11" spans="1:2" ht="14.85" x14ac:dyDescent="0.3">
      <c r="A11" s="94" t="s">
        <v>326</v>
      </c>
      <c r="B11" s="120">
        <v>21</v>
      </c>
    </row>
    <row r="12" spans="1:2" ht="14.85" x14ac:dyDescent="0.3">
      <c r="A12" s="94" t="s">
        <v>325</v>
      </c>
      <c r="B12" s="120">
        <v>19</v>
      </c>
    </row>
    <row r="13" spans="1:2" x14ac:dyDescent="0.3">
      <c r="A13" s="94" t="s">
        <v>39</v>
      </c>
      <c r="B13" s="120">
        <v>19</v>
      </c>
    </row>
    <row r="14" spans="1:2" ht="14.85" x14ac:dyDescent="0.3">
      <c r="A14" s="94" t="s">
        <v>315</v>
      </c>
      <c r="B14" s="120">
        <v>18</v>
      </c>
    </row>
    <row r="15" spans="1:2" ht="14.85" x14ac:dyDescent="0.3">
      <c r="A15" s="94" t="s">
        <v>151</v>
      </c>
      <c r="B15" s="120">
        <v>18</v>
      </c>
    </row>
    <row r="16" spans="1:2" x14ac:dyDescent="0.3">
      <c r="A16" s="94" t="s">
        <v>51</v>
      </c>
      <c r="B16" s="120">
        <v>16</v>
      </c>
    </row>
    <row r="17" spans="1:2" ht="14.85" x14ac:dyDescent="0.3">
      <c r="A17" s="94" t="s">
        <v>818</v>
      </c>
      <c r="B17" s="120">
        <v>14</v>
      </c>
    </row>
    <row r="18" spans="1:2" ht="14.85" x14ac:dyDescent="0.3">
      <c r="A18" s="94" t="s">
        <v>67</v>
      </c>
      <c r="B18" s="120">
        <v>13</v>
      </c>
    </row>
    <row r="19" spans="1:2" ht="14.85" x14ac:dyDescent="0.3">
      <c r="A19" s="94" t="s">
        <v>35</v>
      </c>
      <c r="B19" s="120">
        <v>12.900000009999999</v>
      </c>
    </row>
    <row r="20" spans="1:2" x14ac:dyDescent="0.3">
      <c r="A20" s="94" t="s">
        <v>335</v>
      </c>
      <c r="B20" s="120">
        <v>12</v>
      </c>
    </row>
    <row r="21" spans="1:2" x14ac:dyDescent="0.3">
      <c r="A21" s="94" t="s">
        <v>167</v>
      </c>
      <c r="B21" s="120">
        <v>11</v>
      </c>
    </row>
    <row r="22" spans="1:2" ht="14.85" x14ac:dyDescent="0.3">
      <c r="A22" s="94" t="s">
        <v>823</v>
      </c>
      <c r="B22" s="120">
        <v>10</v>
      </c>
    </row>
    <row r="23" spans="1:2" ht="14.85" x14ac:dyDescent="0.3">
      <c r="A23" s="94" t="s">
        <v>37</v>
      </c>
      <c r="B23" s="120">
        <v>8</v>
      </c>
    </row>
    <row r="24" spans="1:2" x14ac:dyDescent="0.3">
      <c r="A24" s="94" t="s">
        <v>26</v>
      </c>
      <c r="B24" s="120">
        <v>6</v>
      </c>
    </row>
    <row r="25" spans="1:2" ht="14.85" x14ac:dyDescent="0.3">
      <c r="A25" s="94" t="s">
        <v>307</v>
      </c>
      <c r="B25" s="120">
        <v>6</v>
      </c>
    </row>
    <row r="26" spans="1:2" ht="14.85" x14ac:dyDescent="0.3">
      <c r="A26" s="94" t="s">
        <v>309</v>
      </c>
      <c r="B26" s="120">
        <v>5</v>
      </c>
    </row>
    <row r="27" spans="1:2" ht="14.85" x14ac:dyDescent="0.3">
      <c r="A27" s="94" t="s">
        <v>803</v>
      </c>
      <c r="B27" s="120">
        <v>4</v>
      </c>
    </row>
    <row r="28" spans="1:2" ht="14.85" x14ac:dyDescent="0.3">
      <c r="A28" s="94" t="s">
        <v>310</v>
      </c>
      <c r="B28" s="120">
        <v>4</v>
      </c>
    </row>
    <row r="29" spans="1:2" x14ac:dyDescent="0.3">
      <c r="A29" s="94" t="s">
        <v>65</v>
      </c>
      <c r="B29" s="120">
        <v>3</v>
      </c>
    </row>
    <row r="30" spans="1:2" ht="14.85" x14ac:dyDescent="0.3">
      <c r="A30" s="94" t="s">
        <v>16</v>
      </c>
      <c r="B30" s="120">
        <v>3</v>
      </c>
    </row>
    <row r="31" spans="1:2" ht="14.85" x14ac:dyDescent="0.3">
      <c r="A31" s="94" t="s">
        <v>826</v>
      </c>
      <c r="B31" s="120">
        <v>2</v>
      </c>
    </row>
    <row r="32" spans="1:2" ht="14.85" x14ac:dyDescent="0.3">
      <c r="A32" s="94" t="s">
        <v>817</v>
      </c>
      <c r="B32" s="120">
        <v>0</v>
      </c>
    </row>
    <row r="33" spans="1:2" ht="14.85" x14ac:dyDescent="0.3">
      <c r="A33" s="94" t="s">
        <v>336</v>
      </c>
      <c r="B33" s="120">
        <v>0</v>
      </c>
    </row>
    <row r="34" spans="1:2" ht="14.85" x14ac:dyDescent="0.3">
      <c r="A34" s="94" t="s">
        <v>828</v>
      </c>
      <c r="B34" s="120">
        <v>0</v>
      </c>
    </row>
    <row r="35" spans="1:2" ht="14.85" x14ac:dyDescent="0.3">
      <c r="A35" s="94" t="s">
        <v>79</v>
      </c>
      <c r="B35" s="120">
        <v>0</v>
      </c>
    </row>
    <row r="36" spans="1:2" ht="14.85" x14ac:dyDescent="0.3">
      <c r="A36" s="94" t="s">
        <v>332</v>
      </c>
      <c r="B36" s="120">
        <v>0</v>
      </c>
    </row>
    <row r="37" spans="1:2" ht="14.85" x14ac:dyDescent="0.3">
      <c r="A37" s="94" t="s">
        <v>829</v>
      </c>
      <c r="B37" s="120">
        <v>0</v>
      </c>
    </row>
    <row r="38" spans="1:2" ht="14.85" x14ac:dyDescent="0.3">
      <c r="A38" s="3" t="s">
        <v>7</v>
      </c>
      <c r="B38" s="120">
        <v>2909</v>
      </c>
    </row>
    <row r="39" spans="1:2" ht="14.85" x14ac:dyDescent="0.3">
      <c r="A39" s="94" t="s">
        <v>35</v>
      </c>
      <c r="B39" s="120">
        <v>431</v>
      </c>
    </row>
    <row r="40" spans="1:2" ht="14.85" x14ac:dyDescent="0.3">
      <c r="A40" s="94" t="s">
        <v>87</v>
      </c>
      <c r="B40" s="120">
        <v>400</v>
      </c>
    </row>
    <row r="41" spans="1:2" ht="14.85" x14ac:dyDescent="0.3">
      <c r="A41" s="94" t="s">
        <v>14</v>
      </c>
      <c r="B41" s="120">
        <v>337</v>
      </c>
    </row>
    <row r="42" spans="1:2" ht="14.85" x14ac:dyDescent="0.3">
      <c r="A42" s="94" t="s">
        <v>47</v>
      </c>
      <c r="B42" s="120">
        <v>194</v>
      </c>
    </row>
    <row r="43" spans="1:2" ht="14.85" x14ac:dyDescent="0.3">
      <c r="A43" s="94" t="s">
        <v>67</v>
      </c>
      <c r="B43" s="120">
        <v>143</v>
      </c>
    </row>
    <row r="44" spans="1:2" ht="14.85" x14ac:dyDescent="0.3">
      <c r="A44" s="94" t="s">
        <v>318</v>
      </c>
      <c r="B44" s="120">
        <v>94</v>
      </c>
    </row>
    <row r="45" spans="1:2" ht="14.85" x14ac:dyDescent="0.3">
      <c r="A45" s="94" t="s">
        <v>817</v>
      </c>
      <c r="B45" s="120">
        <v>94</v>
      </c>
    </row>
    <row r="46" spans="1:2" x14ac:dyDescent="0.3">
      <c r="A46" s="94" t="s">
        <v>167</v>
      </c>
      <c r="B46" s="120">
        <v>91</v>
      </c>
    </row>
    <row r="47" spans="1:2" x14ac:dyDescent="0.3">
      <c r="A47" s="94" t="s">
        <v>65</v>
      </c>
      <c r="B47" s="120">
        <v>89</v>
      </c>
    </row>
    <row r="48" spans="1:2" x14ac:dyDescent="0.3">
      <c r="A48" s="94" t="s">
        <v>803</v>
      </c>
      <c r="B48" s="120">
        <v>87</v>
      </c>
    </row>
    <row r="49" spans="1:2" x14ac:dyDescent="0.3">
      <c r="A49" s="94" t="s">
        <v>325</v>
      </c>
      <c r="B49" s="120">
        <v>81</v>
      </c>
    </row>
    <row r="50" spans="1:2" x14ac:dyDescent="0.3">
      <c r="A50" s="94" t="s">
        <v>37</v>
      </c>
      <c r="B50" s="120">
        <v>71</v>
      </c>
    </row>
    <row r="51" spans="1:2" x14ac:dyDescent="0.3">
      <c r="A51" s="94" t="s">
        <v>79</v>
      </c>
      <c r="B51" s="120">
        <v>65</v>
      </c>
    </row>
    <row r="52" spans="1:2" x14ac:dyDescent="0.3">
      <c r="A52" s="94" t="s">
        <v>41</v>
      </c>
      <c r="B52" s="120">
        <v>63</v>
      </c>
    </row>
    <row r="53" spans="1:2" x14ac:dyDescent="0.3">
      <c r="A53" s="94" t="s">
        <v>326</v>
      </c>
      <c r="B53" s="120">
        <v>52</v>
      </c>
    </row>
    <row r="54" spans="1:2" x14ac:dyDescent="0.3">
      <c r="A54" s="94" t="s">
        <v>39</v>
      </c>
      <c r="B54" s="120">
        <v>51</v>
      </c>
    </row>
    <row r="55" spans="1:2" x14ac:dyDescent="0.3">
      <c r="A55" s="94" t="s">
        <v>312</v>
      </c>
      <c r="B55" s="120">
        <v>46</v>
      </c>
    </row>
    <row r="56" spans="1:2" x14ac:dyDescent="0.3">
      <c r="A56" s="94" t="s">
        <v>150</v>
      </c>
      <c r="B56" s="120">
        <v>45</v>
      </c>
    </row>
    <row r="57" spans="1:2" x14ac:dyDescent="0.3">
      <c r="A57" s="94" t="s">
        <v>314</v>
      </c>
      <c r="B57" s="120">
        <v>44</v>
      </c>
    </row>
    <row r="58" spans="1:2" x14ac:dyDescent="0.3">
      <c r="A58" s="94" t="s">
        <v>151</v>
      </c>
      <c r="B58" s="120">
        <v>44</v>
      </c>
    </row>
    <row r="59" spans="1:2" x14ac:dyDescent="0.3">
      <c r="A59" s="94" t="s">
        <v>16</v>
      </c>
      <c r="B59" s="120">
        <v>42</v>
      </c>
    </row>
    <row r="60" spans="1:2" x14ac:dyDescent="0.3">
      <c r="A60" s="94" t="s">
        <v>307</v>
      </c>
      <c r="B60" s="120">
        <v>38</v>
      </c>
    </row>
    <row r="61" spans="1:2" x14ac:dyDescent="0.3">
      <c r="A61" s="94" t="s">
        <v>117</v>
      </c>
      <c r="B61" s="120">
        <v>37</v>
      </c>
    </row>
    <row r="62" spans="1:2" x14ac:dyDescent="0.3">
      <c r="A62" s="94" t="s">
        <v>818</v>
      </c>
      <c r="B62" s="120">
        <v>36</v>
      </c>
    </row>
    <row r="63" spans="1:2" x14ac:dyDescent="0.3">
      <c r="A63" s="94" t="s">
        <v>51</v>
      </c>
      <c r="B63" s="120">
        <v>34</v>
      </c>
    </row>
    <row r="64" spans="1:2" x14ac:dyDescent="0.3">
      <c r="A64" s="94" t="s">
        <v>23</v>
      </c>
      <c r="B64" s="120">
        <v>32</v>
      </c>
    </row>
    <row r="65" spans="1:2" x14ac:dyDescent="0.3">
      <c r="A65" s="94" t="s">
        <v>309</v>
      </c>
      <c r="B65" s="120">
        <v>28</v>
      </c>
    </row>
    <row r="66" spans="1:2" x14ac:dyDescent="0.3">
      <c r="A66" s="94" t="s">
        <v>82</v>
      </c>
      <c r="B66" s="120">
        <v>28</v>
      </c>
    </row>
    <row r="67" spans="1:2" x14ac:dyDescent="0.3">
      <c r="A67" s="94" t="s">
        <v>61</v>
      </c>
      <c r="B67" s="120">
        <v>25</v>
      </c>
    </row>
    <row r="68" spans="1:2" x14ac:dyDescent="0.3">
      <c r="A68" s="94" t="s">
        <v>315</v>
      </c>
      <c r="B68" s="120">
        <v>21</v>
      </c>
    </row>
    <row r="69" spans="1:2" x14ac:dyDescent="0.3">
      <c r="A69" s="94" t="s">
        <v>335</v>
      </c>
      <c r="B69" s="120">
        <v>12</v>
      </c>
    </row>
    <row r="70" spans="1:2" x14ac:dyDescent="0.3">
      <c r="A70" s="94" t="s">
        <v>327</v>
      </c>
      <c r="B70" s="120">
        <v>11</v>
      </c>
    </row>
    <row r="71" spans="1:2" x14ac:dyDescent="0.3">
      <c r="A71" s="94" t="s">
        <v>322</v>
      </c>
      <c r="B71" s="120">
        <v>11</v>
      </c>
    </row>
    <row r="72" spans="1:2" x14ac:dyDescent="0.3">
      <c r="A72" s="94" t="s">
        <v>336</v>
      </c>
      <c r="B72" s="120">
        <v>9</v>
      </c>
    </row>
    <row r="73" spans="1:2" x14ac:dyDescent="0.3">
      <c r="A73" s="94" t="s">
        <v>331</v>
      </c>
      <c r="B73" s="120">
        <v>8</v>
      </c>
    </row>
    <row r="74" spans="1:2" x14ac:dyDescent="0.3">
      <c r="A74" s="94" t="s">
        <v>823</v>
      </c>
      <c r="B74" s="120">
        <v>5</v>
      </c>
    </row>
    <row r="75" spans="1:2" x14ac:dyDescent="0.3">
      <c r="A75" s="94" t="s">
        <v>332</v>
      </c>
      <c r="B75" s="120">
        <v>4</v>
      </c>
    </row>
    <row r="76" spans="1:2" x14ac:dyDescent="0.3">
      <c r="A76" s="94" t="s">
        <v>26</v>
      </c>
      <c r="B76" s="120">
        <v>3</v>
      </c>
    </row>
    <row r="77" spans="1:2" x14ac:dyDescent="0.3">
      <c r="A77" s="94" t="s">
        <v>790</v>
      </c>
      <c r="B77" s="120">
        <v>3</v>
      </c>
    </row>
    <row r="78" spans="1:2" x14ac:dyDescent="0.3">
      <c r="A78" s="94" t="s">
        <v>826</v>
      </c>
      <c r="B78" s="120">
        <v>0</v>
      </c>
    </row>
    <row r="79" spans="1:2" x14ac:dyDescent="0.3">
      <c r="A79" s="94" t="s">
        <v>829</v>
      </c>
      <c r="B79" s="120">
        <v>0</v>
      </c>
    </row>
    <row r="80" spans="1:2" x14ac:dyDescent="0.3">
      <c r="A80" s="94" t="s">
        <v>441</v>
      </c>
      <c r="B80" s="120">
        <v>0</v>
      </c>
    </row>
    <row r="81" spans="1:2" x14ac:dyDescent="0.3">
      <c r="A81" s="94" t="s">
        <v>310</v>
      </c>
      <c r="B81" s="120">
        <v>0</v>
      </c>
    </row>
    <row r="82" spans="1:2" x14ac:dyDescent="0.3">
      <c r="A82" s="2" t="s">
        <v>637</v>
      </c>
      <c r="B82" s="120">
        <v>518.00000002000002</v>
      </c>
    </row>
    <row r="83" spans="1:2" x14ac:dyDescent="0.3">
      <c r="A83" s="3" t="s">
        <v>126</v>
      </c>
      <c r="B83" s="120">
        <v>63.000000020000002</v>
      </c>
    </row>
    <row r="84" spans="1:2" x14ac:dyDescent="0.3">
      <c r="A84" s="94" t="s">
        <v>98</v>
      </c>
      <c r="B84" s="120">
        <v>26.000000010000001</v>
      </c>
    </row>
    <row r="85" spans="1:2" x14ac:dyDescent="0.3">
      <c r="A85" s="94" t="s">
        <v>711</v>
      </c>
      <c r="B85" s="120">
        <v>8</v>
      </c>
    </row>
    <row r="86" spans="1:2" x14ac:dyDescent="0.3">
      <c r="A86" s="94" t="s">
        <v>701</v>
      </c>
      <c r="B86" s="120">
        <v>6.0000000099999999</v>
      </c>
    </row>
    <row r="87" spans="1:2" x14ac:dyDescent="0.3">
      <c r="A87" s="94" t="s">
        <v>822</v>
      </c>
      <c r="B87" s="120">
        <v>6</v>
      </c>
    </row>
    <row r="88" spans="1:2" x14ac:dyDescent="0.3">
      <c r="A88" s="94" t="s">
        <v>821</v>
      </c>
      <c r="B88" s="120">
        <v>5</v>
      </c>
    </row>
    <row r="89" spans="1:2" x14ac:dyDescent="0.3">
      <c r="A89" s="94" t="s">
        <v>702</v>
      </c>
      <c r="B89" s="120">
        <v>5</v>
      </c>
    </row>
    <row r="90" spans="1:2" x14ac:dyDescent="0.3">
      <c r="A90" s="94" t="s">
        <v>819</v>
      </c>
      <c r="B90" s="120">
        <v>5</v>
      </c>
    </row>
    <row r="91" spans="1:2" x14ac:dyDescent="0.3">
      <c r="A91" s="94" t="s">
        <v>824</v>
      </c>
      <c r="B91" s="120">
        <v>2</v>
      </c>
    </row>
    <row r="92" spans="1:2" x14ac:dyDescent="0.3">
      <c r="A92" s="94" t="s">
        <v>827</v>
      </c>
      <c r="B92" s="120">
        <v>0</v>
      </c>
    </row>
    <row r="93" spans="1:2" x14ac:dyDescent="0.3">
      <c r="A93" s="94" t="s">
        <v>595</v>
      </c>
      <c r="B93" s="120">
        <v>0</v>
      </c>
    </row>
    <row r="94" spans="1:2" x14ac:dyDescent="0.3">
      <c r="A94" s="94" t="s">
        <v>825</v>
      </c>
      <c r="B94" s="120">
        <v>0</v>
      </c>
    </row>
    <row r="95" spans="1:2" x14ac:dyDescent="0.3">
      <c r="A95" s="94" t="s">
        <v>703</v>
      </c>
      <c r="B95" s="120">
        <v>0</v>
      </c>
    </row>
    <row r="96" spans="1:2" x14ac:dyDescent="0.3">
      <c r="A96" s="94" t="s">
        <v>328</v>
      </c>
      <c r="B96" s="120">
        <v>0</v>
      </c>
    </row>
    <row r="97" spans="1:2" x14ac:dyDescent="0.3">
      <c r="A97" s="3" t="s">
        <v>7</v>
      </c>
      <c r="B97" s="120">
        <v>455</v>
      </c>
    </row>
    <row r="98" spans="1:2" x14ac:dyDescent="0.3">
      <c r="A98" s="94" t="s">
        <v>702</v>
      </c>
      <c r="B98" s="120">
        <v>197</v>
      </c>
    </row>
    <row r="99" spans="1:2" x14ac:dyDescent="0.3">
      <c r="A99" s="94" t="s">
        <v>711</v>
      </c>
      <c r="B99" s="120">
        <v>44</v>
      </c>
    </row>
    <row r="100" spans="1:2" x14ac:dyDescent="0.3">
      <c r="A100" s="94" t="s">
        <v>98</v>
      </c>
      <c r="B100" s="120">
        <v>39</v>
      </c>
    </row>
    <row r="101" spans="1:2" x14ac:dyDescent="0.3">
      <c r="A101" s="94" t="s">
        <v>819</v>
      </c>
      <c r="B101" s="120">
        <v>32</v>
      </c>
    </row>
    <row r="102" spans="1:2" x14ac:dyDescent="0.3">
      <c r="A102" s="94" t="s">
        <v>703</v>
      </c>
      <c r="B102" s="120">
        <v>28</v>
      </c>
    </row>
    <row r="103" spans="1:2" x14ac:dyDescent="0.3">
      <c r="A103" s="94" t="s">
        <v>701</v>
      </c>
      <c r="B103" s="120">
        <v>22</v>
      </c>
    </row>
    <row r="104" spans="1:2" x14ac:dyDescent="0.3">
      <c r="A104" s="94" t="s">
        <v>820</v>
      </c>
      <c r="B104" s="120">
        <v>21</v>
      </c>
    </row>
    <row r="105" spans="1:2" x14ac:dyDescent="0.3">
      <c r="A105" s="94" t="s">
        <v>595</v>
      </c>
      <c r="B105" s="120">
        <v>17</v>
      </c>
    </row>
    <row r="106" spans="1:2" x14ac:dyDescent="0.3">
      <c r="A106" s="94" t="s">
        <v>821</v>
      </c>
      <c r="B106" s="120">
        <v>14</v>
      </c>
    </row>
    <row r="107" spans="1:2" x14ac:dyDescent="0.3">
      <c r="A107" s="94" t="s">
        <v>825</v>
      </c>
      <c r="B107" s="120">
        <v>12</v>
      </c>
    </row>
    <row r="108" spans="1:2" x14ac:dyDescent="0.3">
      <c r="A108" s="94" t="s">
        <v>822</v>
      </c>
      <c r="B108" s="120">
        <v>10</v>
      </c>
    </row>
    <row r="109" spans="1:2" ht="14.85" hidden="1" x14ac:dyDescent="0.3">
      <c r="A109" s="94" t="s">
        <v>824</v>
      </c>
      <c r="B109" s="120">
        <v>10</v>
      </c>
    </row>
    <row r="110" spans="1:2" x14ac:dyDescent="0.3">
      <c r="A110" s="94" t="s">
        <v>317</v>
      </c>
      <c r="B110" s="120">
        <v>9</v>
      </c>
    </row>
    <row r="111" spans="1:2" x14ac:dyDescent="0.3">
      <c r="A111" s="94" t="s">
        <v>328</v>
      </c>
      <c r="B111" s="120">
        <v>0</v>
      </c>
    </row>
    <row r="112" spans="1:2" x14ac:dyDescent="0.3">
      <c r="A112" s="2" t="s">
        <v>705</v>
      </c>
    </row>
    <row r="113" spans="1:2" x14ac:dyDescent="0.3">
      <c r="A113" s="2" t="s">
        <v>164</v>
      </c>
      <c r="B113" s="120">
        <v>4100.9000000799997</v>
      </c>
    </row>
    <row r="114" spans="1:2" x14ac:dyDescent="0.3">
      <c r="B114"/>
    </row>
    <row r="115" spans="1:2" x14ac:dyDescent="0.3">
      <c r="B115"/>
    </row>
    <row r="116" spans="1:2" x14ac:dyDescent="0.3">
      <c r="B116"/>
    </row>
    <row r="117" spans="1:2" x14ac:dyDescent="0.3">
      <c r="B117"/>
    </row>
    <row r="118" spans="1:2" x14ac:dyDescent="0.3">
      <c r="B118"/>
    </row>
    <row r="119" spans="1:2" x14ac:dyDescent="0.3">
      <c r="B119"/>
    </row>
    <row r="120" spans="1:2" x14ac:dyDescent="0.3">
      <c r="B120"/>
    </row>
    <row r="121" spans="1:2" x14ac:dyDescent="0.3">
      <c r="B121"/>
    </row>
    <row r="122" spans="1:2" x14ac:dyDescent="0.3">
      <c r="B122"/>
    </row>
    <row r="123" spans="1:2" x14ac:dyDescent="0.3">
      <c r="B123"/>
    </row>
    <row r="124" spans="1:2" x14ac:dyDescent="0.3">
      <c r="B124"/>
    </row>
    <row r="125" spans="1:2" x14ac:dyDescent="0.3">
      <c r="B125"/>
    </row>
    <row r="126" spans="1:2" x14ac:dyDescent="0.3">
      <c r="B126"/>
    </row>
    <row r="127" spans="1:2" x14ac:dyDescent="0.3">
      <c r="B127"/>
    </row>
    <row r="128" spans="1:2" x14ac:dyDescent="0.3">
      <c r="B128"/>
    </row>
    <row r="129" spans="2:2" x14ac:dyDescent="0.3">
      <c r="B129"/>
    </row>
    <row r="130" spans="2:2" x14ac:dyDescent="0.3">
      <c r="B130"/>
    </row>
    <row r="131" spans="2:2" x14ac:dyDescent="0.3">
      <c r="B131"/>
    </row>
    <row r="132" spans="2:2" x14ac:dyDescent="0.3">
      <c r="B132"/>
    </row>
    <row r="133" spans="2:2" x14ac:dyDescent="0.3">
      <c r="B133"/>
    </row>
    <row r="134" spans="2:2" x14ac:dyDescent="0.3">
      <c r="B134"/>
    </row>
  </sheetData>
  <mergeCells count="1">
    <mergeCell ref="A1:B1"/>
  </mergeCells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B266"/>
  <sheetViews>
    <sheetView workbookViewId="0">
      <selection activeCell="B6" sqref="B6"/>
    </sheetView>
  </sheetViews>
  <sheetFormatPr defaultRowHeight="14.4" x14ac:dyDescent="0.3"/>
  <cols>
    <col min="1" max="1" width="33.21875" bestFit="1" customWidth="1"/>
    <col min="2" max="2" width="20.77734375" bestFit="1" customWidth="1"/>
  </cols>
  <sheetData>
    <row r="1" spans="1:2" s="85" customFormat="1" ht="37.950000000000003" customHeight="1" x14ac:dyDescent="0.3">
      <c r="A1" s="170" t="s">
        <v>697</v>
      </c>
      <c r="B1" s="170"/>
    </row>
    <row r="2" spans="1:2" ht="28.95" customHeight="1" x14ac:dyDescent="0.3">
      <c r="A2" s="132" t="s">
        <v>721</v>
      </c>
      <c r="B2" s="133" t="s">
        <v>165</v>
      </c>
    </row>
    <row r="3" spans="1:2" ht="14.85" x14ac:dyDescent="0.3">
      <c r="A3" s="2" t="s">
        <v>636</v>
      </c>
      <c r="B3" s="120">
        <v>3582.9000000600004</v>
      </c>
    </row>
    <row r="4" spans="1:2" ht="14.85" x14ac:dyDescent="0.3">
      <c r="A4" s="3" t="s">
        <v>14</v>
      </c>
      <c r="B4" s="120">
        <v>542.00000002000002</v>
      </c>
    </row>
    <row r="5" spans="1:2" ht="14.85" x14ac:dyDescent="0.3">
      <c r="A5" s="94" t="s">
        <v>741</v>
      </c>
      <c r="B5" s="120">
        <v>36.000000020000002</v>
      </c>
    </row>
    <row r="6" spans="1:2" x14ac:dyDescent="0.3">
      <c r="A6" s="94" t="s">
        <v>1321</v>
      </c>
      <c r="B6" s="120">
        <v>47</v>
      </c>
    </row>
    <row r="7" spans="1:2" x14ac:dyDescent="0.3">
      <c r="A7" s="94" t="s">
        <v>779</v>
      </c>
      <c r="B7" s="120">
        <v>16</v>
      </c>
    </row>
    <row r="8" spans="1:2" x14ac:dyDescent="0.3">
      <c r="A8" s="94" t="s">
        <v>776</v>
      </c>
      <c r="B8" s="120">
        <v>187</v>
      </c>
    </row>
    <row r="9" spans="1:2" x14ac:dyDescent="0.3">
      <c r="A9" s="94" t="s">
        <v>780</v>
      </c>
      <c r="B9" s="120">
        <v>6</v>
      </c>
    </row>
    <row r="10" spans="1:2" x14ac:dyDescent="0.3">
      <c r="A10" s="94" t="s">
        <v>777</v>
      </c>
      <c r="B10" s="120">
        <v>250</v>
      </c>
    </row>
    <row r="11" spans="1:2" ht="14.85" x14ac:dyDescent="0.3">
      <c r="A11" s="3" t="s">
        <v>35</v>
      </c>
      <c r="B11" s="120">
        <v>443.90000000999999</v>
      </c>
    </row>
    <row r="12" spans="1:2" ht="14.85" x14ac:dyDescent="0.3">
      <c r="A12" s="94" t="s">
        <v>741</v>
      </c>
      <c r="B12" s="120">
        <v>36.000000010000001</v>
      </c>
    </row>
    <row r="13" spans="1:2" x14ac:dyDescent="0.3">
      <c r="A13" s="94" t="s">
        <v>1321</v>
      </c>
      <c r="B13" s="120">
        <v>107.89999999999999</v>
      </c>
    </row>
    <row r="14" spans="1:2" x14ac:dyDescent="0.3">
      <c r="A14" s="94" t="s">
        <v>779</v>
      </c>
      <c r="B14" s="120">
        <v>25</v>
      </c>
    </row>
    <row r="15" spans="1:2" x14ac:dyDescent="0.3">
      <c r="A15" s="94" t="s">
        <v>776</v>
      </c>
      <c r="B15" s="120">
        <v>111</v>
      </c>
    </row>
    <row r="16" spans="1:2" x14ac:dyDescent="0.3">
      <c r="A16" s="94" t="s">
        <v>780</v>
      </c>
      <c r="B16" s="120">
        <v>39</v>
      </c>
    </row>
    <row r="17" spans="1:2" x14ac:dyDescent="0.3">
      <c r="A17" s="94" t="s">
        <v>777</v>
      </c>
      <c r="B17" s="120">
        <v>125</v>
      </c>
    </row>
    <row r="18" spans="1:2" ht="14.85" x14ac:dyDescent="0.3">
      <c r="A18" s="3" t="s">
        <v>87</v>
      </c>
      <c r="B18" s="120">
        <v>432</v>
      </c>
    </row>
    <row r="19" spans="1:2" ht="14.85" x14ac:dyDescent="0.3">
      <c r="A19" s="94" t="s">
        <v>741</v>
      </c>
      <c r="B19" s="120">
        <v>48</v>
      </c>
    </row>
    <row r="20" spans="1:2" x14ac:dyDescent="0.3">
      <c r="A20" s="94" t="s">
        <v>1321</v>
      </c>
      <c r="B20" s="120">
        <v>196</v>
      </c>
    </row>
    <row r="21" spans="1:2" x14ac:dyDescent="0.3">
      <c r="A21" s="94" t="s">
        <v>776</v>
      </c>
      <c r="B21" s="120">
        <v>100</v>
      </c>
    </row>
    <row r="22" spans="1:2" x14ac:dyDescent="0.3">
      <c r="A22" s="94" t="s">
        <v>777</v>
      </c>
      <c r="B22" s="120">
        <v>88</v>
      </c>
    </row>
    <row r="23" spans="1:2" ht="14.85" x14ac:dyDescent="0.3">
      <c r="A23" s="3" t="s">
        <v>47</v>
      </c>
      <c r="B23" s="120">
        <v>273</v>
      </c>
    </row>
    <row r="24" spans="1:2" ht="14.85" x14ac:dyDescent="0.3">
      <c r="A24" s="94" t="s">
        <v>741</v>
      </c>
      <c r="B24" s="120">
        <v>15</v>
      </c>
    </row>
    <row r="25" spans="1:2" x14ac:dyDescent="0.3">
      <c r="A25" s="94" t="s">
        <v>1321</v>
      </c>
      <c r="B25" s="120">
        <v>15</v>
      </c>
    </row>
    <row r="26" spans="1:2" x14ac:dyDescent="0.3">
      <c r="A26" s="94" t="s">
        <v>778</v>
      </c>
      <c r="B26" s="120">
        <v>6</v>
      </c>
    </row>
    <row r="27" spans="1:2" x14ac:dyDescent="0.3">
      <c r="A27" s="94" t="s">
        <v>775</v>
      </c>
      <c r="B27" s="120">
        <v>101</v>
      </c>
    </row>
    <row r="28" spans="1:2" x14ac:dyDescent="0.3">
      <c r="A28" s="94" t="s">
        <v>780</v>
      </c>
      <c r="B28" s="120">
        <v>2</v>
      </c>
    </row>
    <row r="29" spans="1:2" x14ac:dyDescent="0.3">
      <c r="A29" s="94" t="s">
        <v>777</v>
      </c>
      <c r="B29" s="120">
        <v>134</v>
      </c>
    </row>
    <row r="30" spans="1:2" x14ac:dyDescent="0.3">
      <c r="A30" s="3" t="s">
        <v>67</v>
      </c>
      <c r="B30" s="120">
        <v>156</v>
      </c>
    </row>
    <row r="31" spans="1:2" x14ac:dyDescent="0.3">
      <c r="A31" s="94" t="s">
        <v>741</v>
      </c>
      <c r="B31" s="120">
        <v>0</v>
      </c>
    </row>
    <row r="32" spans="1:2" x14ac:dyDescent="0.3">
      <c r="A32" s="94" t="s">
        <v>778</v>
      </c>
      <c r="B32" s="120">
        <v>20</v>
      </c>
    </row>
    <row r="33" spans="1:2" x14ac:dyDescent="0.3">
      <c r="A33" s="94" t="s">
        <v>775</v>
      </c>
      <c r="B33" s="120">
        <v>57</v>
      </c>
    </row>
    <row r="34" spans="1:2" x14ac:dyDescent="0.3">
      <c r="A34" s="94" t="s">
        <v>780</v>
      </c>
      <c r="B34" s="120">
        <v>28</v>
      </c>
    </row>
    <row r="35" spans="1:2" x14ac:dyDescent="0.3">
      <c r="A35" s="94" t="s">
        <v>777</v>
      </c>
      <c r="B35" s="120">
        <v>51</v>
      </c>
    </row>
    <row r="36" spans="1:2" x14ac:dyDescent="0.3">
      <c r="A36" s="3" t="s">
        <v>167</v>
      </c>
      <c r="B36" s="120">
        <v>102</v>
      </c>
    </row>
    <row r="37" spans="1:2" x14ac:dyDescent="0.3">
      <c r="A37" s="94" t="s">
        <v>778</v>
      </c>
      <c r="B37" s="120">
        <v>3</v>
      </c>
    </row>
    <row r="38" spans="1:2" x14ac:dyDescent="0.3">
      <c r="A38" s="94" t="s">
        <v>775</v>
      </c>
      <c r="B38" s="120">
        <v>43</v>
      </c>
    </row>
    <row r="39" spans="1:2" x14ac:dyDescent="0.3">
      <c r="A39" s="94" t="s">
        <v>780</v>
      </c>
      <c r="B39" s="120">
        <v>10</v>
      </c>
    </row>
    <row r="40" spans="1:2" x14ac:dyDescent="0.3">
      <c r="A40" s="94" t="s">
        <v>777</v>
      </c>
      <c r="B40" s="120">
        <v>46</v>
      </c>
    </row>
    <row r="41" spans="1:2" x14ac:dyDescent="0.3">
      <c r="A41" s="3" t="s">
        <v>150</v>
      </c>
      <c r="B41" s="120">
        <v>101</v>
      </c>
    </row>
    <row r="42" spans="1:2" x14ac:dyDescent="0.3">
      <c r="A42" s="94" t="s">
        <v>741</v>
      </c>
      <c r="B42" s="120">
        <v>0</v>
      </c>
    </row>
    <row r="43" spans="1:2" x14ac:dyDescent="0.3">
      <c r="A43" s="94" t="s">
        <v>775</v>
      </c>
      <c r="B43" s="120">
        <v>58</v>
      </c>
    </row>
    <row r="44" spans="1:2" x14ac:dyDescent="0.3">
      <c r="A44" s="94" t="s">
        <v>777</v>
      </c>
      <c r="B44" s="120">
        <v>43</v>
      </c>
    </row>
    <row r="45" spans="1:2" x14ac:dyDescent="0.3">
      <c r="A45" s="3" t="s">
        <v>325</v>
      </c>
      <c r="B45" s="120">
        <v>100</v>
      </c>
    </row>
    <row r="46" spans="1:2" x14ac:dyDescent="0.3">
      <c r="A46" s="94" t="s">
        <v>778</v>
      </c>
      <c r="B46" s="120">
        <v>14</v>
      </c>
    </row>
    <row r="47" spans="1:2" x14ac:dyDescent="0.3">
      <c r="A47" s="94" t="s">
        <v>775</v>
      </c>
      <c r="B47" s="120">
        <v>49</v>
      </c>
    </row>
    <row r="48" spans="1:2" x14ac:dyDescent="0.3">
      <c r="A48" s="94" t="s">
        <v>780</v>
      </c>
      <c r="B48" s="120">
        <v>10</v>
      </c>
    </row>
    <row r="49" spans="1:2" x14ac:dyDescent="0.3">
      <c r="A49" s="94" t="s">
        <v>777</v>
      </c>
      <c r="B49" s="120">
        <v>27</v>
      </c>
    </row>
    <row r="50" spans="1:2" x14ac:dyDescent="0.3">
      <c r="A50" s="3" t="s">
        <v>318</v>
      </c>
      <c r="B50" s="120">
        <v>94</v>
      </c>
    </row>
    <row r="51" spans="1:2" x14ac:dyDescent="0.3">
      <c r="A51" s="94" t="s">
        <v>779</v>
      </c>
      <c r="B51" s="120">
        <v>15</v>
      </c>
    </row>
    <row r="52" spans="1:2" x14ac:dyDescent="0.3">
      <c r="A52" s="94" t="s">
        <v>776</v>
      </c>
      <c r="B52" s="120">
        <v>20</v>
      </c>
    </row>
    <row r="53" spans="1:2" x14ac:dyDescent="0.3">
      <c r="A53" s="94" t="s">
        <v>780</v>
      </c>
      <c r="B53" s="120">
        <v>16</v>
      </c>
    </row>
    <row r="54" spans="1:2" x14ac:dyDescent="0.3">
      <c r="A54" s="94" t="s">
        <v>777</v>
      </c>
      <c r="B54" s="120">
        <v>43</v>
      </c>
    </row>
    <row r="55" spans="1:2" x14ac:dyDescent="0.3">
      <c r="A55" s="3" t="s">
        <v>817</v>
      </c>
      <c r="B55" s="120">
        <v>94</v>
      </c>
    </row>
    <row r="56" spans="1:2" x14ac:dyDescent="0.3">
      <c r="A56" s="94" t="s">
        <v>778</v>
      </c>
      <c r="B56" s="120">
        <v>11</v>
      </c>
    </row>
    <row r="57" spans="1:2" x14ac:dyDescent="0.3">
      <c r="A57" s="94" t="s">
        <v>775</v>
      </c>
      <c r="B57" s="120">
        <v>30</v>
      </c>
    </row>
    <row r="58" spans="1:2" x14ac:dyDescent="0.3">
      <c r="A58" s="94" t="s">
        <v>780</v>
      </c>
      <c r="B58" s="120">
        <v>20</v>
      </c>
    </row>
    <row r="59" spans="1:2" x14ac:dyDescent="0.3">
      <c r="A59" s="94" t="s">
        <v>777</v>
      </c>
      <c r="B59" s="120">
        <v>33</v>
      </c>
    </row>
    <row r="60" spans="1:2" x14ac:dyDescent="0.3">
      <c r="A60" s="3" t="s">
        <v>65</v>
      </c>
      <c r="B60" s="120">
        <v>92</v>
      </c>
    </row>
    <row r="61" spans="1:2" x14ac:dyDescent="0.3">
      <c r="A61" s="94" t="s">
        <v>741</v>
      </c>
      <c r="B61" s="120">
        <v>10</v>
      </c>
    </row>
    <row r="62" spans="1:2" x14ac:dyDescent="0.3">
      <c r="A62" s="94" t="s">
        <v>778</v>
      </c>
      <c r="B62" s="120">
        <v>12</v>
      </c>
    </row>
    <row r="63" spans="1:2" x14ac:dyDescent="0.3">
      <c r="A63" s="94" t="s">
        <v>775</v>
      </c>
      <c r="B63" s="120">
        <v>27</v>
      </c>
    </row>
    <row r="64" spans="1:2" x14ac:dyDescent="0.3">
      <c r="A64" s="94" t="s">
        <v>780</v>
      </c>
      <c r="B64" s="120">
        <v>3</v>
      </c>
    </row>
    <row r="65" spans="1:2" x14ac:dyDescent="0.3">
      <c r="A65" s="94" t="s">
        <v>777</v>
      </c>
      <c r="B65" s="120">
        <v>40</v>
      </c>
    </row>
    <row r="66" spans="1:2" x14ac:dyDescent="0.3">
      <c r="A66" s="3" t="s">
        <v>803</v>
      </c>
      <c r="B66" s="120">
        <v>91</v>
      </c>
    </row>
    <row r="67" spans="1:2" x14ac:dyDescent="0.3">
      <c r="A67" s="94" t="s">
        <v>776</v>
      </c>
      <c r="B67" s="120">
        <v>46</v>
      </c>
    </row>
    <row r="68" spans="1:2" x14ac:dyDescent="0.3">
      <c r="A68" s="94" t="s">
        <v>777</v>
      </c>
      <c r="B68" s="120">
        <v>45</v>
      </c>
    </row>
    <row r="69" spans="1:2" x14ac:dyDescent="0.3">
      <c r="A69" s="3" t="s">
        <v>37</v>
      </c>
      <c r="B69" s="120">
        <v>79</v>
      </c>
    </row>
    <row r="70" spans="1:2" x14ac:dyDescent="0.3">
      <c r="A70" s="94" t="s">
        <v>741</v>
      </c>
      <c r="B70" s="120">
        <v>14</v>
      </c>
    </row>
    <row r="71" spans="1:2" x14ac:dyDescent="0.3">
      <c r="A71" s="94" t="s">
        <v>778</v>
      </c>
      <c r="B71" s="120">
        <v>6</v>
      </c>
    </row>
    <row r="72" spans="1:2" x14ac:dyDescent="0.3">
      <c r="A72" s="94" t="s">
        <v>775</v>
      </c>
      <c r="B72" s="120">
        <v>30</v>
      </c>
    </row>
    <row r="73" spans="1:2" x14ac:dyDescent="0.3">
      <c r="A73" s="94" t="s">
        <v>780</v>
      </c>
      <c r="B73" s="120">
        <v>3</v>
      </c>
    </row>
    <row r="74" spans="1:2" x14ac:dyDescent="0.3">
      <c r="A74" s="94" t="s">
        <v>777</v>
      </c>
      <c r="B74" s="120">
        <v>26</v>
      </c>
    </row>
    <row r="75" spans="1:2" x14ac:dyDescent="0.3">
      <c r="A75" s="3" t="s">
        <v>326</v>
      </c>
      <c r="B75" s="120">
        <v>73</v>
      </c>
    </row>
    <row r="76" spans="1:2" x14ac:dyDescent="0.3">
      <c r="A76" s="94" t="s">
        <v>779</v>
      </c>
      <c r="B76" s="120">
        <v>3</v>
      </c>
    </row>
    <row r="77" spans="1:2" x14ac:dyDescent="0.3">
      <c r="A77" s="94" t="s">
        <v>776</v>
      </c>
      <c r="B77" s="120">
        <v>23</v>
      </c>
    </row>
    <row r="78" spans="1:2" x14ac:dyDescent="0.3">
      <c r="A78" s="94" t="s">
        <v>780</v>
      </c>
      <c r="B78" s="120">
        <v>4</v>
      </c>
    </row>
    <row r="79" spans="1:2" x14ac:dyDescent="0.3">
      <c r="A79" s="94" t="s">
        <v>777</v>
      </c>
      <c r="B79" s="120">
        <v>43</v>
      </c>
    </row>
    <row r="80" spans="1:2" x14ac:dyDescent="0.3">
      <c r="A80" s="3" t="s">
        <v>39</v>
      </c>
      <c r="B80" s="120">
        <v>70</v>
      </c>
    </row>
    <row r="81" spans="1:2" x14ac:dyDescent="0.3">
      <c r="A81" s="94" t="s">
        <v>741</v>
      </c>
      <c r="B81" s="120">
        <v>10</v>
      </c>
    </row>
    <row r="82" spans="1:2" x14ac:dyDescent="0.3">
      <c r="A82" s="94" t="s">
        <v>776</v>
      </c>
      <c r="B82" s="120">
        <v>29</v>
      </c>
    </row>
    <row r="83" spans="1:2" x14ac:dyDescent="0.3">
      <c r="A83" s="94" t="s">
        <v>777</v>
      </c>
      <c r="B83" s="120">
        <v>31</v>
      </c>
    </row>
    <row r="84" spans="1:2" x14ac:dyDescent="0.3">
      <c r="A84" s="3" t="s">
        <v>79</v>
      </c>
      <c r="B84" s="120">
        <v>65</v>
      </c>
    </row>
    <row r="85" spans="1:2" x14ac:dyDescent="0.3">
      <c r="A85" s="94" t="s">
        <v>741</v>
      </c>
      <c r="B85" s="120">
        <v>28</v>
      </c>
    </row>
    <row r="86" spans="1:2" x14ac:dyDescent="0.3">
      <c r="A86" s="94" t="s">
        <v>775</v>
      </c>
      <c r="B86" s="120">
        <v>27</v>
      </c>
    </row>
    <row r="87" spans="1:2" x14ac:dyDescent="0.3">
      <c r="A87" s="94" t="s">
        <v>777</v>
      </c>
      <c r="B87" s="120">
        <v>10</v>
      </c>
    </row>
    <row r="88" spans="1:2" x14ac:dyDescent="0.3">
      <c r="A88" s="3" t="s">
        <v>41</v>
      </c>
      <c r="B88" s="120">
        <v>63</v>
      </c>
    </row>
    <row r="89" spans="1:2" x14ac:dyDescent="0.3">
      <c r="A89" s="94" t="s">
        <v>778</v>
      </c>
      <c r="B89" s="120">
        <v>18</v>
      </c>
    </row>
    <row r="90" spans="1:2" x14ac:dyDescent="0.3">
      <c r="A90" s="94" t="s">
        <v>775</v>
      </c>
      <c r="B90" s="120">
        <v>13</v>
      </c>
    </row>
    <row r="91" spans="1:2" x14ac:dyDescent="0.3">
      <c r="A91" s="94" t="s">
        <v>780</v>
      </c>
      <c r="B91" s="120">
        <v>14</v>
      </c>
    </row>
    <row r="92" spans="1:2" x14ac:dyDescent="0.3">
      <c r="A92" s="94" t="s">
        <v>777</v>
      </c>
      <c r="B92" s="120">
        <v>18</v>
      </c>
    </row>
    <row r="93" spans="1:2" x14ac:dyDescent="0.3">
      <c r="A93" s="3" t="s">
        <v>151</v>
      </c>
      <c r="B93" s="120">
        <v>62</v>
      </c>
    </row>
    <row r="94" spans="1:2" x14ac:dyDescent="0.3">
      <c r="A94" s="94" t="s">
        <v>779</v>
      </c>
      <c r="B94" s="120">
        <v>4</v>
      </c>
    </row>
    <row r="95" spans="1:2" x14ac:dyDescent="0.3">
      <c r="A95" s="94" t="s">
        <v>776</v>
      </c>
      <c r="B95" s="120">
        <v>28</v>
      </c>
    </row>
    <row r="96" spans="1:2" x14ac:dyDescent="0.3">
      <c r="A96" s="94" t="s">
        <v>780</v>
      </c>
      <c r="B96" s="120">
        <v>0</v>
      </c>
    </row>
    <row r="97" spans="1:2" x14ac:dyDescent="0.3">
      <c r="A97" s="94" t="s">
        <v>777</v>
      </c>
      <c r="B97" s="120">
        <v>30</v>
      </c>
    </row>
    <row r="98" spans="1:2" x14ac:dyDescent="0.3">
      <c r="A98" s="3" t="s">
        <v>23</v>
      </c>
      <c r="B98" s="120">
        <v>57</v>
      </c>
    </row>
    <row r="99" spans="1:2" x14ac:dyDescent="0.3">
      <c r="A99" s="94" t="s">
        <v>779</v>
      </c>
      <c r="B99" s="120">
        <v>0</v>
      </c>
    </row>
    <row r="100" spans="1:2" x14ac:dyDescent="0.3">
      <c r="A100" s="94" t="s">
        <v>776</v>
      </c>
      <c r="B100" s="120">
        <v>20</v>
      </c>
    </row>
    <row r="101" spans="1:2" x14ac:dyDescent="0.3">
      <c r="A101" s="94" t="s">
        <v>780</v>
      </c>
      <c r="B101" s="120">
        <v>5</v>
      </c>
    </row>
    <row r="102" spans="1:2" x14ac:dyDescent="0.3">
      <c r="A102" s="94" t="s">
        <v>777</v>
      </c>
      <c r="B102" s="120">
        <v>32</v>
      </c>
    </row>
    <row r="103" spans="1:2" x14ac:dyDescent="0.3">
      <c r="A103" s="3" t="s">
        <v>149</v>
      </c>
      <c r="B103" s="120">
        <v>52.000000030000002</v>
      </c>
    </row>
    <row r="104" spans="1:2" x14ac:dyDescent="0.3">
      <c r="A104" s="94" t="s">
        <v>741</v>
      </c>
      <c r="B104" s="120">
        <v>15.000000030000002</v>
      </c>
    </row>
    <row r="105" spans="1:2" x14ac:dyDescent="0.3">
      <c r="A105" s="94" t="s">
        <v>776</v>
      </c>
      <c r="B105" s="120">
        <v>12</v>
      </c>
    </row>
    <row r="106" spans="1:2" x14ac:dyDescent="0.3">
      <c r="A106" s="94" t="s">
        <v>777</v>
      </c>
      <c r="B106" s="120">
        <v>25</v>
      </c>
    </row>
    <row r="107" spans="1:2" x14ac:dyDescent="0.3">
      <c r="A107" s="3" t="s">
        <v>818</v>
      </c>
      <c r="B107" s="120">
        <v>50</v>
      </c>
    </row>
    <row r="108" spans="1:2" x14ac:dyDescent="0.3">
      <c r="A108" s="94" t="s">
        <v>775</v>
      </c>
      <c r="B108" s="120">
        <v>16</v>
      </c>
    </row>
    <row r="109" spans="1:2" x14ac:dyDescent="0.3">
      <c r="A109" s="94" t="s">
        <v>777</v>
      </c>
      <c r="B109" s="120">
        <v>34</v>
      </c>
    </row>
    <row r="110" spans="1:2" x14ac:dyDescent="0.3">
      <c r="A110" s="3" t="s">
        <v>51</v>
      </c>
      <c r="B110" s="120">
        <v>50</v>
      </c>
    </row>
    <row r="111" spans="1:2" x14ac:dyDescent="0.3">
      <c r="A111" s="94" t="s">
        <v>741</v>
      </c>
      <c r="B111" s="120">
        <v>20</v>
      </c>
    </row>
    <row r="112" spans="1:2" x14ac:dyDescent="0.3">
      <c r="A112" s="94" t="s">
        <v>776</v>
      </c>
      <c r="B112" s="120">
        <v>14</v>
      </c>
    </row>
    <row r="113" spans="1:2" x14ac:dyDescent="0.3">
      <c r="A113" s="94" t="s">
        <v>777</v>
      </c>
      <c r="B113" s="120">
        <v>16</v>
      </c>
    </row>
    <row r="114" spans="1:2" x14ac:dyDescent="0.3">
      <c r="A114" s="3" t="s">
        <v>312</v>
      </c>
      <c r="B114" s="120">
        <v>46</v>
      </c>
    </row>
    <row r="115" spans="1:2" x14ac:dyDescent="0.3">
      <c r="A115" s="94" t="s">
        <v>776</v>
      </c>
      <c r="B115" s="120">
        <v>22</v>
      </c>
    </row>
    <row r="116" spans="1:2" x14ac:dyDescent="0.3">
      <c r="A116" s="94" t="s">
        <v>777</v>
      </c>
      <c r="B116" s="120">
        <v>24</v>
      </c>
    </row>
    <row r="117" spans="1:2" x14ac:dyDescent="0.3">
      <c r="A117" s="3" t="s">
        <v>16</v>
      </c>
      <c r="B117" s="120">
        <v>45</v>
      </c>
    </row>
    <row r="118" spans="1:2" x14ac:dyDescent="0.3">
      <c r="A118" s="94" t="s">
        <v>741</v>
      </c>
      <c r="B118" s="120">
        <v>3</v>
      </c>
    </row>
    <row r="119" spans="1:2" x14ac:dyDescent="0.3">
      <c r="A119" s="94" t="s">
        <v>776</v>
      </c>
      <c r="B119" s="120">
        <v>17</v>
      </c>
    </row>
    <row r="120" spans="1:2" x14ac:dyDescent="0.3">
      <c r="A120" s="94" t="s">
        <v>777</v>
      </c>
      <c r="B120" s="120">
        <v>25</v>
      </c>
    </row>
    <row r="121" spans="1:2" x14ac:dyDescent="0.3">
      <c r="A121" s="3" t="s">
        <v>307</v>
      </c>
      <c r="B121" s="120">
        <v>44</v>
      </c>
    </row>
    <row r="122" spans="1:2" x14ac:dyDescent="0.3">
      <c r="A122" s="94" t="s">
        <v>778</v>
      </c>
      <c r="B122" s="120">
        <v>3</v>
      </c>
    </row>
    <row r="123" spans="1:2" x14ac:dyDescent="0.3">
      <c r="A123" s="94" t="s">
        <v>775</v>
      </c>
      <c r="B123" s="120">
        <v>17</v>
      </c>
    </row>
    <row r="124" spans="1:2" x14ac:dyDescent="0.3">
      <c r="A124" s="94" t="s">
        <v>780</v>
      </c>
      <c r="B124" s="120">
        <v>8</v>
      </c>
    </row>
    <row r="125" spans="1:2" x14ac:dyDescent="0.3">
      <c r="A125" s="94" t="s">
        <v>777</v>
      </c>
      <c r="B125" s="120">
        <v>16</v>
      </c>
    </row>
    <row r="126" spans="1:2" x14ac:dyDescent="0.3">
      <c r="A126" s="3" t="s">
        <v>314</v>
      </c>
      <c r="B126" s="120">
        <v>44</v>
      </c>
    </row>
    <row r="127" spans="1:2" x14ac:dyDescent="0.3">
      <c r="A127" s="94" t="s">
        <v>741</v>
      </c>
      <c r="B127" s="120">
        <v>19</v>
      </c>
    </row>
    <row r="128" spans="1:2" x14ac:dyDescent="0.3">
      <c r="A128" s="94" t="s">
        <v>775</v>
      </c>
      <c r="B128" s="120">
        <v>14</v>
      </c>
    </row>
    <row r="129" spans="1:2" x14ac:dyDescent="0.3">
      <c r="A129" s="94" t="s">
        <v>777</v>
      </c>
      <c r="B129" s="120">
        <v>11</v>
      </c>
    </row>
    <row r="130" spans="1:2" x14ac:dyDescent="0.3">
      <c r="A130" s="3" t="s">
        <v>315</v>
      </c>
      <c r="B130" s="120">
        <v>39</v>
      </c>
    </row>
    <row r="131" spans="1:2" x14ac:dyDescent="0.3">
      <c r="A131" s="94" t="s">
        <v>775</v>
      </c>
      <c r="B131" s="120">
        <v>19</v>
      </c>
    </row>
    <row r="132" spans="1:2" x14ac:dyDescent="0.3">
      <c r="A132" s="94" t="s">
        <v>777</v>
      </c>
      <c r="B132" s="120">
        <v>20</v>
      </c>
    </row>
    <row r="133" spans="1:2" x14ac:dyDescent="0.3">
      <c r="A133" s="3" t="s">
        <v>117</v>
      </c>
      <c r="B133" s="120">
        <v>37</v>
      </c>
    </row>
    <row r="134" spans="1:2" x14ac:dyDescent="0.3">
      <c r="A134" s="94" t="s">
        <v>741</v>
      </c>
      <c r="B134" s="120">
        <v>6</v>
      </c>
    </row>
    <row r="135" spans="1:2" x14ac:dyDescent="0.3">
      <c r="A135" s="94" t="s">
        <v>778</v>
      </c>
      <c r="B135" s="120">
        <v>0</v>
      </c>
    </row>
    <row r="136" spans="1:2" x14ac:dyDescent="0.3">
      <c r="A136" s="94" t="s">
        <v>775</v>
      </c>
      <c r="B136" s="120">
        <v>16</v>
      </c>
    </row>
    <row r="137" spans="1:2" x14ac:dyDescent="0.3">
      <c r="A137" s="94" t="s">
        <v>780</v>
      </c>
      <c r="B137" s="120">
        <v>3</v>
      </c>
    </row>
    <row r="138" spans="1:2" x14ac:dyDescent="0.3">
      <c r="A138" s="94" t="s">
        <v>777</v>
      </c>
      <c r="B138" s="120">
        <v>12</v>
      </c>
    </row>
    <row r="139" spans="1:2" x14ac:dyDescent="0.3">
      <c r="A139" s="3" t="s">
        <v>309</v>
      </c>
      <c r="B139" s="120">
        <v>33</v>
      </c>
    </row>
    <row r="140" spans="1:2" x14ac:dyDescent="0.3">
      <c r="A140" s="94" t="s">
        <v>778</v>
      </c>
      <c r="B140" s="120">
        <v>12</v>
      </c>
    </row>
    <row r="141" spans="1:2" x14ac:dyDescent="0.3">
      <c r="A141" s="94" t="s">
        <v>775</v>
      </c>
      <c r="B141" s="120">
        <v>8</v>
      </c>
    </row>
    <row r="142" spans="1:2" x14ac:dyDescent="0.3">
      <c r="A142" s="94" t="s">
        <v>780</v>
      </c>
      <c r="B142" s="120">
        <v>4</v>
      </c>
    </row>
    <row r="143" spans="1:2" x14ac:dyDescent="0.3">
      <c r="A143" s="94" t="s">
        <v>777</v>
      </c>
      <c r="B143" s="120">
        <v>9</v>
      </c>
    </row>
    <row r="144" spans="1:2" x14ac:dyDescent="0.3">
      <c r="A144" s="3" t="s">
        <v>82</v>
      </c>
      <c r="B144" s="120">
        <v>28</v>
      </c>
    </row>
    <row r="145" spans="1:2" x14ac:dyDescent="0.3">
      <c r="A145" s="94" t="s">
        <v>741</v>
      </c>
      <c r="B145" s="120">
        <v>0</v>
      </c>
    </row>
    <row r="146" spans="1:2" x14ac:dyDescent="0.3">
      <c r="A146" s="94" t="s">
        <v>776</v>
      </c>
      <c r="B146" s="120">
        <v>17</v>
      </c>
    </row>
    <row r="147" spans="1:2" x14ac:dyDescent="0.3">
      <c r="A147" s="94" t="s">
        <v>777</v>
      </c>
      <c r="B147" s="120">
        <v>11</v>
      </c>
    </row>
    <row r="148" spans="1:2" x14ac:dyDescent="0.3">
      <c r="A148" s="3" t="s">
        <v>61</v>
      </c>
      <c r="B148" s="120">
        <v>25</v>
      </c>
    </row>
    <row r="149" spans="1:2" x14ac:dyDescent="0.3">
      <c r="A149" s="94" t="s">
        <v>779</v>
      </c>
      <c r="B149" s="120">
        <v>8</v>
      </c>
    </row>
    <row r="150" spans="1:2" x14ac:dyDescent="0.3">
      <c r="A150" s="94" t="s">
        <v>776</v>
      </c>
      <c r="B150" s="120">
        <v>3</v>
      </c>
    </row>
    <row r="151" spans="1:2" x14ac:dyDescent="0.3">
      <c r="A151" s="94" t="s">
        <v>780</v>
      </c>
      <c r="B151" s="120">
        <v>8</v>
      </c>
    </row>
    <row r="152" spans="1:2" x14ac:dyDescent="0.3">
      <c r="A152" s="94" t="s">
        <v>777</v>
      </c>
      <c r="B152" s="120">
        <v>6</v>
      </c>
    </row>
    <row r="153" spans="1:2" x14ac:dyDescent="0.3">
      <c r="A153" s="3" t="s">
        <v>335</v>
      </c>
      <c r="B153" s="120">
        <v>24</v>
      </c>
    </row>
    <row r="154" spans="1:2" x14ac:dyDescent="0.3">
      <c r="A154" s="94" t="s">
        <v>776</v>
      </c>
      <c r="B154" s="120">
        <v>10</v>
      </c>
    </row>
    <row r="155" spans="1:2" x14ac:dyDescent="0.3">
      <c r="A155" s="94" t="s">
        <v>777</v>
      </c>
      <c r="B155" s="120">
        <v>14</v>
      </c>
    </row>
    <row r="156" spans="1:2" x14ac:dyDescent="0.3">
      <c r="A156" s="3" t="s">
        <v>823</v>
      </c>
      <c r="B156" s="120">
        <v>15</v>
      </c>
    </row>
    <row r="157" spans="1:2" x14ac:dyDescent="0.3">
      <c r="A157" s="94" t="s">
        <v>775</v>
      </c>
      <c r="B157" s="120">
        <v>12</v>
      </c>
    </row>
    <row r="158" spans="1:2" x14ac:dyDescent="0.3">
      <c r="A158" s="94" t="s">
        <v>777</v>
      </c>
      <c r="B158" s="120">
        <v>3</v>
      </c>
    </row>
    <row r="159" spans="1:2" x14ac:dyDescent="0.3">
      <c r="A159" s="3" t="s">
        <v>322</v>
      </c>
      <c r="B159" s="120">
        <v>11</v>
      </c>
    </row>
    <row r="160" spans="1:2" x14ac:dyDescent="0.3">
      <c r="A160" s="94" t="s">
        <v>776</v>
      </c>
      <c r="B160" s="120">
        <v>11</v>
      </c>
    </row>
    <row r="161" spans="1:2" x14ac:dyDescent="0.3">
      <c r="A161" s="94" t="s">
        <v>777</v>
      </c>
      <c r="B161" s="120">
        <v>0</v>
      </c>
    </row>
    <row r="162" spans="1:2" x14ac:dyDescent="0.3">
      <c r="A162" s="3" t="s">
        <v>327</v>
      </c>
      <c r="B162" s="120">
        <v>11</v>
      </c>
    </row>
    <row r="163" spans="1:2" x14ac:dyDescent="0.3">
      <c r="A163" s="94" t="s">
        <v>778</v>
      </c>
      <c r="B163" s="120">
        <v>0</v>
      </c>
    </row>
    <row r="164" spans="1:2" x14ac:dyDescent="0.3">
      <c r="A164" s="94" t="s">
        <v>775</v>
      </c>
      <c r="B164" s="120">
        <v>4</v>
      </c>
    </row>
    <row r="165" spans="1:2" x14ac:dyDescent="0.3">
      <c r="A165" s="94" t="s">
        <v>780</v>
      </c>
      <c r="B165" s="120">
        <v>3</v>
      </c>
    </row>
    <row r="166" spans="1:2" x14ac:dyDescent="0.3">
      <c r="A166" s="94" t="s">
        <v>777</v>
      </c>
      <c r="B166" s="120">
        <v>4</v>
      </c>
    </row>
    <row r="167" spans="1:2" x14ac:dyDescent="0.3">
      <c r="A167" s="3" t="s">
        <v>26</v>
      </c>
      <c r="B167" s="120">
        <v>9</v>
      </c>
    </row>
    <row r="168" spans="1:2" x14ac:dyDescent="0.3">
      <c r="A168" s="94" t="s">
        <v>741</v>
      </c>
      <c r="B168" s="120">
        <v>0</v>
      </c>
    </row>
    <row r="169" spans="1:2" x14ac:dyDescent="0.3">
      <c r="A169" s="94" t="s">
        <v>775</v>
      </c>
      <c r="B169" s="120">
        <v>6</v>
      </c>
    </row>
    <row r="170" spans="1:2" x14ac:dyDescent="0.3">
      <c r="A170" s="94" t="s">
        <v>777</v>
      </c>
      <c r="B170" s="120">
        <v>3</v>
      </c>
    </row>
    <row r="171" spans="1:2" x14ac:dyDescent="0.3">
      <c r="A171" s="3" t="s">
        <v>336</v>
      </c>
      <c r="B171" s="120">
        <v>9</v>
      </c>
    </row>
    <row r="172" spans="1:2" x14ac:dyDescent="0.3">
      <c r="A172" s="94" t="s">
        <v>776</v>
      </c>
      <c r="B172" s="120">
        <v>5</v>
      </c>
    </row>
    <row r="173" spans="1:2" x14ac:dyDescent="0.3">
      <c r="A173" s="94" t="s">
        <v>780</v>
      </c>
      <c r="B173" s="120">
        <v>0</v>
      </c>
    </row>
    <row r="174" spans="1:2" x14ac:dyDescent="0.3">
      <c r="A174" s="94" t="s">
        <v>777</v>
      </c>
      <c r="B174" s="120">
        <v>4</v>
      </c>
    </row>
    <row r="175" spans="1:2" x14ac:dyDescent="0.3">
      <c r="A175" s="3" t="s">
        <v>331</v>
      </c>
      <c r="B175" s="120">
        <v>8</v>
      </c>
    </row>
    <row r="176" spans="1:2" x14ac:dyDescent="0.3">
      <c r="A176" s="94" t="s">
        <v>776</v>
      </c>
      <c r="B176" s="120">
        <v>5</v>
      </c>
    </row>
    <row r="177" spans="1:2" x14ac:dyDescent="0.3">
      <c r="A177" s="94" t="s">
        <v>777</v>
      </c>
      <c r="B177" s="120">
        <v>3</v>
      </c>
    </row>
    <row r="178" spans="1:2" x14ac:dyDescent="0.3">
      <c r="A178" s="3" t="s">
        <v>310</v>
      </c>
      <c r="B178" s="120">
        <v>4</v>
      </c>
    </row>
    <row r="179" spans="1:2" x14ac:dyDescent="0.3">
      <c r="A179" s="94" t="s">
        <v>775</v>
      </c>
      <c r="B179" s="120">
        <v>4</v>
      </c>
    </row>
    <row r="180" spans="1:2" x14ac:dyDescent="0.3">
      <c r="A180" s="94" t="s">
        <v>777</v>
      </c>
      <c r="B180" s="120">
        <v>0</v>
      </c>
    </row>
    <row r="181" spans="1:2" x14ac:dyDescent="0.3">
      <c r="A181" s="3" t="s">
        <v>332</v>
      </c>
      <c r="B181" s="120">
        <v>4</v>
      </c>
    </row>
    <row r="182" spans="1:2" x14ac:dyDescent="0.3">
      <c r="A182" s="94" t="s">
        <v>775</v>
      </c>
      <c r="B182" s="120">
        <v>4</v>
      </c>
    </row>
    <row r="183" spans="1:2" x14ac:dyDescent="0.3">
      <c r="A183" s="94" t="s">
        <v>777</v>
      </c>
      <c r="B183" s="120">
        <v>0</v>
      </c>
    </row>
    <row r="184" spans="1:2" x14ac:dyDescent="0.3">
      <c r="A184" s="3" t="s">
        <v>790</v>
      </c>
      <c r="B184" s="120">
        <v>3</v>
      </c>
    </row>
    <row r="185" spans="1:2" x14ac:dyDescent="0.3">
      <c r="A185" s="94" t="s">
        <v>775</v>
      </c>
      <c r="B185" s="120">
        <v>3</v>
      </c>
    </row>
    <row r="186" spans="1:2" x14ac:dyDescent="0.3">
      <c r="A186" s="94" t="s">
        <v>777</v>
      </c>
      <c r="B186" s="120">
        <v>0</v>
      </c>
    </row>
    <row r="187" spans="1:2" x14ac:dyDescent="0.3">
      <c r="A187" s="3" t="s">
        <v>826</v>
      </c>
      <c r="B187" s="120">
        <v>2</v>
      </c>
    </row>
    <row r="188" spans="1:2" x14ac:dyDescent="0.3">
      <c r="A188" s="94" t="s">
        <v>778</v>
      </c>
      <c r="B188" s="120">
        <v>0</v>
      </c>
    </row>
    <row r="189" spans="1:2" x14ac:dyDescent="0.3">
      <c r="A189" s="94" t="s">
        <v>775</v>
      </c>
      <c r="B189" s="120">
        <v>2</v>
      </c>
    </row>
    <row r="190" spans="1:2" x14ac:dyDescent="0.3">
      <c r="A190" s="94" t="s">
        <v>780</v>
      </c>
      <c r="B190" s="120">
        <v>0</v>
      </c>
    </row>
    <row r="191" spans="1:2" x14ac:dyDescent="0.3">
      <c r="A191" s="94" t="s">
        <v>777</v>
      </c>
      <c r="B191" s="120">
        <v>0</v>
      </c>
    </row>
    <row r="192" spans="1:2" x14ac:dyDescent="0.3">
      <c r="A192" s="3" t="s">
        <v>829</v>
      </c>
      <c r="B192" s="120">
        <v>0</v>
      </c>
    </row>
    <row r="193" spans="1:2" x14ac:dyDescent="0.3">
      <c r="A193" s="94" t="s">
        <v>775</v>
      </c>
      <c r="B193" s="120">
        <v>0</v>
      </c>
    </row>
    <row r="194" spans="1:2" x14ac:dyDescent="0.3">
      <c r="A194" s="94" t="s">
        <v>777</v>
      </c>
      <c r="B194" s="120">
        <v>0</v>
      </c>
    </row>
    <row r="195" spans="1:2" x14ac:dyDescent="0.3">
      <c r="A195" s="3" t="s">
        <v>828</v>
      </c>
      <c r="B195" s="120">
        <v>0</v>
      </c>
    </row>
    <row r="196" spans="1:2" x14ac:dyDescent="0.3">
      <c r="A196" s="94" t="s">
        <v>775</v>
      </c>
      <c r="B196" s="120">
        <v>0</v>
      </c>
    </row>
    <row r="197" spans="1:2" x14ac:dyDescent="0.3">
      <c r="A197" s="94" t="s">
        <v>777</v>
      </c>
      <c r="B197" s="120">
        <v>0</v>
      </c>
    </row>
    <row r="198" spans="1:2" x14ac:dyDescent="0.3">
      <c r="A198" s="3" t="s">
        <v>441</v>
      </c>
      <c r="B198" s="120">
        <v>0</v>
      </c>
    </row>
    <row r="199" spans="1:2" x14ac:dyDescent="0.3">
      <c r="A199" s="94" t="s">
        <v>778</v>
      </c>
      <c r="B199" s="120">
        <v>0</v>
      </c>
    </row>
    <row r="200" spans="1:2" x14ac:dyDescent="0.3">
      <c r="A200" s="94" t="s">
        <v>780</v>
      </c>
      <c r="B200" s="120">
        <v>0</v>
      </c>
    </row>
    <row r="201" spans="1:2" x14ac:dyDescent="0.3">
      <c r="A201" s="2" t="s">
        <v>637</v>
      </c>
      <c r="B201" s="120">
        <v>518.00000002000002</v>
      </c>
    </row>
    <row r="202" spans="1:2" x14ac:dyDescent="0.3">
      <c r="A202" s="3" t="s">
        <v>702</v>
      </c>
      <c r="B202" s="120">
        <v>202</v>
      </c>
    </row>
    <row r="203" spans="1:2" x14ac:dyDescent="0.3">
      <c r="A203" s="94" t="s">
        <v>741</v>
      </c>
      <c r="B203" s="120">
        <v>9</v>
      </c>
    </row>
    <row r="204" spans="1:2" x14ac:dyDescent="0.3">
      <c r="A204" s="94" t="s">
        <v>778</v>
      </c>
      <c r="B204" s="120">
        <v>32</v>
      </c>
    </row>
    <row r="205" spans="1:2" x14ac:dyDescent="0.3">
      <c r="A205" s="94" t="s">
        <v>775</v>
      </c>
      <c r="B205" s="120">
        <v>71</v>
      </c>
    </row>
    <row r="206" spans="1:2" x14ac:dyDescent="0.3">
      <c r="A206" s="94" t="s">
        <v>780</v>
      </c>
      <c r="B206" s="120">
        <v>24</v>
      </c>
    </row>
    <row r="207" spans="1:2" x14ac:dyDescent="0.3">
      <c r="A207" s="94" t="s">
        <v>777</v>
      </c>
      <c r="B207" s="120">
        <v>66</v>
      </c>
    </row>
    <row r="208" spans="1:2" x14ac:dyDescent="0.3">
      <c r="A208" s="3" t="s">
        <v>98</v>
      </c>
      <c r="B208" s="120">
        <v>65.000000010000008</v>
      </c>
    </row>
    <row r="209" spans="1:2" x14ac:dyDescent="0.3">
      <c r="A209" s="94" t="s">
        <v>741</v>
      </c>
      <c r="B209" s="120">
        <v>22.000000010000001</v>
      </c>
    </row>
    <row r="210" spans="1:2" x14ac:dyDescent="0.3">
      <c r="A210" s="94" t="s">
        <v>779</v>
      </c>
      <c r="B210" s="120">
        <v>11</v>
      </c>
    </row>
    <row r="211" spans="1:2" x14ac:dyDescent="0.3">
      <c r="A211" s="94" t="s">
        <v>776</v>
      </c>
      <c r="B211" s="120">
        <v>8</v>
      </c>
    </row>
    <row r="212" spans="1:2" x14ac:dyDescent="0.3">
      <c r="A212" s="94" t="s">
        <v>780</v>
      </c>
      <c r="B212" s="120">
        <v>5</v>
      </c>
    </row>
    <row r="213" spans="1:2" x14ac:dyDescent="0.3">
      <c r="A213" s="94" t="s">
        <v>777</v>
      </c>
      <c r="B213" s="120">
        <v>19</v>
      </c>
    </row>
    <row r="214" spans="1:2" x14ac:dyDescent="0.3">
      <c r="A214" s="3" t="s">
        <v>711</v>
      </c>
      <c r="B214" s="120">
        <v>52</v>
      </c>
    </row>
    <row r="215" spans="1:2" x14ac:dyDescent="0.3">
      <c r="A215" s="94" t="s">
        <v>741</v>
      </c>
      <c r="B215" s="120">
        <v>0</v>
      </c>
    </row>
    <row r="216" spans="1:2" x14ac:dyDescent="0.3">
      <c r="A216" s="94" t="s">
        <v>778</v>
      </c>
      <c r="B216" s="120">
        <v>15</v>
      </c>
    </row>
    <row r="217" spans="1:2" x14ac:dyDescent="0.3">
      <c r="A217" s="94" t="s">
        <v>775</v>
      </c>
      <c r="B217" s="120">
        <v>16</v>
      </c>
    </row>
    <row r="218" spans="1:2" x14ac:dyDescent="0.3">
      <c r="A218" s="94" t="s">
        <v>780</v>
      </c>
      <c r="B218" s="120">
        <v>12</v>
      </c>
    </row>
    <row r="219" spans="1:2" x14ac:dyDescent="0.3">
      <c r="A219" s="94" t="s">
        <v>777</v>
      </c>
      <c r="B219" s="120">
        <v>9</v>
      </c>
    </row>
    <row r="220" spans="1:2" x14ac:dyDescent="0.3">
      <c r="A220" s="3" t="s">
        <v>819</v>
      </c>
      <c r="B220" s="120">
        <v>37</v>
      </c>
    </row>
    <row r="221" spans="1:2" x14ac:dyDescent="0.3">
      <c r="A221" s="94" t="s">
        <v>775</v>
      </c>
      <c r="B221" s="120">
        <v>16</v>
      </c>
    </row>
    <row r="222" spans="1:2" x14ac:dyDescent="0.3">
      <c r="A222" s="94" t="s">
        <v>777</v>
      </c>
      <c r="B222" s="120">
        <v>21</v>
      </c>
    </row>
    <row r="223" spans="1:2" x14ac:dyDescent="0.3">
      <c r="A223" s="3" t="s">
        <v>701</v>
      </c>
      <c r="B223" s="120">
        <v>28.000000010000001</v>
      </c>
    </row>
    <row r="224" spans="1:2" x14ac:dyDescent="0.3">
      <c r="A224" s="94" t="s">
        <v>741</v>
      </c>
      <c r="B224" s="120">
        <v>28.000000010000001</v>
      </c>
    </row>
    <row r="225" spans="1:2" x14ac:dyDescent="0.3">
      <c r="A225" s="3" t="s">
        <v>703</v>
      </c>
      <c r="B225" s="120">
        <v>28</v>
      </c>
    </row>
    <row r="226" spans="1:2" x14ac:dyDescent="0.3">
      <c r="A226" s="94" t="s">
        <v>741</v>
      </c>
      <c r="B226" s="120">
        <v>4</v>
      </c>
    </row>
    <row r="227" spans="1:2" x14ac:dyDescent="0.3">
      <c r="A227" s="94" t="s">
        <v>779</v>
      </c>
      <c r="B227" s="120">
        <v>3</v>
      </c>
    </row>
    <row r="228" spans="1:2" x14ac:dyDescent="0.3">
      <c r="A228" s="94" t="s">
        <v>776</v>
      </c>
      <c r="B228" s="120">
        <v>9</v>
      </c>
    </row>
    <row r="229" spans="1:2" x14ac:dyDescent="0.3">
      <c r="A229" s="94" t="s">
        <v>780</v>
      </c>
      <c r="B229" s="120">
        <v>0</v>
      </c>
    </row>
    <row r="230" spans="1:2" x14ac:dyDescent="0.3">
      <c r="A230" s="94" t="s">
        <v>777</v>
      </c>
      <c r="B230" s="120">
        <v>12</v>
      </c>
    </row>
    <row r="231" spans="1:2" x14ac:dyDescent="0.3">
      <c r="A231" s="3" t="s">
        <v>820</v>
      </c>
      <c r="B231" s="120">
        <v>21</v>
      </c>
    </row>
    <row r="232" spans="1:2" x14ac:dyDescent="0.3">
      <c r="A232" s="94" t="s">
        <v>779</v>
      </c>
      <c r="B232" s="120">
        <v>12</v>
      </c>
    </row>
    <row r="233" spans="1:2" x14ac:dyDescent="0.3">
      <c r="A233" s="94" t="s">
        <v>776</v>
      </c>
      <c r="B233" s="120">
        <v>6</v>
      </c>
    </row>
    <row r="234" spans="1:2" x14ac:dyDescent="0.3">
      <c r="A234" s="94" t="s">
        <v>780</v>
      </c>
      <c r="B234" s="120">
        <v>3</v>
      </c>
    </row>
    <row r="235" spans="1:2" x14ac:dyDescent="0.3">
      <c r="A235" s="94" t="s">
        <v>777</v>
      </c>
      <c r="B235" s="120">
        <v>0</v>
      </c>
    </row>
    <row r="236" spans="1:2" x14ac:dyDescent="0.3">
      <c r="A236" s="3" t="s">
        <v>821</v>
      </c>
      <c r="B236" s="120">
        <v>19</v>
      </c>
    </row>
    <row r="237" spans="1:2" x14ac:dyDescent="0.3">
      <c r="A237" s="94" t="s">
        <v>775</v>
      </c>
      <c r="B237" s="120">
        <v>5</v>
      </c>
    </row>
    <row r="238" spans="1:2" x14ac:dyDescent="0.3">
      <c r="A238" s="94" t="s">
        <v>777</v>
      </c>
      <c r="B238" s="120">
        <v>14</v>
      </c>
    </row>
    <row r="239" spans="1:2" x14ac:dyDescent="0.3">
      <c r="A239" s="3" t="s">
        <v>595</v>
      </c>
      <c r="B239" s="120">
        <v>17</v>
      </c>
    </row>
    <row r="240" spans="1:2" x14ac:dyDescent="0.3">
      <c r="A240" s="94" t="s">
        <v>741</v>
      </c>
      <c r="B240" s="120">
        <v>8</v>
      </c>
    </row>
    <row r="241" spans="1:2" x14ac:dyDescent="0.3">
      <c r="A241" s="94" t="s">
        <v>775</v>
      </c>
      <c r="B241" s="120">
        <v>9</v>
      </c>
    </row>
    <row r="242" spans="1:2" x14ac:dyDescent="0.3">
      <c r="A242" s="94" t="s">
        <v>777</v>
      </c>
      <c r="B242" s="120">
        <v>0</v>
      </c>
    </row>
    <row r="243" spans="1:2" x14ac:dyDescent="0.3">
      <c r="A243" s="3" t="s">
        <v>822</v>
      </c>
      <c r="B243" s="120">
        <v>16</v>
      </c>
    </row>
    <row r="244" spans="1:2" x14ac:dyDescent="0.3">
      <c r="A244" s="94" t="s">
        <v>776</v>
      </c>
      <c r="B244" s="120">
        <v>6</v>
      </c>
    </row>
    <row r="245" spans="1:2" x14ac:dyDescent="0.3">
      <c r="A245" s="94" t="s">
        <v>777</v>
      </c>
      <c r="B245" s="120">
        <v>10</v>
      </c>
    </row>
    <row r="246" spans="1:2" x14ac:dyDescent="0.3">
      <c r="A246" s="3" t="s">
        <v>824</v>
      </c>
      <c r="B246" s="120">
        <v>12</v>
      </c>
    </row>
    <row r="247" spans="1:2" x14ac:dyDescent="0.3">
      <c r="A247" s="94" t="s">
        <v>775</v>
      </c>
      <c r="B247" s="120">
        <v>8</v>
      </c>
    </row>
    <row r="248" spans="1:2" x14ac:dyDescent="0.3">
      <c r="A248" s="94" t="s">
        <v>777</v>
      </c>
      <c r="B248" s="120">
        <v>4</v>
      </c>
    </row>
    <row r="249" spans="1:2" x14ac:dyDescent="0.3">
      <c r="A249" s="3" t="s">
        <v>825</v>
      </c>
      <c r="B249" s="120">
        <v>12</v>
      </c>
    </row>
    <row r="250" spans="1:2" x14ac:dyDescent="0.3">
      <c r="A250" s="94" t="s">
        <v>778</v>
      </c>
      <c r="B250" s="120">
        <v>3</v>
      </c>
    </row>
    <row r="251" spans="1:2" x14ac:dyDescent="0.3">
      <c r="A251" s="94" t="s">
        <v>775</v>
      </c>
      <c r="B251" s="120">
        <v>0</v>
      </c>
    </row>
    <row r="252" spans="1:2" x14ac:dyDescent="0.3">
      <c r="A252" s="94" t="s">
        <v>780</v>
      </c>
      <c r="B252" s="120">
        <v>3</v>
      </c>
    </row>
    <row r="253" spans="1:2" x14ac:dyDescent="0.3">
      <c r="A253" s="94" t="s">
        <v>777</v>
      </c>
      <c r="B253" s="120">
        <v>6</v>
      </c>
    </row>
    <row r="254" spans="1:2" x14ac:dyDescent="0.3">
      <c r="A254" s="3" t="s">
        <v>317</v>
      </c>
      <c r="B254" s="120">
        <v>9</v>
      </c>
    </row>
    <row r="255" spans="1:2" x14ac:dyDescent="0.3">
      <c r="A255" s="94" t="s">
        <v>779</v>
      </c>
      <c r="B255" s="120">
        <v>5</v>
      </c>
    </row>
    <row r="256" spans="1:2" x14ac:dyDescent="0.3">
      <c r="A256" s="94" t="s">
        <v>780</v>
      </c>
      <c r="B256" s="120">
        <v>4</v>
      </c>
    </row>
    <row r="257" spans="1:2" x14ac:dyDescent="0.3">
      <c r="A257" s="3" t="s">
        <v>328</v>
      </c>
      <c r="B257" s="120">
        <v>0</v>
      </c>
    </row>
    <row r="258" spans="1:2" x14ac:dyDescent="0.3">
      <c r="A258" s="94" t="s">
        <v>741</v>
      </c>
      <c r="B258" s="120">
        <v>0</v>
      </c>
    </row>
    <row r="259" spans="1:2" x14ac:dyDescent="0.3">
      <c r="A259" s="94" t="s">
        <v>775</v>
      </c>
      <c r="B259" s="120">
        <v>0</v>
      </c>
    </row>
    <row r="260" spans="1:2" x14ac:dyDescent="0.3">
      <c r="A260" s="94" t="s">
        <v>777</v>
      </c>
      <c r="B260" s="120">
        <v>0</v>
      </c>
    </row>
    <row r="261" spans="1:2" x14ac:dyDescent="0.3">
      <c r="A261" s="3" t="s">
        <v>827</v>
      </c>
      <c r="B261" s="120">
        <v>0</v>
      </c>
    </row>
    <row r="262" spans="1:2" x14ac:dyDescent="0.3">
      <c r="A262" s="94" t="s">
        <v>775</v>
      </c>
      <c r="B262" s="120">
        <v>0</v>
      </c>
    </row>
    <row r="263" spans="1:2" x14ac:dyDescent="0.3">
      <c r="A263" s="2" t="s">
        <v>705</v>
      </c>
      <c r="B263" s="120"/>
    </row>
    <row r="264" spans="1:2" x14ac:dyDescent="0.3">
      <c r="A264" s="3" t="s">
        <v>705</v>
      </c>
      <c r="B264" s="120"/>
    </row>
    <row r="265" spans="1:2" x14ac:dyDescent="0.3">
      <c r="A265" s="94" t="s">
        <v>705</v>
      </c>
      <c r="B265" s="120"/>
    </row>
    <row r="266" spans="1:2" x14ac:dyDescent="0.3">
      <c r="A266" s="2" t="s">
        <v>164</v>
      </c>
      <c r="B266" s="120">
        <v>4100.9000000800006</v>
      </c>
    </row>
  </sheetData>
  <mergeCells count="1">
    <mergeCell ref="A1:B1"/>
  </mergeCells>
  <pageMargins left="0.7" right="0.7" top="0.75" bottom="0.75" header="0.3" footer="0.3"/>
  <pageSetup paperSize="9" orientation="portrait" verticalDpi="0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B176"/>
  <sheetViews>
    <sheetView topLeftCell="A77" zoomScaleNormal="100" workbookViewId="0">
      <selection activeCell="B6" sqref="B6"/>
    </sheetView>
  </sheetViews>
  <sheetFormatPr defaultRowHeight="14.4" x14ac:dyDescent="0.3"/>
  <cols>
    <col min="1" max="1" width="25.44140625" bestFit="1" customWidth="1"/>
    <col min="2" max="2" width="20.77734375" style="120" bestFit="1" customWidth="1"/>
  </cols>
  <sheetData>
    <row r="1" spans="1:2" x14ac:dyDescent="0.3">
      <c r="A1" s="171" t="s">
        <v>722</v>
      </c>
      <c r="B1" s="171"/>
    </row>
    <row r="2" spans="1:2" ht="44.4" customHeight="1" x14ac:dyDescent="0.3">
      <c r="A2" s="171"/>
      <c r="B2" s="171"/>
    </row>
    <row r="3" spans="1:2" x14ac:dyDescent="0.3">
      <c r="A3" s="1" t="s">
        <v>723</v>
      </c>
      <c r="B3" s="120" t="s">
        <v>165</v>
      </c>
    </row>
    <row r="4" spans="1:2" ht="14.85" x14ac:dyDescent="0.3">
      <c r="A4" s="2" t="s">
        <v>636</v>
      </c>
      <c r="B4" s="120">
        <v>3582.9000000599999</v>
      </c>
    </row>
    <row r="5" spans="1:2" ht="14.85" x14ac:dyDescent="0.3">
      <c r="A5" s="124" t="s">
        <v>7</v>
      </c>
      <c r="B5" s="120">
        <v>2909</v>
      </c>
    </row>
    <row r="6" spans="1:2" x14ac:dyDescent="0.3">
      <c r="A6" s="123" t="s">
        <v>645</v>
      </c>
      <c r="B6" s="121">
        <v>2446</v>
      </c>
    </row>
    <row r="7" spans="1:2" ht="14.85" x14ac:dyDescent="0.3">
      <c r="A7" s="122" t="s">
        <v>35</v>
      </c>
      <c r="B7" s="120">
        <v>338</v>
      </c>
    </row>
    <row r="8" spans="1:2" ht="14.85" x14ac:dyDescent="0.3">
      <c r="A8" s="122" t="s">
        <v>14</v>
      </c>
      <c r="B8" s="120">
        <v>295</v>
      </c>
    </row>
    <row r="9" spans="1:2" ht="14.85" x14ac:dyDescent="0.3">
      <c r="A9" s="122" t="s">
        <v>87</v>
      </c>
      <c r="B9" s="120">
        <v>187</v>
      </c>
    </row>
    <row r="10" spans="1:2" ht="14.85" x14ac:dyDescent="0.3">
      <c r="A10" s="122" t="s">
        <v>47</v>
      </c>
      <c r="B10" s="120">
        <v>164</v>
      </c>
    </row>
    <row r="11" spans="1:2" ht="14.85" x14ac:dyDescent="0.3">
      <c r="A11" s="122" t="s">
        <v>67</v>
      </c>
      <c r="B11" s="120">
        <v>143</v>
      </c>
    </row>
    <row r="12" spans="1:2" ht="14.85" x14ac:dyDescent="0.3">
      <c r="A12" s="122" t="s">
        <v>318</v>
      </c>
      <c r="B12" s="120">
        <v>94</v>
      </c>
    </row>
    <row r="13" spans="1:2" ht="14.85" x14ac:dyDescent="0.3">
      <c r="A13" s="122" t="s">
        <v>817</v>
      </c>
      <c r="B13" s="120">
        <v>94</v>
      </c>
    </row>
    <row r="14" spans="1:2" x14ac:dyDescent="0.3">
      <c r="A14" s="122" t="s">
        <v>167</v>
      </c>
      <c r="B14" s="120">
        <v>91</v>
      </c>
    </row>
    <row r="15" spans="1:2" ht="14.85" x14ac:dyDescent="0.3">
      <c r="A15" s="122" t="s">
        <v>803</v>
      </c>
      <c r="B15" s="120">
        <v>87</v>
      </c>
    </row>
    <row r="16" spans="1:2" ht="14.85" x14ac:dyDescent="0.3">
      <c r="A16" s="122" t="s">
        <v>325</v>
      </c>
      <c r="B16" s="120">
        <v>81</v>
      </c>
    </row>
    <row r="17" spans="1:2" x14ac:dyDescent="0.3">
      <c r="A17" s="122" t="s">
        <v>65</v>
      </c>
      <c r="B17" s="120">
        <v>79</v>
      </c>
    </row>
    <row r="18" spans="1:2" ht="14.85" x14ac:dyDescent="0.3">
      <c r="A18" s="122" t="s">
        <v>37</v>
      </c>
      <c r="B18" s="120">
        <v>65</v>
      </c>
    </row>
    <row r="19" spans="1:2" ht="14.85" x14ac:dyDescent="0.3">
      <c r="A19" s="122" t="s">
        <v>41</v>
      </c>
      <c r="B19" s="120">
        <v>63</v>
      </c>
    </row>
    <row r="20" spans="1:2" ht="14.85" x14ac:dyDescent="0.3">
      <c r="A20" s="122" t="s">
        <v>326</v>
      </c>
      <c r="B20" s="120">
        <v>52</v>
      </c>
    </row>
    <row r="21" spans="1:2" x14ac:dyDescent="0.3">
      <c r="A21" s="122" t="s">
        <v>39</v>
      </c>
      <c r="B21" s="120">
        <v>51</v>
      </c>
    </row>
    <row r="22" spans="1:2" ht="14.85" x14ac:dyDescent="0.3">
      <c r="A22" s="122" t="s">
        <v>312</v>
      </c>
      <c r="B22" s="120">
        <v>46</v>
      </c>
    </row>
    <row r="23" spans="1:2" x14ac:dyDescent="0.3">
      <c r="A23" s="122" t="s">
        <v>150</v>
      </c>
      <c r="B23" s="120">
        <v>45</v>
      </c>
    </row>
    <row r="24" spans="1:2" ht="14.85" x14ac:dyDescent="0.3">
      <c r="A24" s="122" t="s">
        <v>151</v>
      </c>
      <c r="B24" s="120">
        <v>44</v>
      </c>
    </row>
    <row r="25" spans="1:2" ht="14.85" x14ac:dyDescent="0.3">
      <c r="A25" s="122" t="s">
        <v>16</v>
      </c>
      <c r="B25" s="120">
        <v>42</v>
      </c>
    </row>
    <row r="26" spans="1:2" ht="14.85" x14ac:dyDescent="0.3">
      <c r="A26" s="122" t="s">
        <v>307</v>
      </c>
      <c r="B26" s="120">
        <v>38</v>
      </c>
    </row>
    <row r="27" spans="1:2" ht="14.85" x14ac:dyDescent="0.3">
      <c r="A27" s="122" t="s">
        <v>79</v>
      </c>
      <c r="B27" s="120">
        <v>37</v>
      </c>
    </row>
    <row r="28" spans="1:2" ht="14.85" x14ac:dyDescent="0.3">
      <c r="A28" s="122" t="s">
        <v>818</v>
      </c>
      <c r="B28" s="120">
        <v>36</v>
      </c>
    </row>
    <row r="29" spans="1:2" ht="14.85" x14ac:dyDescent="0.3">
      <c r="A29" s="122" t="s">
        <v>23</v>
      </c>
      <c r="B29" s="120">
        <v>32</v>
      </c>
    </row>
    <row r="30" spans="1:2" ht="14.85" x14ac:dyDescent="0.3">
      <c r="A30" s="122" t="s">
        <v>117</v>
      </c>
      <c r="B30" s="120">
        <v>31</v>
      </c>
    </row>
    <row r="31" spans="1:2" ht="14.85" x14ac:dyDescent="0.3">
      <c r="A31" s="122" t="s">
        <v>309</v>
      </c>
      <c r="B31" s="120">
        <v>28</v>
      </c>
    </row>
    <row r="32" spans="1:2" x14ac:dyDescent="0.3">
      <c r="A32" s="122" t="s">
        <v>82</v>
      </c>
      <c r="B32" s="120">
        <v>28</v>
      </c>
    </row>
    <row r="33" spans="1:2" ht="14.85" x14ac:dyDescent="0.3">
      <c r="A33" s="122" t="s">
        <v>61</v>
      </c>
      <c r="B33" s="120">
        <v>25</v>
      </c>
    </row>
    <row r="34" spans="1:2" ht="14.85" x14ac:dyDescent="0.3">
      <c r="A34" s="122" t="s">
        <v>314</v>
      </c>
      <c r="B34" s="120">
        <v>25</v>
      </c>
    </row>
    <row r="35" spans="1:2" ht="14.85" x14ac:dyDescent="0.3">
      <c r="A35" s="122" t="s">
        <v>315</v>
      </c>
      <c r="B35" s="120">
        <v>21</v>
      </c>
    </row>
    <row r="36" spans="1:2" x14ac:dyDescent="0.3">
      <c r="A36" s="122" t="s">
        <v>51</v>
      </c>
      <c r="B36" s="120">
        <v>18</v>
      </c>
    </row>
    <row r="37" spans="1:2" x14ac:dyDescent="0.3">
      <c r="A37" s="122" t="s">
        <v>335</v>
      </c>
      <c r="B37" s="120">
        <v>12</v>
      </c>
    </row>
    <row r="38" spans="1:2" ht="14.85" x14ac:dyDescent="0.3">
      <c r="A38" s="122" t="s">
        <v>327</v>
      </c>
      <c r="B38" s="120">
        <v>11</v>
      </c>
    </row>
    <row r="39" spans="1:2" x14ac:dyDescent="0.3">
      <c r="A39" s="122" t="s">
        <v>322</v>
      </c>
      <c r="B39" s="120">
        <v>11</v>
      </c>
    </row>
    <row r="40" spans="1:2" ht="14.85" x14ac:dyDescent="0.3">
      <c r="A40" s="122" t="s">
        <v>336</v>
      </c>
      <c r="B40" s="120">
        <v>9</v>
      </c>
    </row>
    <row r="41" spans="1:2" x14ac:dyDescent="0.3">
      <c r="A41" s="122" t="s">
        <v>331</v>
      </c>
      <c r="B41" s="120">
        <v>8</v>
      </c>
    </row>
    <row r="42" spans="1:2" ht="14.85" x14ac:dyDescent="0.3">
      <c r="A42" s="122" t="s">
        <v>823</v>
      </c>
      <c r="B42" s="120">
        <v>5</v>
      </c>
    </row>
    <row r="43" spans="1:2" ht="14.85" x14ac:dyDescent="0.3">
      <c r="A43" s="122" t="s">
        <v>332</v>
      </c>
      <c r="B43" s="120">
        <v>4</v>
      </c>
    </row>
    <row r="44" spans="1:2" x14ac:dyDescent="0.3">
      <c r="A44" s="122" t="s">
        <v>26</v>
      </c>
      <c r="B44" s="120">
        <v>3</v>
      </c>
    </row>
    <row r="45" spans="1:2" ht="14.85" x14ac:dyDescent="0.3">
      <c r="A45" s="122" t="s">
        <v>790</v>
      </c>
      <c r="B45" s="120">
        <v>3</v>
      </c>
    </row>
    <row r="46" spans="1:2" ht="14.85" x14ac:dyDescent="0.3">
      <c r="A46" s="122" t="s">
        <v>826</v>
      </c>
      <c r="B46" s="120">
        <v>0</v>
      </c>
    </row>
    <row r="47" spans="1:2" ht="14.85" x14ac:dyDescent="0.3">
      <c r="A47" s="122" t="s">
        <v>829</v>
      </c>
      <c r="B47" s="120">
        <v>0</v>
      </c>
    </row>
    <row r="48" spans="1:2" ht="14.85" x14ac:dyDescent="0.3">
      <c r="A48" s="122" t="s">
        <v>441</v>
      </c>
      <c r="B48" s="120">
        <v>0</v>
      </c>
    </row>
    <row r="49" spans="1:2" ht="14.85" x14ac:dyDescent="0.3">
      <c r="A49" s="122" t="s">
        <v>310</v>
      </c>
      <c r="B49" s="120">
        <v>0</v>
      </c>
    </row>
    <row r="50" spans="1:2" x14ac:dyDescent="0.3">
      <c r="A50" s="123" t="s">
        <v>644</v>
      </c>
      <c r="B50" s="121">
        <v>463</v>
      </c>
    </row>
    <row r="51" spans="1:2" ht="14.85" x14ac:dyDescent="0.3">
      <c r="A51" s="122" t="s">
        <v>87</v>
      </c>
      <c r="B51" s="120">
        <v>213</v>
      </c>
    </row>
    <row r="52" spans="1:2" ht="14.85" x14ac:dyDescent="0.3">
      <c r="A52" s="122" t="s">
        <v>35</v>
      </c>
      <c r="B52" s="120">
        <v>93</v>
      </c>
    </row>
    <row r="53" spans="1:2" ht="14.85" x14ac:dyDescent="0.3">
      <c r="A53" s="122" t="s">
        <v>14</v>
      </c>
      <c r="B53" s="120">
        <v>42</v>
      </c>
    </row>
    <row r="54" spans="1:2" ht="14.85" x14ac:dyDescent="0.3">
      <c r="A54" s="122" t="s">
        <v>47</v>
      </c>
      <c r="B54" s="120">
        <v>30</v>
      </c>
    </row>
    <row r="55" spans="1:2" ht="14.85" x14ac:dyDescent="0.3">
      <c r="A55" s="122" t="s">
        <v>79</v>
      </c>
      <c r="B55" s="120">
        <v>28</v>
      </c>
    </row>
    <row r="56" spans="1:2" ht="14.85" x14ac:dyDescent="0.3">
      <c r="A56" s="122" t="s">
        <v>314</v>
      </c>
      <c r="B56" s="120">
        <v>19</v>
      </c>
    </row>
    <row r="57" spans="1:2" x14ac:dyDescent="0.3">
      <c r="A57" s="122" t="s">
        <v>51</v>
      </c>
      <c r="B57" s="120">
        <v>16</v>
      </c>
    </row>
    <row r="58" spans="1:2" x14ac:dyDescent="0.3">
      <c r="A58" s="122" t="s">
        <v>65</v>
      </c>
      <c r="B58" s="120">
        <v>10</v>
      </c>
    </row>
    <row r="59" spans="1:2" ht="14.85" x14ac:dyDescent="0.3">
      <c r="A59" s="122" t="s">
        <v>117</v>
      </c>
      <c r="B59" s="120">
        <v>6</v>
      </c>
    </row>
    <row r="60" spans="1:2" ht="14.85" x14ac:dyDescent="0.3">
      <c r="A60" s="122" t="s">
        <v>37</v>
      </c>
      <c r="B60" s="120">
        <v>6</v>
      </c>
    </row>
    <row r="61" spans="1:2" x14ac:dyDescent="0.3">
      <c r="A61" s="122" t="s">
        <v>82</v>
      </c>
      <c r="B61" s="120">
        <v>0</v>
      </c>
    </row>
    <row r="62" spans="1:2" ht="14.85" x14ac:dyDescent="0.3">
      <c r="A62" s="125" t="s">
        <v>126</v>
      </c>
      <c r="B62" s="167">
        <v>673.90000006000002</v>
      </c>
    </row>
    <row r="63" spans="1:2" x14ac:dyDescent="0.3">
      <c r="A63" s="127" t="s">
        <v>645</v>
      </c>
      <c r="B63" s="121">
        <v>612</v>
      </c>
    </row>
    <row r="64" spans="1:2" ht="14.85" x14ac:dyDescent="0.3">
      <c r="A64" s="122" t="s">
        <v>14</v>
      </c>
      <c r="B64" s="120">
        <v>196</v>
      </c>
    </row>
    <row r="65" spans="1:2" ht="14.85" x14ac:dyDescent="0.3">
      <c r="A65" s="122" t="s">
        <v>47</v>
      </c>
      <c r="B65" s="120">
        <v>79</v>
      </c>
    </row>
    <row r="66" spans="1:2" x14ac:dyDescent="0.3">
      <c r="A66" s="122" t="s">
        <v>150</v>
      </c>
      <c r="B66" s="120">
        <v>56</v>
      </c>
    </row>
    <row r="67" spans="1:2" ht="14.85" x14ac:dyDescent="0.3">
      <c r="A67" s="122" t="s">
        <v>149</v>
      </c>
      <c r="B67" s="120">
        <v>37</v>
      </c>
    </row>
    <row r="68" spans="1:2" ht="14.85" x14ac:dyDescent="0.3">
      <c r="A68" s="122" t="s">
        <v>87</v>
      </c>
      <c r="B68" s="120">
        <v>32</v>
      </c>
    </row>
    <row r="69" spans="1:2" ht="14.85" x14ac:dyDescent="0.3">
      <c r="A69" s="122" t="s">
        <v>23</v>
      </c>
      <c r="B69" s="120">
        <v>25</v>
      </c>
    </row>
    <row r="70" spans="1:2" ht="14.85" x14ac:dyDescent="0.3">
      <c r="A70" s="122" t="s">
        <v>326</v>
      </c>
      <c r="B70" s="120">
        <v>21</v>
      </c>
    </row>
    <row r="71" spans="1:2" ht="14.85" x14ac:dyDescent="0.3">
      <c r="A71" s="122" t="s">
        <v>325</v>
      </c>
      <c r="B71" s="120">
        <v>19</v>
      </c>
    </row>
    <row r="72" spans="1:2" ht="14.85" x14ac:dyDescent="0.3">
      <c r="A72" s="122" t="s">
        <v>315</v>
      </c>
      <c r="B72" s="120">
        <v>18</v>
      </c>
    </row>
    <row r="73" spans="1:2" ht="14.85" x14ac:dyDescent="0.3">
      <c r="A73" s="122" t="s">
        <v>151</v>
      </c>
      <c r="B73" s="120">
        <v>18</v>
      </c>
    </row>
    <row r="74" spans="1:2" ht="14.85" x14ac:dyDescent="0.3">
      <c r="A74" s="122" t="s">
        <v>818</v>
      </c>
      <c r="B74" s="120">
        <v>14</v>
      </c>
    </row>
    <row r="75" spans="1:2" ht="14.85" x14ac:dyDescent="0.3">
      <c r="A75" s="122" t="s">
        <v>67</v>
      </c>
      <c r="B75" s="120">
        <v>13</v>
      </c>
    </row>
    <row r="76" spans="1:2" x14ac:dyDescent="0.3">
      <c r="A76" s="122" t="s">
        <v>51</v>
      </c>
      <c r="B76" s="120">
        <v>12</v>
      </c>
    </row>
    <row r="77" spans="1:2" x14ac:dyDescent="0.3">
      <c r="A77" s="122" t="s">
        <v>335</v>
      </c>
      <c r="B77" s="120">
        <v>12</v>
      </c>
    </row>
    <row r="78" spans="1:2" x14ac:dyDescent="0.3">
      <c r="A78" s="122" t="s">
        <v>167</v>
      </c>
      <c r="B78" s="120">
        <v>11</v>
      </c>
    </row>
    <row r="79" spans="1:2" ht="14.85" x14ac:dyDescent="0.3">
      <c r="A79" s="122" t="s">
        <v>823</v>
      </c>
      <c r="B79" s="120">
        <v>10</v>
      </c>
    </row>
    <row r="80" spans="1:2" x14ac:dyDescent="0.3">
      <c r="A80" s="122" t="s">
        <v>39</v>
      </c>
      <c r="B80" s="120">
        <v>9</v>
      </c>
    </row>
    <row r="81" spans="1:2" ht="14.85" x14ac:dyDescent="0.3">
      <c r="A81" s="122" t="s">
        <v>307</v>
      </c>
      <c r="B81" s="120">
        <v>6</v>
      </c>
    </row>
    <row r="82" spans="1:2" x14ac:dyDescent="0.3">
      <c r="A82" s="122" t="s">
        <v>26</v>
      </c>
      <c r="B82" s="120">
        <v>6</v>
      </c>
    </row>
    <row r="83" spans="1:2" ht="14.85" x14ac:dyDescent="0.3">
      <c r="A83" s="122" t="s">
        <v>309</v>
      </c>
      <c r="B83" s="120">
        <v>5</v>
      </c>
    </row>
    <row r="84" spans="1:2" ht="14.85" x14ac:dyDescent="0.3">
      <c r="A84" s="122" t="s">
        <v>310</v>
      </c>
      <c r="B84" s="120">
        <v>4</v>
      </c>
    </row>
    <row r="85" spans="1:2" ht="14.85" x14ac:dyDescent="0.3">
      <c r="A85" s="122" t="s">
        <v>803</v>
      </c>
      <c r="B85" s="120">
        <v>4</v>
      </c>
    </row>
    <row r="86" spans="1:2" x14ac:dyDescent="0.3">
      <c r="A86" s="122" t="s">
        <v>65</v>
      </c>
      <c r="B86" s="120">
        <v>3</v>
      </c>
    </row>
    <row r="87" spans="1:2" ht="14.85" x14ac:dyDescent="0.3">
      <c r="A87" s="122" t="s">
        <v>826</v>
      </c>
      <c r="B87" s="120">
        <v>2</v>
      </c>
    </row>
    <row r="88" spans="1:2" ht="14.85" x14ac:dyDescent="0.3">
      <c r="A88" s="122" t="s">
        <v>35</v>
      </c>
      <c r="B88" s="120">
        <v>0</v>
      </c>
    </row>
    <row r="89" spans="1:2" ht="14.85" x14ac:dyDescent="0.3">
      <c r="A89" s="122" t="s">
        <v>336</v>
      </c>
      <c r="B89" s="120">
        <v>0</v>
      </c>
    </row>
    <row r="90" spans="1:2" ht="14.85" x14ac:dyDescent="0.3">
      <c r="A90" s="122" t="s">
        <v>817</v>
      </c>
      <c r="B90" s="120">
        <v>0</v>
      </c>
    </row>
    <row r="91" spans="1:2" ht="14.85" x14ac:dyDescent="0.3">
      <c r="A91" s="122" t="s">
        <v>332</v>
      </c>
      <c r="B91" s="120">
        <v>0</v>
      </c>
    </row>
    <row r="92" spans="1:2" ht="14.85" x14ac:dyDescent="0.3">
      <c r="A92" s="122" t="s">
        <v>828</v>
      </c>
      <c r="B92" s="120">
        <v>0</v>
      </c>
    </row>
    <row r="93" spans="1:2" ht="14.85" x14ac:dyDescent="0.3">
      <c r="A93" s="122" t="s">
        <v>79</v>
      </c>
      <c r="B93" s="120">
        <v>0</v>
      </c>
    </row>
    <row r="94" spans="1:2" ht="14.85" x14ac:dyDescent="0.3">
      <c r="A94" s="122" t="s">
        <v>829</v>
      </c>
      <c r="B94" s="120">
        <v>0</v>
      </c>
    </row>
    <row r="95" spans="1:2" x14ac:dyDescent="0.3">
      <c r="A95" s="127" t="s">
        <v>644</v>
      </c>
      <c r="B95" s="121">
        <v>61.900000060000004</v>
      </c>
    </row>
    <row r="96" spans="1:2" ht="14.85" x14ac:dyDescent="0.3">
      <c r="A96" s="122" t="s">
        <v>149</v>
      </c>
      <c r="B96" s="120">
        <v>15.000000030000002</v>
      </c>
    </row>
    <row r="97" spans="1:2" ht="14.85" x14ac:dyDescent="0.3">
      <c r="A97" s="122" t="s">
        <v>35</v>
      </c>
      <c r="B97" s="120">
        <v>12.900000009999999</v>
      </c>
    </row>
    <row r="98" spans="1:2" x14ac:dyDescent="0.3">
      <c r="A98" s="122" t="s">
        <v>39</v>
      </c>
      <c r="B98" s="120">
        <v>10</v>
      </c>
    </row>
    <row r="99" spans="1:2" ht="14.85" x14ac:dyDescent="0.3">
      <c r="A99" s="122" t="s">
        <v>14</v>
      </c>
      <c r="B99" s="120">
        <v>9.0000000199999999</v>
      </c>
    </row>
    <row r="100" spans="1:2" ht="14.85" x14ac:dyDescent="0.3">
      <c r="A100" s="122" t="s">
        <v>37</v>
      </c>
      <c r="B100" s="120">
        <v>8</v>
      </c>
    </row>
    <row r="101" spans="1:2" x14ac:dyDescent="0.3">
      <c r="A101" s="122" t="s">
        <v>51</v>
      </c>
      <c r="B101" s="120">
        <v>4</v>
      </c>
    </row>
    <row r="102" spans="1:2" ht="14.85" x14ac:dyDescent="0.3">
      <c r="A102" s="122" t="s">
        <v>16</v>
      </c>
      <c r="B102" s="120">
        <v>3</v>
      </c>
    </row>
    <row r="103" spans="1:2" x14ac:dyDescent="0.3">
      <c r="A103" s="122" t="s">
        <v>26</v>
      </c>
      <c r="B103" s="120">
        <v>0</v>
      </c>
    </row>
    <row r="104" spans="1:2" ht="14.85" x14ac:dyDescent="0.3">
      <c r="A104" s="122" t="s">
        <v>47</v>
      </c>
      <c r="B104" s="120">
        <v>0</v>
      </c>
    </row>
    <row r="105" spans="1:2" x14ac:dyDescent="0.3">
      <c r="A105" s="122" t="s">
        <v>150</v>
      </c>
      <c r="B105" s="120">
        <v>0</v>
      </c>
    </row>
    <row r="106" spans="1:2" ht="14.85" x14ac:dyDescent="0.3">
      <c r="A106" s="122" t="s">
        <v>67</v>
      </c>
      <c r="B106" s="120">
        <v>0</v>
      </c>
    </row>
    <row r="107" spans="1:2" x14ac:dyDescent="0.3">
      <c r="A107" s="2" t="s">
        <v>637</v>
      </c>
      <c r="B107" s="120">
        <v>518.00000002000002</v>
      </c>
    </row>
    <row r="108" spans="1:2" x14ac:dyDescent="0.3">
      <c r="A108" s="3" t="s">
        <v>7</v>
      </c>
      <c r="B108" s="120">
        <v>455</v>
      </c>
    </row>
    <row r="109" spans="1:2" x14ac:dyDescent="0.3">
      <c r="A109" s="94" t="s">
        <v>645</v>
      </c>
      <c r="B109" s="120">
        <v>406</v>
      </c>
    </row>
    <row r="110" spans="1:2" x14ac:dyDescent="0.3">
      <c r="A110" s="122" t="s">
        <v>702</v>
      </c>
      <c r="B110" s="120">
        <v>188</v>
      </c>
    </row>
    <row r="111" spans="1:2" x14ac:dyDescent="0.3">
      <c r="A111" s="122" t="s">
        <v>711</v>
      </c>
      <c r="B111" s="120">
        <v>44</v>
      </c>
    </row>
    <row r="112" spans="1:2" x14ac:dyDescent="0.3">
      <c r="A112" s="122" t="s">
        <v>98</v>
      </c>
      <c r="B112" s="120">
        <v>33</v>
      </c>
    </row>
    <row r="113" spans="1:2" x14ac:dyDescent="0.3">
      <c r="A113" s="122" t="s">
        <v>819</v>
      </c>
      <c r="B113" s="120">
        <v>32</v>
      </c>
    </row>
    <row r="114" spans="1:2" x14ac:dyDescent="0.3">
      <c r="A114" s="122" t="s">
        <v>703</v>
      </c>
      <c r="B114" s="120">
        <v>24</v>
      </c>
    </row>
    <row r="115" spans="1:2" x14ac:dyDescent="0.3">
      <c r="A115" s="122" t="s">
        <v>820</v>
      </c>
      <c r="B115" s="120">
        <v>21</v>
      </c>
    </row>
    <row r="116" spans="1:2" x14ac:dyDescent="0.3">
      <c r="A116" s="122" t="s">
        <v>821</v>
      </c>
      <c r="B116" s="120">
        <v>14</v>
      </c>
    </row>
    <row r="117" spans="1:2" x14ac:dyDescent="0.3">
      <c r="A117" s="122" t="s">
        <v>825</v>
      </c>
      <c r="B117" s="120">
        <v>12</v>
      </c>
    </row>
    <row r="118" spans="1:2" x14ac:dyDescent="0.3">
      <c r="A118" s="122" t="s">
        <v>824</v>
      </c>
      <c r="B118" s="120">
        <v>10</v>
      </c>
    </row>
    <row r="119" spans="1:2" x14ac:dyDescent="0.3">
      <c r="A119" s="122" t="s">
        <v>822</v>
      </c>
      <c r="B119" s="120">
        <v>10</v>
      </c>
    </row>
    <row r="120" spans="1:2" x14ac:dyDescent="0.3">
      <c r="A120" s="122" t="s">
        <v>595</v>
      </c>
      <c r="B120" s="120">
        <v>9</v>
      </c>
    </row>
    <row r="121" spans="1:2" x14ac:dyDescent="0.3">
      <c r="A121" s="122" t="s">
        <v>317</v>
      </c>
      <c r="B121" s="120">
        <v>9</v>
      </c>
    </row>
    <row r="122" spans="1:2" x14ac:dyDescent="0.3">
      <c r="A122" s="122" t="s">
        <v>328</v>
      </c>
      <c r="B122" s="120">
        <v>0</v>
      </c>
    </row>
    <row r="123" spans="1:2" x14ac:dyDescent="0.3">
      <c r="A123" s="94" t="s">
        <v>644</v>
      </c>
      <c r="B123" s="120">
        <v>49</v>
      </c>
    </row>
    <row r="124" spans="1:2" x14ac:dyDescent="0.3">
      <c r="A124" s="122" t="s">
        <v>701</v>
      </c>
      <c r="B124" s="120">
        <v>22</v>
      </c>
    </row>
    <row r="125" spans="1:2" x14ac:dyDescent="0.3">
      <c r="A125" s="122" t="s">
        <v>702</v>
      </c>
      <c r="B125" s="120">
        <v>9</v>
      </c>
    </row>
    <row r="126" spans="1:2" x14ac:dyDescent="0.3">
      <c r="A126" s="122" t="s">
        <v>595</v>
      </c>
      <c r="B126" s="120">
        <v>8</v>
      </c>
    </row>
    <row r="127" spans="1:2" x14ac:dyDescent="0.3">
      <c r="A127" s="122" t="s">
        <v>98</v>
      </c>
      <c r="B127" s="120">
        <v>6</v>
      </c>
    </row>
    <row r="128" spans="1:2" x14ac:dyDescent="0.3">
      <c r="A128" s="122" t="s">
        <v>703</v>
      </c>
      <c r="B128" s="120">
        <v>4</v>
      </c>
    </row>
    <row r="129" spans="1:2" x14ac:dyDescent="0.3">
      <c r="A129" s="122" t="s">
        <v>328</v>
      </c>
      <c r="B129" s="120">
        <v>0</v>
      </c>
    </row>
    <row r="130" spans="1:2" x14ac:dyDescent="0.3">
      <c r="A130" s="125" t="s">
        <v>126</v>
      </c>
      <c r="B130" s="126">
        <v>63.000000020000002</v>
      </c>
    </row>
    <row r="131" spans="1:2" x14ac:dyDescent="0.3">
      <c r="A131" s="94" t="s">
        <v>645</v>
      </c>
      <c r="B131" s="120">
        <v>41</v>
      </c>
    </row>
    <row r="132" spans="1:2" x14ac:dyDescent="0.3">
      <c r="A132" s="122" t="s">
        <v>98</v>
      </c>
      <c r="B132" s="120">
        <v>10</v>
      </c>
    </row>
    <row r="133" spans="1:2" x14ac:dyDescent="0.3">
      <c r="A133" s="122" t="s">
        <v>711</v>
      </c>
      <c r="B133" s="120">
        <v>8</v>
      </c>
    </row>
    <row r="134" spans="1:2" x14ac:dyDescent="0.3">
      <c r="A134" s="122" t="s">
        <v>822</v>
      </c>
      <c r="B134" s="120">
        <v>6</v>
      </c>
    </row>
    <row r="135" spans="1:2" x14ac:dyDescent="0.3">
      <c r="A135" s="122" t="s">
        <v>702</v>
      </c>
      <c r="B135" s="120">
        <v>5</v>
      </c>
    </row>
    <row r="136" spans="1:2" x14ac:dyDescent="0.3">
      <c r="A136" s="122" t="s">
        <v>821</v>
      </c>
      <c r="B136" s="120">
        <v>5</v>
      </c>
    </row>
    <row r="137" spans="1:2" x14ac:dyDescent="0.3">
      <c r="A137" s="122" t="s">
        <v>819</v>
      </c>
      <c r="B137" s="120">
        <v>5</v>
      </c>
    </row>
    <row r="138" spans="1:2" x14ac:dyDescent="0.3">
      <c r="A138" s="122" t="s">
        <v>824</v>
      </c>
      <c r="B138" s="120">
        <v>2</v>
      </c>
    </row>
    <row r="139" spans="1:2" x14ac:dyDescent="0.3">
      <c r="A139" s="122" t="s">
        <v>827</v>
      </c>
      <c r="B139" s="120">
        <v>0</v>
      </c>
    </row>
    <row r="140" spans="1:2" x14ac:dyDescent="0.3">
      <c r="A140" s="122" t="s">
        <v>595</v>
      </c>
      <c r="B140" s="120">
        <v>0</v>
      </c>
    </row>
    <row r="141" spans="1:2" x14ac:dyDescent="0.3">
      <c r="A141" s="122" t="s">
        <v>825</v>
      </c>
      <c r="B141" s="120">
        <v>0</v>
      </c>
    </row>
    <row r="142" spans="1:2" x14ac:dyDescent="0.3">
      <c r="A142" s="122" t="s">
        <v>703</v>
      </c>
      <c r="B142" s="120">
        <v>0</v>
      </c>
    </row>
    <row r="143" spans="1:2" ht="14.85" hidden="1" x14ac:dyDescent="0.3">
      <c r="A143" s="122" t="s">
        <v>328</v>
      </c>
      <c r="B143" s="120">
        <v>0</v>
      </c>
    </row>
    <row r="144" spans="1:2" x14ac:dyDescent="0.3">
      <c r="A144" s="94" t="s">
        <v>644</v>
      </c>
      <c r="B144" s="120">
        <v>22.000000020000002</v>
      </c>
    </row>
    <row r="145" spans="1:2" x14ac:dyDescent="0.3">
      <c r="A145" s="122" t="s">
        <v>98</v>
      </c>
      <c r="B145" s="120">
        <v>16.000000010000001</v>
      </c>
    </row>
    <row r="146" spans="1:2" x14ac:dyDescent="0.3">
      <c r="A146" s="122" t="s">
        <v>701</v>
      </c>
      <c r="B146" s="120">
        <v>6.0000000099999999</v>
      </c>
    </row>
    <row r="147" spans="1:2" x14ac:dyDescent="0.3">
      <c r="A147" s="122" t="s">
        <v>711</v>
      </c>
      <c r="B147" s="120">
        <v>0</v>
      </c>
    </row>
    <row r="148" spans="1:2" x14ac:dyDescent="0.3">
      <c r="A148" s="122" t="s">
        <v>595</v>
      </c>
      <c r="B148" s="120">
        <v>0</v>
      </c>
    </row>
    <row r="149" spans="1:2" x14ac:dyDescent="0.3">
      <c r="A149" s="2" t="s">
        <v>705</v>
      </c>
    </row>
    <row r="150" spans="1:2" x14ac:dyDescent="0.3">
      <c r="A150" s="2" t="s">
        <v>164</v>
      </c>
      <c r="B150" s="120">
        <v>4100.9000000799997</v>
      </c>
    </row>
    <row r="151" spans="1:2" x14ac:dyDescent="0.3">
      <c r="B151"/>
    </row>
    <row r="152" spans="1:2" x14ac:dyDescent="0.3">
      <c r="B152"/>
    </row>
    <row r="153" spans="1:2" x14ac:dyDescent="0.3">
      <c r="B153"/>
    </row>
    <row r="154" spans="1:2" x14ac:dyDescent="0.3">
      <c r="B154"/>
    </row>
    <row r="155" spans="1:2" x14ac:dyDescent="0.3">
      <c r="B155"/>
    </row>
    <row r="156" spans="1:2" x14ac:dyDescent="0.3">
      <c r="B156"/>
    </row>
    <row r="157" spans="1:2" x14ac:dyDescent="0.3">
      <c r="B157"/>
    </row>
    <row r="158" spans="1:2" x14ac:dyDescent="0.3">
      <c r="B158"/>
    </row>
    <row r="159" spans="1:2" x14ac:dyDescent="0.3">
      <c r="B159"/>
    </row>
    <row r="160" spans="1:2" x14ac:dyDescent="0.3">
      <c r="B160"/>
    </row>
    <row r="161" spans="2:2" x14ac:dyDescent="0.3">
      <c r="B161"/>
    </row>
    <row r="162" spans="2:2" x14ac:dyDescent="0.3">
      <c r="B162"/>
    </row>
    <row r="163" spans="2:2" x14ac:dyDescent="0.3">
      <c r="B163"/>
    </row>
    <row r="164" spans="2:2" x14ac:dyDescent="0.3">
      <c r="B164"/>
    </row>
    <row r="165" spans="2:2" x14ac:dyDescent="0.3">
      <c r="B165"/>
    </row>
    <row r="166" spans="2:2" x14ac:dyDescent="0.3">
      <c r="B166"/>
    </row>
    <row r="167" spans="2:2" x14ac:dyDescent="0.3">
      <c r="B167"/>
    </row>
    <row r="168" spans="2:2" x14ac:dyDescent="0.3">
      <c r="B168"/>
    </row>
    <row r="169" spans="2:2" x14ac:dyDescent="0.3">
      <c r="B169"/>
    </row>
    <row r="170" spans="2:2" x14ac:dyDescent="0.3">
      <c r="B170"/>
    </row>
    <row r="171" spans="2:2" x14ac:dyDescent="0.3">
      <c r="B171"/>
    </row>
    <row r="172" spans="2:2" x14ac:dyDescent="0.3">
      <c r="B172"/>
    </row>
    <row r="173" spans="2:2" x14ac:dyDescent="0.3">
      <c r="B173"/>
    </row>
    <row r="174" spans="2:2" x14ac:dyDescent="0.3">
      <c r="B174"/>
    </row>
    <row r="175" spans="2:2" x14ac:dyDescent="0.3">
      <c r="B175"/>
    </row>
    <row r="176" spans="2:2" x14ac:dyDescent="0.3">
      <c r="B176"/>
    </row>
  </sheetData>
  <mergeCells count="1">
    <mergeCell ref="A1:B2"/>
  </mergeCells>
  <pageMargins left="0.7" right="0.7" top="0.75" bottom="0.75" header="0.3" footer="0.3"/>
  <pageSetup paperSize="9" orientation="portrait" verticalDpi="0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N1063"/>
  <sheetViews>
    <sheetView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A369" sqref="A369:XFD369"/>
    </sheetView>
  </sheetViews>
  <sheetFormatPr defaultRowHeight="14.4" x14ac:dyDescent="0.3"/>
  <cols>
    <col min="1" max="1" width="43.77734375" bestFit="1" customWidth="1"/>
    <col min="2" max="2" width="14" hidden="1" customWidth="1"/>
    <col min="3" max="10" width="14.88671875" customWidth="1"/>
    <col min="11" max="11" width="9.6640625" bestFit="1" customWidth="1"/>
    <col min="12" max="12" width="7.5546875" style="141" bestFit="1" customWidth="1"/>
    <col min="13" max="13" width="10.6640625" customWidth="1"/>
    <col min="14" max="14" width="6.88671875" customWidth="1"/>
  </cols>
  <sheetData>
    <row r="1" spans="1:14" ht="30.9" customHeight="1" x14ac:dyDescent="0.3">
      <c r="A1" s="169" t="s">
        <v>698</v>
      </c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</row>
    <row r="2" spans="1:14" ht="14.85" hidden="1" x14ac:dyDescent="0.3"/>
    <row r="3" spans="1:14" ht="14.85" hidden="1" x14ac:dyDescent="0.3">
      <c r="A3" s="1" t="s">
        <v>165</v>
      </c>
      <c r="B3" s="1" t="s">
        <v>599</v>
      </c>
      <c r="L3"/>
    </row>
    <row r="4" spans="1:14" s="133" customFormat="1" ht="52.8" customHeight="1" x14ac:dyDescent="0.3">
      <c r="A4" s="134" t="s">
        <v>163</v>
      </c>
      <c r="B4" s="133" t="s">
        <v>705</v>
      </c>
      <c r="C4" s="133" t="s">
        <v>741</v>
      </c>
      <c r="D4" s="133" t="s">
        <v>775</v>
      </c>
      <c r="E4" s="133" t="s">
        <v>776</v>
      </c>
      <c r="F4" s="133" t="s">
        <v>777</v>
      </c>
      <c r="G4" s="133" t="s">
        <v>778</v>
      </c>
      <c r="H4" s="133" t="s">
        <v>779</v>
      </c>
      <c r="I4" s="133" t="s">
        <v>780</v>
      </c>
      <c r="J4" s="133" t="s">
        <v>1321</v>
      </c>
      <c r="K4" s="168" t="s">
        <v>728</v>
      </c>
    </row>
    <row r="5" spans="1:14" ht="14.85" x14ac:dyDescent="0.3">
      <c r="A5" s="2" t="s">
        <v>636</v>
      </c>
      <c r="B5" s="140"/>
      <c r="C5" s="140">
        <v>260.00000005999999</v>
      </c>
      <c r="D5" s="140">
        <v>560</v>
      </c>
      <c r="E5" s="140">
        <v>680</v>
      </c>
      <c r="F5" s="140">
        <v>1355</v>
      </c>
      <c r="G5" s="140">
        <v>105</v>
      </c>
      <c r="H5" s="140">
        <v>71</v>
      </c>
      <c r="I5" s="140">
        <v>186</v>
      </c>
      <c r="J5" s="140">
        <v>365.90000000000003</v>
      </c>
      <c r="K5" s="142">
        <v>3582.9000000600008</v>
      </c>
      <c r="L5"/>
    </row>
    <row r="6" spans="1:14" x14ac:dyDescent="0.3">
      <c r="A6" s="3" t="s">
        <v>518</v>
      </c>
      <c r="B6" s="140"/>
      <c r="C6" s="140"/>
      <c r="D6" s="140">
        <v>14</v>
      </c>
      <c r="E6" s="140">
        <v>26</v>
      </c>
      <c r="F6" s="140">
        <v>36</v>
      </c>
      <c r="G6" s="140">
        <v>14</v>
      </c>
      <c r="H6" s="140">
        <v>21</v>
      </c>
      <c r="I6" s="140">
        <v>24</v>
      </c>
      <c r="J6" s="140"/>
      <c r="K6" s="142">
        <v>135</v>
      </c>
      <c r="L6"/>
    </row>
    <row r="7" spans="1:14" ht="14.85" x14ac:dyDescent="0.3">
      <c r="A7" s="94" t="s">
        <v>830</v>
      </c>
      <c r="B7" s="140"/>
      <c r="C7" s="140"/>
      <c r="D7" s="140"/>
      <c r="E7" s="140"/>
      <c r="F7" s="140"/>
      <c r="G7" s="140"/>
      <c r="H7" s="140">
        <v>8</v>
      </c>
      <c r="I7" s="140">
        <v>8</v>
      </c>
      <c r="J7" s="140"/>
      <c r="K7" s="142">
        <v>16</v>
      </c>
      <c r="L7"/>
    </row>
    <row r="8" spans="1:14" x14ac:dyDescent="0.3">
      <c r="A8" s="94" t="s">
        <v>831</v>
      </c>
      <c r="B8" s="140"/>
      <c r="C8" s="140"/>
      <c r="D8" s="140"/>
      <c r="E8" s="140">
        <v>8</v>
      </c>
      <c r="F8" s="140">
        <v>8</v>
      </c>
      <c r="G8" s="140"/>
      <c r="H8" s="140"/>
      <c r="I8" s="140"/>
      <c r="J8" s="140"/>
      <c r="K8" s="142">
        <v>16</v>
      </c>
      <c r="L8"/>
    </row>
    <row r="9" spans="1:14" ht="14.85" x14ac:dyDescent="0.3">
      <c r="A9" s="94" t="s">
        <v>832</v>
      </c>
      <c r="B9" s="140"/>
      <c r="C9" s="140"/>
      <c r="D9" s="140">
        <v>6</v>
      </c>
      <c r="E9" s="140"/>
      <c r="F9" s="140">
        <v>0</v>
      </c>
      <c r="G9" s="140">
        <v>5</v>
      </c>
      <c r="H9" s="140"/>
      <c r="I9" s="140">
        <v>4</v>
      </c>
      <c r="J9" s="140"/>
      <c r="K9" s="142">
        <v>15</v>
      </c>
      <c r="L9"/>
    </row>
    <row r="10" spans="1:14" x14ac:dyDescent="0.3">
      <c r="A10" s="94" t="s">
        <v>833</v>
      </c>
      <c r="B10" s="140"/>
      <c r="C10" s="140"/>
      <c r="D10" s="140"/>
      <c r="E10" s="140">
        <v>6</v>
      </c>
      <c r="F10" s="140">
        <v>3</v>
      </c>
      <c r="G10" s="140"/>
      <c r="H10" s="140">
        <v>6</v>
      </c>
      <c r="I10" s="140">
        <v>0</v>
      </c>
      <c r="J10" s="140"/>
      <c r="K10" s="142">
        <v>15</v>
      </c>
      <c r="L10"/>
    </row>
    <row r="11" spans="1:14" x14ac:dyDescent="0.3">
      <c r="A11" s="94" t="s">
        <v>834</v>
      </c>
      <c r="B11" s="140"/>
      <c r="C11" s="140"/>
      <c r="D11" s="140"/>
      <c r="E11" s="140">
        <v>3</v>
      </c>
      <c r="F11" s="140">
        <v>10</v>
      </c>
      <c r="G11" s="140"/>
      <c r="H11" s="140"/>
      <c r="I11" s="140">
        <v>0</v>
      </c>
      <c r="J11" s="140"/>
      <c r="K11" s="142">
        <v>13</v>
      </c>
      <c r="L11"/>
    </row>
    <row r="12" spans="1:14" ht="14.85" x14ac:dyDescent="0.3">
      <c r="A12" s="94" t="s">
        <v>835</v>
      </c>
      <c r="B12" s="140"/>
      <c r="C12" s="140"/>
      <c r="D12" s="140"/>
      <c r="E12" s="140"/>
      <c r="F12" s="140"/>
      <c r="G12" s="140">
        <v>6</v>
      </c>
      <c r="H12" s="140"/>
      <c r="I12" s="140">
        <v>6</v>
      </c>
      <c r="J12" s="140"/>
      <c r="K12" s="142">
        <v>12</v>
      </c>
      <c r="L12"/>
    </row>
    <row r="13" spans="1:14" x14ac:dyDescent="0.3">
      <c r="A13" s="94" t="s">
        <v>836</v>
      </c>
      <c r="B13" s="140"/>
      <c r="C13" s="140"/>
      <c r="D13" s="140">
        <v>5</v>
      </c>
      <c r="E13" s="140"/>
      <c r="F13" s="140">
        <v>6</v>
      </c>
      <c r="G13" s="140"/>
      <c r="H13" s="140"/>
      <c r="I13" s="140"/>
      <c r="J13" s="140"/>
      <c r="K13" s="142">
        <v>11</v>
      </c>
      <c r="L13"/>
    </row>
    <row r="14" spans="1:14" x14ac:dyDescent="0.3">
      <c r="A14" s="94" t="s">
        <v>837</v>
      </c>
      <c r="B14" s="140"/>
      <c r="C14" s="140"/>
      <c r="D14" s="140"/>
      <c r="E14" s="140">
        <v>2</v>
      </c>
      <c r="F14" s="140">
        <v>0</v>
      </c>
      <c r="G14" s="140"/>
      <c r="H14" s="140">
        <v>3</v>
      </c>
      <c r="I14" s="140">
        <v>4</v>
      </c>
      <c r="J14" s="140"/>
      <c r="K14" s="142">
        <v>9</v>
      </c>
      <c r="L14"/>
    </row>
    <row r="15" spans="1:14" x14ac:dyDescent="0.3">
      <c r="A15" s="94" t="s">
        <v>838</v>
      </c>
      <c r="B15" s="140"/>
      <c r="C15" s="140"/>
      <c r="D15" s="140">
        <v>0</v>
      </c>
      <c r="E15" s="140"/>
      <c r="F15" s="140">
        <v>6</v>
      </c>
      <c r="G15" s="140"/>
      <c r="H15" s="140"/>
      <c r="I15" s="140"/>
      <c r="J15" s="140"/>
      <c r="K15" s="142">
        <v>6</v>
      </c>
      <c r="L15"/>
    </row>
    <row r="16" spans="1:14" x14ac:dyDescent="0.3">
      <c r="A16" s="94" t="s">
        <v>839</v>
      </c>
      <c r="B16" s="140"/>
      <c r="C16" s="140"/>
      <c r="D16" s="140"/>
      <c r="E16" s="140">
        <v>4</v>
      </c>
      <c r="F16" s="140">
        <v>0</v>
      </c>
      <c r="G16" s="140"/>
      <c r="H16" s="140"/>
      <c r="I16" s="140"/>
      <c r="J16" s="140"/>
      <c r="K16" s="142">
        <v>4</v>
      </c>
      <c r="L16"/>
    </row>
    <row r="17" spans="1:12" ht="14.85" x14ac:dyDescent="0.3">
      <c r="A17" s="94" t="s">
        <v>840</v>
      </c>
      <c r="B17" s="140"/>
      <c r="C17" s="140"/>
      <c r="D17" s="140"/>
      <c r="E17" s="140"/>
      <c r="F17" s="140"/>
      <c r="G17" s="140"/>
      <c r="H17" s="140">
        <v>4</v>
      </c>
      <c r="I17" s="140">
        <v>0</v>
      </c>
      <c r="J17" s="140"/>
      <c r="K17" s="142">
        <v>4</v>
      </c>
      <c r="L17"/>
    </row>
    <row r="18" spans="1:12" x14ac:dyDescent="0.3">
      <c r="A18" s="94" t="s">
        <v>841</v>
      </c>
      <c r="B18" s="140"/>
      <c r="C18" s="140"/>
      <c r="D18" s="140">
        <v>0</v>
      </c>
      <c r="E18" s="140"/>
      <c r="F18" s="140">
        <v>3</v>
      </c>
      <c r="G18" s="140"/>
      <c r="H18" s="140"/>
      <c r="I18" s="140"/>
      <c r="J18" s="140"/>
      <c r="K18" s="142">
        <v>3</v>
      </c>
      <c r="L18"/>
    </row>
    <row r="19" spans="1:12" ht="14.85" x14ac:dyDescent="0.3">
      <c r="A19" s="94" t="s">
        <v>842</v>
      </c>
      <c r="B19" s="140"/>
      <c r="C19" s="140"/>
      <c r="D19" s="140"/>
      <c r="E19" s="140">
        <v>3</v>
      </c>
      <c r="F19" s="140"/>
      <c r="G19" s="140"/>
      <c r="H19" s="140"/>
      <c r="I19" s="140"/>
      <c r="J19" s="140"/>
      <c r="K19" s="142">
        <v>3</v>
      </c>
      <c r="L19"/>
    </row>
    <row r="20" spans="1:12" x14ac:dyDescent="0.3">
      <c r="A20" s="94" t="s">
        <v>843</v>
      </c>
      <c r="B20" s="140"/>
      <c r="C20" s="140"/>
      <c r="D20" s="140"/>
      <c r="E20" s="140"/>
      <c r="F20" s="140"/>
      <c r="G20" s="140">
        <v>3</v>
      </c>
      <c r="H20" s="140"/>
      <c r="I20" s="140">
        <v>0</v>
      </c>
      <c r="J20" s="140"/>
      <c r="K20" s="142">
        <v>3</v>
      </c>
      <c r="L20"/>
    </row>
    <row r="21" spans="1:12" x14ac:dyDescent="0.3">
      <c r="A21" s="94" t="s">
        <v>844</v>
      </c>
      <c r="B21" s="140"/>
      <c r="C21" s="140"/>
      <c r="D21" s="140">
        <v>3</v>
      </c>
      <c r="E21" s="140"/>
      <c r="F21" s="140">
        <v>0</v>
      </c>
      <c r="G21" s="140"/>
      <c r="H21" s="140"/>
      <c r="I21" s="140"/>
      <c r="J21" s="140"/>
      <c r="K21" s="142">
        <v>3</v>
      </c>
      <c r="L21"/>
    </row>
    <row r="22" spans="1:12" x14ac:dyDescent="0.3">
      <c r="A22" s="94" t="s">
        <v>845</v>
      </c>
      <c r="B22" s="140"/>
      <c r="C22" s="140"/>
      <c r="D22" s="140">
        <v>0</v>
      </c>
      <c r="E22" s="140"/>
      <c r="F22" s="140">
        <v>0</v>
      </c>
      <c r="G22" s="140"/>
      <c r="H22" s="140"/>
      <c r="I22" s="140">
        <v>2</v>
      </c>
      <c r="J22" s="140"/>
      <c r="K22" s="142">
        <v>2</v>
      </c>
      <c r="L22"/>
    </row>
    <row r="23" spans="1:12" x14ac:dyDescent="0.3">
      <c r="A23" s="94" t="s">
        <v>846</v>
      </c>
      <c r="B23" s="140"/>
      <c r="C23" s="140"/>
      <c r="D23" s="140">
        <v>0</v>
      </c>
      <c r="E23" s="140"/>
      <c r="F23" s="140">
        <v>0</v>
      </c>
      <c r="G23" s="140"/>
      <c r="H23" s="140"/>
      <c r="I23" s="140"/>
      <c r="J23" s="140"/>
      <c r="K23" s="142">
        <v>0</v>
      </c>
      <c r="L23"/>
    </row>
    <row r="24" spans="1:12" x14ac:dyDescent="0.3">
      <c r="A24" s="94" t="s">
        <v>847</v>
      </c>
      <c r="B24" s="140"/>
      <c r="C24" s="140"/>
      <c r="D24" s="140"/>
      <c r="E24" s="140">
        <v>0</v>
      </c>
      <c r="F24" s="140"/>
      <c r="G24" s="140"/>
      <c r="H24" s="140"/>
      <c r="I24" s="140"/>
      <c r="J24" s="140"/>
      <c r="K24" s="142">
        <v>0</v>
      </c>
      <c r="L24"/>
    </row>
    <row r="25" spans="1:12" x14ac:dyDescent="0.3">
      <c r="A25" s="3" t="s">
        <v>512</v>
      </c>
      <c r="B25" s="140"/>
      <c r="C25" s="140"/>
      <c r="D25" s="140">
        <v>20</v>
      </c>
      <c r="E25" s="140">
        <v>26</v>
      </c>
      <c r="F25" s="140">
        <v>53</v>
      </c>
      <c r="G25" s="140"/>
      <c r="H25" s="140"/>
      <c r="I25" s="140"/>
      <c r="J25" s="140"/>
      <c r="K25" s="142">
        <v>99</v>
      </c>
      <c r="L25"/>
    </row>
    <row r="26" spans="1:12" x14ac:dyDescent="0.3">
      <c r="A26" s="94" t="s">
        <v>848</v>
      </c>
      <c r="B26" s="140"/>
      <c r="C26" s="140"/>
      <c r="D26" s="140"/>
      <c r="E26" s="140">
        <v>8</v>
      </c>
      <c r="F26" s="140">
        <v>13</v>
      </c>
      <c r="G26" s="140"/>
      <c r="H26" s="140"/>
      <c r="I26" s="140"/>
      <c r="J26" s="140"/>
      <c r="K26" s="142">
        <v>21</v>
      </c>
      <c r="L26"/>
    </row>
    <row r="27" spans="1:12" ht="14.85" x14ac:dyDescent="0.3">
      <c r="A27" s="94" t="s">
        <v>840</v>
      </c>
      <c r="B27" s="140"/>
      <c r="C27" s="140"/>
      <c r="D27" s="140"/>
      <c r="E27" s="140">
        <v>6</v>
      </c>
      <c r="F27" s="140">
        <v>10</v>
      </c>
      <c r="G27" s="140"/>
      <c r="H27" s="140"/>
      <c r="I27" s="140"/>
      <c r="J27" s="140"/>
      <c r="K27" s="142">
        <v>16</v>
      </c>
      <c r="L27"/>
    </row>
    <row r="28" spans="1:12" ht="14.85" x14ac:dyDescent="0.3">
      <c r="A28" s="94" t="s">
        <v>835</v>
      </c>
      <c r="B28" s="140"/>
      <c r="C28" s="140"/>
      <c r="D28" s="140">
        <v>8</v>
      </c>
      <c r="E28" s="140"/>
      <c r="F28" s="140">
        <v>7</v>
      </c>
      <c r="G28" s="140"/>
      <c r="H28" s="140"/>
      <c r="I28" s="140"/>
      <c r="J28" s="140"/>
      <c r="K28" s="142">
        <v>15</v>
      </c>
      <c r="L28"/>
    </row>
    <row r="29" spans="1:12" x14ac:dyDescent="0.3">
      <c r="A29" s="94" t="s">
        <v>849</v>
      </c>
      <c r="B29" s="140"/>
      <c r="C29" s="140"/>
      <c r="D29" s="140">
        <v>6</v>
      </c>
      <c r="E29" s="140"/>
      <c r="F29" s="140">
        <v>7</v>
      </c>
      <c r="G29" s="140"/>
      <c r="H29" s="140"/>
      <c r="I29" s="140"/>
      <c r="J29" s="140"/>
      <c r="K29" s="142">
        <v>13</v>
      </c>
      <c r="L29"/>
    </row>
    <row r="30" spans="1:12" x14ac:dyDescent="0.3">
      <c r="A30" s="94" t="s">
        <v>850</v>
      </c>
      <c r="B30" s="140"/>
      <c r="C30" s="140"/>
      <c r="D30" s="140"/>
      <c r="E30" s="140">
        <v>4</v>
      </c>
      <c r="F30" s="140">
        <v>4</v>
      </c>
      <c r="G30" s="140"/>
      <c r="H30" s="140"/>
      <c r="I30" s="140"/>
      <c r="J30" s="140"/>
      <c r="K30" s="142">
        <v>8</v>
      </c>
      <c r="L30"/>
    </row>
    <row r="31" spans="1:12" x14ac:dyDescent="0.3">
      <c r="A31" s="94" t="s">
        <v>851</v>
      </c>
      <c r="B31" s="140"/>
      <c r="C31" s="140"/>
      <c r="D31" s="140"/>
      <c r="E31" s="140">
        <v>4</v>
      </c>
      <c r="F31" s="140">
        <v>4</v>
      </c>
      <c r="G31" s="140"/>
      <c r="H31" s="140"/>
      <c r="I31" s="140"/>
      <c r="J31" s="140"/>
      <c r="K31" s="142">
        <v>8</v>
      </c>
      <c r="L31"/>
    </row>
    <row r="32" spans="1:12" x14ac:dyDescent="0.3">
      <c r="A32" s="94" t="s">
        <v>843</v>
      </c>
      <c r="B32" s="140"/>
      <c r="C32" s="140"/>
      <c r="D32" s="140">
        <v>4</v>
      </c>
      <c r="E32" s="140"/>
      <c r="F32" s="140"/>
      <c r="G32" s="140"/>
      <c r="H32" s="140"/>
      <c r="I32" s="140"/>
      <c r="J32" s="140"/>
      <c r="K32" s="142">
        <v>4</v>
      </c>
      <c r="L32"/>
    </row>
    <row r="33" spans="1:12" x14ac:dyDescent="0.3">
      <c r="A33" s="94" t="s">
        <v>852</v>
      </c>
      <c r="B33" s="140"/>
      <c r="C33" s="140"/>
      <c r="D33" s="140"/>
      <c r="E33" s="140">
        <v>0</v>
      </c>
      <c r="F33" s="140">
        <v>4</v>
      </c>
      <c r="G33" s="140"/>
      <c r="H33" s="140"/>
      <c r="I33" s="140"/>
      <c r="J33" s="140"/>
      <c r="K33" s="142">
        <v>4</v>
      </c>
      <c r="L33"/>
    </row>
    <row r="34" spans="1:12" ht="14.85" x14ac:dyDescent="0.3">
      <c r="A34" s="94" t="s">
        <v>853</v>
      </c>
      <c r="B34" s="140"/>
      <c r="C34" s="140"/>
      <c r="D34" s="140"/>
      <c r="E34" s="140">
        <v>0</v>
      </c>
      <c r="F34" s="140">
        <v>4</v>
      </c>
      <c r="G34" s="140"/>
      <c r="H34" s="140"/>
      <c r="I34" s="140"/>
      <c r="J34" s="140"/>
      <c r="K34" s="142">
        <v>4</v>
      </c>
      <c r="L34"/>
    </row>
    <row r="35" spans="1:12" x14ac:dyDescent="0.3">
      <c r="A35" s="94" t="s">
        <v>854</v>
      </c>
      <c r="B35" s="140"/>
      <c r="C35" s="140"/>
      <c r="D35" s="140">
        <v>2</v>
      </c>
      <c r="E35" s="140"/>
      <c r="F35" s="140">
        <v>0</v>
      </c>
      <c r="G35" s="140"/>
      <c r="H35" s="140"/>
      <c r="I35" s="140"/>
      <c r="J35" s="140"/>
      <c r="K35" s="142">
        <v>2</v>
      </c>
      <c r="L35"/>
    </row>
    <row r="36" spans="1:12" x14ac:dyDescent="0.3">
      <c r="A36" s="94" t="s">
        <v>855</v>
      </c>
      <c r="B36" s="140"/>
      <c r="C36" s="140"/>
      <c r="D36" s="140"/>
      <c r="E36" s="140">
        <v>2</v>
      </c>
      <c r="F36" s="140">
        <v>0</v>
      </c>
      <c r="G36" s="140"/>
      <c r="H36" s="140"/>
      <c r="I36" s="140"/>
      <c r="J36" s="140"/>
      <c r="K36" s="142">
        <v>2</v>
      </c>
      <c r="L36"/>
    </row>
    <row r="37" spans="1:12" x14ac:dyDescent="0.3">
      <c r="A37" s="94" t="s">
        <v>856</v>
      </c>
      <c r="B37" s="140"/>
      <c r="C37" s="140"/>
      <c r="D37" s="140"/>
      <c r="E37" s="140">
        <v>2</v>
      </c>
      <c r="F37" s="140">
        <v>0</v>
      </c>
      <c r="G37" s="140"/>
      <c r="H37" s="140"/>
      <c r="I37" s="140"/>
      <c r="J37" s="140"/>
      <c r="K37" s="142">
        <v>2</v>
      </c>
      <c r="L37"/>
    </row>
    <row r="38" spans="1:12" x14ac:dyDescent="0.3">
      <c r="A38" s="94" t="s">
        <v>857</v>
      </c>
      <c r="B38" s="140"/>
      <c r="C38" s="140"/>
      <c r="D38" s="140"/>
      <c r="E38" s="140">
        <v>0</v>
      </c>
      <c r="F38" s="140">
        <v>0</v>
      </c>
      <c r="G38" s="140"/>
      <c r="H38" s="140"/>
      <c r="I38" s="140"/>
      <c r="J38" s="140"/>
      <c r="K38" s="142">
        <v>0</v>
      </c>
      <c r="L38"/>
    </row>
    <row r="39" spans="1:12" x14ac:dyDescent="0.3">
      <c r="A39" s="94" t="s">
        <v>858</v>
      </c>
      <c r="B39" s="140"/>
      <c r="C39" s="140"/>
      <c r="D39" s="140">
        <v>0</v>
      </c>
      <c r="E39" s="140"/>
      <c r="F39" s="140">
        <v>0</v>
      </c>
      <c r="G39" s="140"/>
      <c r="H39" s="140"/>
      <c r="I39" s="140"/>
      <c r="J39" s="140"/>
      <c r="K39" s="142">
        <v>0</v>
      </c>
      <c r="L39"/>
    </row>
    <row r="40" spans="1:12" x14ac:dyDescent="0.3">
      <c r="A40" s="94" t="s">
        <v>859</v>
      </c>
      <c r="B40" s="140"/>
      <c r="C40" s="140"/>
      <c r="D40" s="140">
        <v>0</v>
      </c>
      <c r="E40" s="140"/>
      <c r="F40" s="140"/>
      <c r="G40" s="140"/>
      <c r="H40" s="140"/>
      <c r="I40" s="140"/>
      <c r="J40" s="140"/>
      <c r="K40" s="142">
        <v>0</v>
      </c>
      <c r="L40"/>
    </row>
    <row r="41" spans="1:12" x14ac:dyDescent="0.3">
      <c r="A41" s="94" t="s">
        <v>860</v>
      </c>
      <c r="B41" s="140"/>
      <c r="C41" s="140"/>
      <c r="D41" s="140"/>
      <c r="E41" s="140">
        <v>0</v>
      </c>
      <c r="F41" s="140"/>
      <c r="G41" s="140"/>
      <c r="H41" s="140"/>
      <c r="I41" s="140"/>
      <c r="J41" s="140"/>
      <c r="K41" s="142">
        <v>0</v>
      </c>
      <c r="L41"/>
    </row>
    <row r="42" spans="1:12" x14ac:dyDescent="0.3">
      <c r="A42" s="94" t="s">
        <v>861</v>
      </c>
      <c r="B42" s="140"/>
      <c r="C42" s="140"/>
      <c r="D42" s="140"/>
      <c r="E42" s="140">
        <v>0</v>
      </c>
      <c r="F42" s="140"/>
      <c r="G42" s="140"/>
      <c r="H42" s="140"/>
      <c r="I42" s="140"/>
      <c r="J42" s="140"/>
      <c r="K42" s="142">
        <v>0</v>
      </c>
      <c r="L42"/>
    </row>
    <row r="43" spans="1:12" x14ac:dyDescent="0.3">
      <c r="A43" s="94" t="s">
        <v>862</v>
      </c>
      <c r="B43" s="140"/>
      <c r="C43" s="140"/>
      <c r="D43" s="140">
        <v>0</v>
      </c>
      <c r="E43" s="140"/>
      <c r="F43" s="140"/>
      <c r="G43" s="140"/>
      <c r="H43" s="140"/>
      <c r="I43" s="140"/>
      <c r="J43" s="140"/>
      <c r="K43" s="142">
        <v>0</v>
      </c>
      <c r="L43"/>
    </row>
    <row r="44" spans="1:12" x14ac:dyDescent="0.3">
      <c r="A44" s="94" t="s">
        <v>863</v>
      </c>
      <c r="B44" s="140"/>
      <c r="C44" s="140"/>
      <c r="D44" s="140">
        <v>0</v>
      </c>
      <c r="E44" s="140"/>
      <c r="F44" s="140">
        <v>0</v>
      </c>
      <c r="G44" s="140"/>
      <c r="H44" s="140"/>
      <c r="I44" s="140"/>
      <c r="J44" s="140"/>
      <c r="K44" s="142">
        <v>0</v>
      </c>
      <c r="L44"/>
    </row>
    <row r="45" spans="1:12" x14ac:dyDescent="0.3">
      <c r="A45" s="94" t="s">
        <v>864</v>
      </c>
      <c r="B45" s="140"/>
      <c r="C45" s="140"/>
      <c r="D45" s="140">
        <v>0</v>
      </c>
      <c r="E45" s="140"/>
      <c r="F45" s="140"/>
      <c r="G45" s="140"/>
      <c r="H45" s="140"/>
      <c r="I45" s="140"/>
      <c r="J45" s="140"/>
      <c r="K45" s="142">
        <v>0</v>
      </c>
      <c r="L45"/>
    </row>
    <row r="46" spans="1:12" x14ac:dyDescent="0.3">
      <c r="A46" s="94" t="s">
        <v>865</v>
      </c>
      <c r="B46" s="140"/>
      <c r="C46" s="140"/>
      <c r="D46" s="140">
        <v>0</v>
      </c>
      <c r="E46" s="140"/>
      <c r="F46" s="140">
        <v>0</v>
      </c>
      <c r="G46" s="140"/>
      <c r="H46" s="140"/>
      <c r="I46" s="140"/>
      <c r="J46" s="140"/>
      <c r="K46" s="142">
        <v>0</v>
      </c>
      <c r="L46"/>
    </row>
    <row r="47" spans="1:12" x14ac:dyDescent="0.3">
      <c r="A47" s="3" t="s">
        <v>530</v>
      </c>
      <c r="B47" s="140"/>
      <c r="C47" s="140"/>
      <c r="D47" s="140">
        <v>17</v>
      </c>
      <c r="E47" s="140">
        <v>14</v>
      </c>
      <c r="F47" s="140">
        <v>30</v>
      </c>
      <c r="G47" s="140">
        <v>11</v>
      </c>
      <c r="H47" s="140">
        <v>4</v>
      </c>
      <c r="I47" s="140">
        <v>22</v>
      </c>
      <c r="J47" s="140"/>
      <c r="K47" s="142">
        <v>98</v>
      </c>
      <c r="L47"/>
    </row>
    <row r="48" spans="1:12" x14ac:dyDescent="0.3">
      <c r="A48" s="94" t="s">
        <v>866</v>
      </c>
      <c r="B48" s="140"/>
      <c r="C48" s="140"/>
      <c r="D48" s="140">
        <v>8</v>
      </c>
      <c r="E48" s="140"/>
      <c r="F48" s="140">
        <v>10</v>
      </c>
      <c r="G48" s="140">
        <v>5</v>
      </c>
      <c r="H48" s="140"/>
      <c r="I48" s="140">
        <v>8</v>
      </c>
      <c r="J48" s="140"/>
      <c r="K48" s="142">
        <v>31</v>
      </c>
      <c r="L48"/>
    </row>
    <row r="49" spans="1:12" x14ac:dyDescent="0.3">
      <c r="A49" s="94" t="s">
        <v>867</v>
      </c>
      <c r="B49" s="140"/>
      <c r="C49" s="140"/>
      <c r="D49" s="140"/>
      <c r="E49" s="140">
        <v>6</v>
      </c>
      <c r="F49" s="140">
        <v>8</v>
      </c>
      <c r="G49" s="140"/>
      <c r="H49" s="140"/>
      <c r="I49" s="140"/>
      <c r="J49" s="140"/>
      <c r="K49" s="142">
        <v>14</v>
      </c>
      <c r="L49"/>
    </row>
    <row r="50" spans="1:12" x14ac:dyDescent="0.3">
      <c r="A50" s="94" t="s">
        <v>868</v>
      </c>
      <c r="B50" s="140"/>
      <c r="C50" s="140"/>
      <c r="D50" s="140">
        <v>6</v>
      </c>
      <c r="E50" s="140"/>
      <c r="F50" s="140">
        <v>6</v>
      </c>
      <c r="G50" s="140"/>
      <c r="H50" s="140"/>
      <c r="I50" s="140"/>
      <c r="J50" s="140"/>
      <c r="K50" s="142">
        <v>12</v>
      </c>
      <c r="L50"/>
    </row>
    <row r="51" spans="1:12" x14ac:dyDescent="0.3">
      <c r="A51" s="94" t="s">
        <v>869</v>
      </c>
      <c r="B51" s="140"/>
      <c r="C51" s="140"/>
      <c r="D51" s="140"/>
      <c r="E51" s="140">
        <v>5</v>
      </c>
      <c r="F51" s="140">
        <v>6</v>
      </c>
      <c r="G51" s="140"/>
      <c r="H51" s="140"/>
      <c r="I51" s="140"/>
      <c r="J51" s="140"/>
      <c r="K51" s="142">
        <v>11</v>
      </c>
      <c r="L51"/>
    </row>
    <row r="52" spans="1:12" x14ac:dyDescent="0.3">
      <c r="A52" s="94" t="s">
        <v>870</v>
      </c>
      <c r="B52" s="140"/>
      <c r="C52" s="140"/>
      <c r="D52" s="140"/>
      <c r="E52" s="140"/>
      <c r="F52" s="140"/>
      <c r="G52" s="140">
        <v>6</v>
      </c>
      <c r="H52" s="140"/>
      <c r="I52" s="140">
        <v>4</v>
      </c>
      <c r="J52" s="140"/>
      <c r="K52" s="142">
        <v>10</v>
      </c>
      <c r="L52"/>
    </row>
    <row r="53" spans="1:12" x14ac:dyDescent="0.3">
      <c r="A53" s="94" t="s">
        <v>871</v>
      </c>
      <c r="B53" s="140"/>
      <c r="C53" s="140"/>
      <c r="D53" s="140"/>
      <c r="E53" s="140"/>
      <c r="F53" s="140"/>
      <c r="G53" s="140"/>
      <c r="H53" s="140"/>
      <c r="I53" s="140">
        <v>6</v>
      </c>
      <c r="J53" s="140"/>
      <c r="K53" s="142">
        <v>6</v>
      </c>
      <c r="L53"/>
    </row>
    <row r="54" spans="1:12" x14ac:dyDescent="0.3">
      <c r="A54" s="94" t="s">
        <v>872</v>
      </c>
      <c r="B54" s="140"/>
      <c r="C54" s="140"/>
      <c r="D54" s="140"/>
      <c r="E54" s="140"/>
      <c r="F54" s="140"/>
      <c r="G54" s="140"/>
      <c r="H54" s="140">
        <v>4</v>
      </c>
      <c r="I54" s="140">
        <v>0</v>
      </c>
      <c r="J54" s="140"/>
      <c r="K54" s="142">
        <v>4</v>
      </c>
      <c r="L54"/>
    </row>
    <row r="55" spans="1:12" x14ac:dyDescent="0.3">
      <c r="A55" s="94" t="s">
        <v>873</v>
      </c>
      <c r="B55" s="140"/>
      <c r="C55" s="140"/>
      <c r="D55" s="140"/>
      <c r="E55" s="140"/>
      <c r="F55" s="140"/>
      <c r="G55" s="140"/>
      <c r="H55" s="140"/>
      <c r="I55" s="140">
        <v>4</v>
      </c>
      <c r="J55" s="140"/>
      <c r="K55" s="142">
        <v>4</v>
      </c>
      <c r="L55"/>
    </row>
    <row r="56" spans="1:12" x14ac:dyDescent="0.3">
      <c r="A56" s="94" t="s">
        <v>874</v>
      </c>
      <c r="B56" s="140"/>
      <c r="C56" s="140"/>
      <c r="D56" s="140"/>
      <c r="E56" s="140">
        <v>3</v>
      </c>
      <c r="F56" s="140"/>
      <c r="G56" s="140"/>
      <c r="H56" s="140"/>
      <c r="I56" s="140"/>
      <c r="J56" s="140"/>
      <c r="K56" s="142">
        <v>3</v>
      </c>
      <c r="L56"/>
    </row>
    <row r="57" spans="1:12" x14ac:dyDescent="0.3">
      <c r="A57" s="94" t="s">
        <v>875</v>
      </c>
      <c r="B57" s="140"/>
      <c r="C57" s="140"/>
      <c r="D57" s="140">
        <v>3</v>
      </c>
      <c r="E57" s="140"/>
      <c r="F57" s="140">
        <v>0</v>
      </c>
      <c r="G57" s="140"/>
      <c r="H57" s="140"/>
      <c r="I57" s="140"/>
      <c r="J57" s="140"/>
      <c r="K57" s="142">
        <v>3</v>
      </c>
      <c r="L57"/>
    </row>
    <row r="58" spans="1:12" x14ac:dyDescent="0.3">
      <c r="A58" s="94" t="s">
        <v>876</v>
      </c>
      <c r="B58" s="140"/>
      <c r="C58" s="140"/>
      <c r="D58" s="140"/>
      <c r="E58" s="140"/>
      <c r="F58" s="140">
        <v>0</v>
      </c>
      <c r="G58" s="140"/>
      <c r="H58" s="140"/>
      <c r="I58" s="140">
        <v>0</v>
      </c>
      <c r="J58" s="140"/>
      <c r="K58" s="142">
        <v>0</v>
      </c>
      <c r="L58"/>
    </row>
    <row r="59" spans="1:12" x14ac:dyDescent="0.3">
      <c r="A59" s="94" t="s">
        <v>877</v>
      </c>
      <c r="B59" s="140"/>
      <c r="C59" s="140"/>
      <c r="D59" s="140"/>
      <c r="E59" s="140"/>
      <c r="F59" s="140">
        <v>0</v>
      </c>
      <c r="G59" s="140"/>
      <c r="H59" s="140"/>
      <c r="I59" s="140"/>
      <c r="J59" s="140"/>
      <c r="K59" s="142">
        <v>0</v>
      </c>
      <c r="L59"/>
    </row>
    <row r="60" spans="1:12" x14ac:dyDescent="0.3">
      <c r="A60" s="3" t="s">
        <v>525</v>
      </c>
      <c r="B60" s="140"/>
      <c r="C60" s="140"/>
      <c r="D60" s="140">
        <v>19</v>
      </c>
      <c r="E60" s="140">
        <v>30</v>
      </c>
      <c r="F60" s="140">
        <v>39</v>
      </c>
      <c r="G60" s="140"/>
      <c r="H60" s="140"/>
      <c r="I60" s="140"/>
      <c r="J60" s="140"/>
      <c r="K60" s="142">
        <v>88</v>
      </c>
      <c r="L60"/>
    </row>
    <row r="61" spans="1:12" x14ac:dyDescent="0.3">
      <c r="A61" s="94" t="s">
        <v>837</v>
      </c>
      <c r="B61" s="140"/>
      <c r="C61" s="140"/>
      <c r="D61" s="140"/>
      <c r="E61" s="140">
        <v>6</v>
      </c>
      <c r="F61" s="140">
        <v>10</v>
      </c>
      <c r="G61" s="140"/>
      <c r="H61" s="140"/>
      <c r="I61" s="140"/>
      <c r="J61" s="140"/>
      <c r="K61" s="142">
        <v>16</v>
      </c>
      <c r="L61"/>
    </row>
    <row r="62" spans="1:12" x14ac:dyDescent="0.3">
      <c r="A62" s="94" t="s">
        <v>840</v>
      </c>
      <c r="B62" s="140"/>
      <c r="C62" s="140"/>
      <c r="D62" s="140"/>
      <c r="E62" s="140">
        <v>8</v>
      </c>
      <c r="F62" s="140">
        <v>5</v>
      </c>
      <c r="G62" s="140"/>
      <c r="H62" s="140"/>
      <c r="I62" s="140"/>
      <c r="J62" s="140"/>
      <c r="K62" s="142">
        <v>13</v>
      </c>
      <c r="L62"/>
    </row>
    <row r="63" spans="1:12" x14ac:dyDescent="0.3">
      <c r="A63" s="94" t="s">
        <v>863</v>
      </c>
      <c r="B63" s="140"/>
      <c r="C63" s="140"/>
      <c r="D63" s="140">
        <v>5</v>
      </c>
      <c r="E63" s="140"/>
      <c r="F63" s="140">
        <v>7</v>
      </c>
      <c r="G63" s="140"/>
      <c r="H63" s="140"/>
      <c r="I63" s="140"/>
      <c r="J63" s="140"/>
      <c r="K63" s="142">
        <v>12</v>
      </c>
      <c r="L63"/>
    </row>
    <row r="64" spans="1:12" x14ac:dyDescent="0.3">
      <c r="A64" s="94" t="s">
        <v>878</v>
      </c>
      <c r="B64" s="140"/>
      <c r="C64" s="140"/>
      <c r="D64" s="140">
        <v>6</v>
      </c>
      <c r="E64" s="140"/>
      <c r="F64" s="140">
        <v>3</v>
      </c>
      <c r="G64" s="140"/>
      <c r="H64" s="140"/>
      <c r="I64" s="140"/>
      <c r="J64" s="140"/>
      <c r="K64" s="142">
        <v>9</v>
      </c>
      <c r="L64"/>
    </row>
    <row r="65" spans="1:12" x14ac:dyDescent="0.3">
      <c r="A65" s="94" t="s">
        <v>833</v>
      </c>
      <c r="B65" s="140"/>
      <c r="C65" s="140"/>
      <c r="D65" s="140"/>
      <c r="E65" s="140">
        <v>4</v>
      </c>
      <c r="F65" s="140">
        <v>5</v>
      </c>
      <c r="G65" s="140"/>
      <c r="H65" s="140"/>
      <c r="I65" s="140"/>
      <c r="J65" s="140"/>
      <c r="K65" s="142">
        <v>9</v>
      </c>
      <c r="L65"/>
    </row>
    <row r="66" spans="1:12" x14ac:dyDescent="0.3">
      <c r="A66" s="94" t="s">
        <v>853</v>
      </c>
      <c r="B66" s="140"/>
      <c r="C66" s="140"/>
      <c r="D66" s="140"/>
      <c r="E66" s="140">
        <v>2</v>
      </c>
      <c r="F66" s="140">
        <v>3</v>
      </c>
      <c r="G66" s="140"/>
      <c r="H66" s="140"/>
      <c r="I66" s="140"/>
      <c r="J66" s="140"/>
      <c r="K66" s="142">
        <v>5</v>
      </c>
      <c r="L66"/>
    </row>
    <row r="67" spans="1:12" x14ac:dyDescent="0.3">
      <c r="A67" s="94" t="s">
        <v>879</v>
      </c>
      <c r="B67" s="140"/>
      <c r="C67" s="140"/>
      <c r="D67" s="140"/>
      <c r="E67" s="140">
        <v>4</v>
      </c>
      <c r="F67" s="140">
        <v>0</v>
      </c>
      <c r="G67" s="140"/>
      <c r="H67" s="140"/>
      <c r="I67" s="140"/>
      <c r="J67" s="140"/>
      <c r="K67" s="142">
        <v>4</v>
      </c>
      <c r="L67"/>
    </row>
    <row r="68" spans="1:12" x14ac:dyDescent="0.3">
      <c r="A68" s="94" t="s">
        <v>880</v>
      </c>
      <c r="B68" s="140"/>
      <c r="C68" s="140"/>
      <c r="D68" s="140">
        <v>1</v>
      </c>
      <c r="E68" s="140"/>
      <c r="F68" s="140">
        <v>3</v>
      </c>
      <c r="G68" s="140"/>
      <c r="H68" s="140"/>
      <c r="I68" s="140"/>
      <c r="J68" s="140"/>
      <c r="K68" s="142">
        <v>4</v>
      </c>
      <c r="L68"/>
    </row>
    <row r="69" spans="1:12" x14ac:dyDescent="0.3">
      <c r="A69" s="94" t="s">
        <v>881</v>
      </c>
      <c r="B69" s="140"/>
      <c r="C69" s="140"/>
      <c r="D69" s="140">
        <v>1</v>
      </c>
      <c r="E69" s="140"/>
      <c r="F69" s="140">
        <v>3</v>
      </c>
      <c r="G69" s="140"/>
      <c r="H69" s="140"/>
      <c r="I69" s="140"/>
      <c r="J69" s="140"/>
      <c r="K69" s="142">
        <v>4</v>
      </c>
      <c r="L69"/>
    </row>
    <row r="70" spans="1:12" x14ac:dyDescent="0.3">
      <c r="A70" s="94" t="s">
        <v>882</v>
      </c>
      <c r="B70" s="140"/>
      <c r="C70" s="140"/>
      <c r="D70" s="140">
        <v>3</v>
      </c>
      <c r="E70" s="140"/>
      <c r="F70" s="140">
        <v>0</v>
      </c>
      <c r="G70" s="140"/>
      <c r="H70" s="140"/>
      <c r="I70" s="140"/>
      <c r="J70" s="140"/>
      <c r="K70" s="142">
        <v>3</v>
      </c>
      <c r="L70"/>
    </row>
    <row r="71" spans="1:12" x14ac:dyDescent="0.3">
      <c r="A71" s="94" t="s">
        <v>883</v>
      </c>
      <c r="B71" s="140"/>
      <c r="C71" s="140"/>
      <c r="D71" s="140">
        <v>3</v>
      </c>
      <c r="E71" s="140"/>
      <c r="F71" s="140">
        <v>0</v>
      </c>
      <c r="G71" s="140"/>
      <c r="H71" s="140"/>
      <c r="I71" s="140"/>
      <c r="J71" s="140"/>
      <c r="K71" s="142">
        <v>3</v>
      </c>
      <c r="L71"/>
    </row>
    <row r="72" spans="1:12" x14ac:dyDescent="0.3">
      <c r="A72" s="94" t="s">
        <v>851</v>
      </c>
      <c r="B72" s="140"/>
      <c r="C72" s="140"/>
      <c r="D72" s="140"/>
      <c r="E72" s="140">
        <v>2</v>
      </c>
      <c r="F72" s="140"/>
      <c r="G72" s="140"/>
      <c r="H72" s="140"/>
      <c r="I72" s="140"/>
      <c r="J72" s="140"/>
      <c r="K72" s="142">
        <v>2</v>
      </c>
      <c r="L72"/>
    </row>
    <row r="73" spans="1:12" x14ac:dyDescent="0.3">
      <c r="A73" s="94" t="s">
        <v>852</v>
      </c>
      <c r="B73" s="140"/>
      <c r="C73" s="140"/>
      <c r="D73" s="140"/>
      <c r="E73" s="140">
        <v>2</v>
      </c>
      <c r="F73" s="140"/>
      <c r="G73" s="140"/>
      <c r="H73" s="140"/>
      <c r="I73" s="140"/>
      <c r="J73" s="140"/>
      <c r="K73" s="142">
        <v>2</v>
      </c>
      <c r="L73"/>
    </row>
    <row r="74" spans="1:12" x14ac:dyDescent="0.3">
      <c r="A74" s="94" t="s">
        <v>884</v>
      </c>
      <c r="B74" s="140"/>
      <c r="C74" s="140"/>
      <c r="D74" s="140"/>
      <c r="E74" s="140">
        <v>2</v>
      </c>
      <c r="F74" s="140">
        <v>0</v>
      </c>
      <c r="G74" s="140"/>
      <c r="H74" s="140"/>
      <c r="I74" s="140"/>
      <c r="J74" s="140"/>
      <c r="K74" s="142">
        <v>2</v>
      </c>
      <c r="L74"/>
    </row>
    <row r="75" spans="1:12" x14ac:dyDescent="0.3">
      <c r="A75" s="94" t="s">
        <v>846</v>
      </c>
      <c r="B75" s="140"/>
      <c r="C75" s="140"/>
      <c r="D75" s="140">
        <v>0</v>
      </c>
      <c r="E75" s="140"/>
      <c r="F75" s="140">
        <v>0</v>
      </c>
      <c r="G75" s="140"/>
      <c r="H75" s="140"/>
      <c r="I75" s="140"/>
      <c r="J75" s="140"/>
      <c r="K75" s="142">
        <v>0</v>
      </c>
      <c r="L75"/>
    </row>
    <row r="76" spans="1:12" x14ac:dyDescent="0.3">
      <c r="A76" s="94" t="s">
        <v>885</v>
      </c>
      <c r="B76" s="140"/>
      <c r="C76" s="140"/>
      <c r="D76" s="140">
        <v>0</v>
      </c>
      <c r="E76" s="140"/>
      <c r="F76" s="140"/>
      <c r="G76" s="140"/>
      <c r="H76" s="140"/>
      <c r="I76" s="140"/>
      <c r="J76" s="140"/>
      <c r="K76" s="142">
        <v>0</v>
      </c>
      <c r="L76"/>
    </row>
    <row r="77" spans="1:12" x14ac:dyDescent="0.3">
      <c r="A77" s="94" t="s">
        <v>834</v>
      </c>
      <c r="B77" s="140"/>
      <c r="C77" s="140"/>
      <c r="D77" s="140"/>
      <c r="E77" s="140">
        <v>0</v>
      </c>
      <c r="F77" s="140">
        <v>0</v>
      </c>
      <c r="G77" s="140"/>
      <c r="H77" s="140"/>
      <c r="I77" s="140"/>
      <c r="J77" s="140"/>
      <c r="K77" s="142">
        <v>0</v>
      </c>
      <c r="L77"/>
    </row>
    <row r="78" spans="1:12" x14ac:dyDescent="0.3">
      <c r="A78" s="94" t="s">
        <v>886</v>
      </c>
      <c r="B78" s="140"/>
      <c r="C78" s="140"/>
      <c r="D78" s="140">
        <v>0</v>
      </c>
      <c r="E78" s="140"/>
      <c r="F78" s="140"/>
      <c r="G78" s="140"/>
      <c r="H78" s="140"/>
      <c r="I78" s="140"/>
      <c r="J78" s="140"/>
      <c r="K78" s="142">
        <v>0</v>
      </c>
      <c r="L78"/>
    </row>
    <row r="79" spans="1:12" x14ac:dyDescent="0.3">
      <c r="A79" s="94" t="s">
        <v>850</v>
      </c>
      <c r="B79" s="140"/>
      <c r="C79" s="140"/>
      <c r="D79" s="140"/>
      <c r="E79" s="140">
        <v>0</v>
      </c>
      <c r="F79" s="140"/>
      <c r="G79" s="140"/>
      <c r="H79" s="140"/>
      <c r="I79" s="140"/>
      <c r="J79" s="140"/>
      <c r="K79" s="142">
        <v>0</v>
      </c>
      <c r="L79"/>
    </row>
    <row r="80" spans="1:12" x14ac:dyDescent="0.3">
      <c r="A80" s="94" t="s">
        <v>887</v>
      </c>
      <c r="B80" s="140"/>
      <c r="C80" s="140"/>
      <c r="D80" s="140"/>
      <c r="E80" s="140">
        <v>0</v>
      </c>
      <c r="F80" s="140"/>
      <c r="G80" s="140"/>
      <c r="H80" s="140"/>
      <c r="I80" s="140"/>
      <c r="J80" s="140"/>
      <c r="K80" s="142">
        <v>0</v>
      </c>
      <c r="L80"/>
    </row>
    <row r="81" spans="1:12" x14ac:dyDescent="0.3">
      <c r="A81" s="94" t="s">
        <v>888</v>
      </c>
      <c r="B81" s="140"/>
      <c r="C81" s="140"/>
      <c r="D81" s="140">
        <v>0</v>
      </c>
      <c r="E81" s="140"/>
      <c r="F81" s="140"/>
      <c r="G81" s="140"/>
      <c r="H81" s="140"/>
      <c r="I81" s="140"/>
      <c r="J81" s="140"/>
      <c r="K81" s="142">
        <v>0</v>
      </c>
      <c r="L81"/>
    </row>
    <row r="82" spans="1:12" x14ac:dyDescent="0.3">
      <c r="A82" s="94" t="s">
        <v>855</v>
      </c>
      <c r="B82" s="140"/>
      <c r="C82" s="140"/>
      <c r="D82" s="140"/>
      <c r="E82" s="140">
        <v>0</v>
      </c>
      <c r="F82" s="140"/>
      <c r="G82" s="140"/>
      <c r="H82" s="140"/>
      <c r="I82" s="140"/>
      <c r="J82" s="140"/>
      <c r="K82" s="142">
        <v>0</v>
      </c>
      <c r="L82"/>
    </row>
    <row r="83" spans="1:12" x14ac:dyDescent="0.3">
      <c r="A83" s="94" t="s">
        <v>889</v>
      </c>
      <c r="B83" s="140"/>
      <c r="C83" s="140"/>
      <c r="D83" s="140">
        <v>0</v>
      </c>
      <c r="E83" s="140"/>
      <c r="F83" s="140">
        <v>0</v>
      </c>
      <c r="G83" s="140"/>
      <c r="H83" s="140"/>
      <c r="I83" s="140"/>
      <c r="J83" s="140"/>
      <c r="K83" s="142">
        <v>0</v>
      </c>
      <c r="L83"/>
    </row>
    <row r="84" spans="1:12" x14ac:dyDescent="0.3">
      <c r="A84" s="94" t="s">
        <v>844</v>
      </c>
      <c r="B84" s="140"/>
      <c r="C84" s="140"/>
      <c r="D84" s="140">
        <v>0</v>
      </c>
      <c r="E84" s="140"/>
      <c r="F84" s="140">
        <v>0</v>
      </c>
      <c r="G84" s="140"/>
      <c r="H84" s="140"/>
      <c r="I84" s="140"/>
      <c r="J84" s="140"/>
      <c r="K84" s="142">
        <v>0</v>
      </c>
      <c r="L84"/>
    </row>
    <row r="85" spans="1:12" x14ac:dyDescent="0.3">
      <c r="A85" s="94" t="s">
        <v>890</v>
      </c>
      <c r="B85" s="140"/>
      <c r="C85" s="140"/>
      <c r="D85" s="140">
        <v>0</v>
      </c>
      <c r="E85" s="140"/>
      <c r="F85" s="140"/>
      <c r="G85" s="140"/>
      <c r="H85" s="140"/>
      <c r="I85" s="140"/>
      <c r="J85" s="140"/>
      <c r="K85" s="142">
        <v>0</v>
      </c>
      <c r="L85"/>
    </row>
    <row r="86" spans="1:12" x14ac:dyDescent="0.3">
      <c r="A86" s="94" t="s">
        <v>891</v>
      </c>
      <c r="B86" s="140"/>
      <c r="C86" s="140"/>
      <c r="D86" s="140"/>
      <c r="E86" s="140">
        <v>0</v>
      </c>
      <c r="F86" s="140"/>
      <c r="G86" s="140"/>
      <c r="H86" s="140"/>
      <c r="I86" s="140"/>
      <c r="J86" s="140"/>
      <c r="K86" s="142">
        <v>0</v>
      </c>
      <c r="L86"/>
    </row>
    <row r="87" spans="1:12" x14ac:dyDescent="0.3">
      <c r="A87" s="94" t="s">
        <v>892</v>
      </c>
      <c r="B87" s="140"/>
      <c r="C87" s="140"/>
      <c r="D87" s="140"/>
      <c r="E87" s="140">
        <v>0</v>
      </c>
      <c r="F87" s="140"/>
      <c r="G87" s="140"/>
      <c r="H87" s="140"/>
      <c r="I87" s="140"/>
      <c r="J87" s="140"/>
      <c r="K87" s="142">
        <v>0</v>
      </c>
      <c r="L87"/>
    </row>
    <row r="88" spans="1:12" x14ac:dyDescent="0.3">
      <c r="A88" s="94" t="s">
        <v>860</v>
      </c>
      <c r="B88" s="140"/>
      <c r="C88" s="140"/>
      <c r="D88" s="140"/>
      <c r="E88" s="140">
        <v>0</v>
      </c>
      <c r="F88" s="140"/>
      <c r="G88" s="140"/>
      <c r="H88" s="140"/>
      <c r="I88" s="140"/>
      <c r="J88" s="140"/>
      <c r="K88" s="142">
        <v>0</v>
      </c>
      <c r="L88"/>
    </row>
    <row r="89" spans="1:12" x14ac:dyDescent="0.3">
      <c r="A89" s="94" t="s">
        <v>893</v>
      </c>
      <c r="B89" s="140"/>
      <c r="C89" s="140"/>
      <c r="D89" s="140"/>
      <c r="E89" s="140">
        <v>0</v>
      </c>
      <c r="F89" s="140"/>
      <c r="G89" s="140"/>
      <c r="H89" s="140"/>
      <c r="I89" s="140"/>
      <c r="J89" s="140"/>
      <c r="K89" s="142">
        <v>0</v>
      </c>
      <c r="L89"/>
    </row>
    <row r="90" spans="1:12" x14ac:dyDescent="0.3">
      <c r="A90" s="3" t="s">
        <v>522</v>
      </c>
      <c r="B90" s="140"/>
      <c r="C90" s="140"/>
      <c r="D90" s="140">
        <v>18</v>
      </c>
      <c r="E90" s="140">
        <v>24</v>
      </c>
      <c r="F90" s="140">
        <v>42</v>
      </c>
      <c r="G90" s="140"/>
      <c r="H90" s="140"/>
      <c r="I90" s="140"/>
      <c r="J90" s="140"/>
      <c r="K90" s="142">
        <v>84</v>
      </c>
      <c r="L90"/>
    </row>
    <row r="91" spans="1:12" x14ac:dyDescent="0.3">
      <c r="A91" s="94" t="s">
        <v>882</v>
      </c>
      <c r="B91" s="140"/>
      <c r="C91" s="140"/>
      <c r="D91" s="140">
        <v>8</v>
      </c>
      <c r="E91" s="140"/>
      <c r="F91" s="140">
        <v>10</v>
      </c>
      <c r="G91" s="140"/>
      <c r="H91" s="140"/>
      <c r="I91" s="140"/>
      <c r="J91" s="140"/>
      <c r="K91" s="142">
        <v>18</v>
      </c>
      <c r="L91"/>
    </row>
    <row r="92" spans="1:12" x14ac:dyDescent="0.3">
      <c r="A92" s="94" t="s">
        <v>894</v>
      </c>
      <c r="B92" s="140"/>
      <c r="C92" s="140"/>
      <c r="D92" s="140"/>
      <c r="E92" s="140">
        <v>8</v>
      </c>
      <c r="F92" s="140">
        <v>8</v>
      </c>
      <c r="G92" s="140"/>
      <c r="H92" s="140"/>
      <c r="I92" s="140"/>
      <c r="J92" s="140"/>
      <c r="K92" s="142">
        <v>16</v>
      </c>
      <c r="L92"/>
    </row>
    <row r="93" spans="1:12" x14ac:dyDescent="0.3">
      <c r="A93" s="94" t="s">
        <v>884</v>
      </c>
      <c r="B93" s="140"/>
      <c r="C93" s="140"/>
      <c r="D93" s="140"/>
      <c r="E93" s="140">
        <v>6</v>
      </c>
      <c r="F93" s="140">
        <v>6</v>
      </c>
      <c r="G93" s="140"/>
      <c r="H93" s="140"/>
      <c r="I93" s="140"/>
      <c r="J93" s="140"/>
      <c r="K93" s="142">
        <v>12</v>
      </c>
      <c r="L93"/>
    </row>
    <row r="94" spans="1:12" x14ac:dyDescent="0.3">
      <c r="A94" s="94" t="s">
        <v>895</v>
      </c>
      <c r="B94" s="140"/>
      <c r="C94" s="140"/>
      <c r="D94" s="140">
        <v>6</v>
      </c>
      <c r="E94" s="140"/>
      <c r="F94" s="140">
        <v>6</v>
      </c>
      <c r="G94" s="140"/>
      <c r="H94" s="140"/>
      <c r="I94" s="140"/>
      <c r="J94" s="140"/>
      <c r="K94" s="142">
        <v>12</v>
      </c>
      <c r="L94"/>
    </row>
    <row r="95" spans="1:12" x14ac:dyDescent="0.3">
      <c r="A95" s="94" t="s">
        <v>896</v>
      </c>
      <c r="B95" s="140"/>
      <c r="C95" s="140"/>
      <c r="D95" s="140"/>
      <c r="E95" s="140">
        <v>4</v>
      </c>
      <c r="F95" s="140">
        <v>3</v>
      </c>
      <c r="G95" s="140"/>
      <c r="H95" s="140"/>
      <c r="I95" s="140"/>
      <c r="J95" s="140"/>
      <c r="K95" s="142">
        <v>7</v>
      </c>
      <c r="L95"/>
    </row>
    <row r="96" spans="1:12" x14ac:dyDescent="0.3">
      <c r="A96" s="94" t="s">
        <v>897</v>
      </c>
      <c r="B96" s="140"/>
      <c r="C96" s="140"/>
      <c r="D96" s="140"/>
      <c r="E96" s="140">
        <v>2</v>
      </c>
      <c r="F96" s="140">
        <v>3</v>
      </c>
      <c r="G96" s="140"/>
      <c r="H96" s="140"/>
      <c r="I96" s="140"/>
      <c r="J96" s="140"/>
      <c r="K96" s="142">
        <v>5</v>
      </c>
      <c r="L96"/>
    </row>
    <row r="97" spans="1:12" x14ac:dyDescent="0.3">
      <c r="A97" s="94" t="s">
        <v>898</v>
      </c>
      <c r="B97" s="140"/>
      <c r="C97" s="140"/>
      <c r="D97" s="140">
        <v>4</v>
      </c>
      <c r="E97" s="140"/>
      <c r="F97" s="140">
        <v>0</v>
      </c>
      <c r="G97" s="140"/>
      <c r="H97" s="140"/>
      <c r="I97" s="140"/>
      <c r="J97" s="140"/>
      <c r="K97" s="142">
        <v>4</v>
      </c>
      <c r="L97"/>
    </row>
    <row r="98" spans="1:12" x14ac:dyDescent="0.3">
      <c r="A98" s="94" t="s">
        <v>899</v>
      </c>
      <c r="B98" s="140"/>
      <c r="C98" s="140"/>
      <c r="D98" s="140"/>
      <c r="E98" s="140">
        <v>4</v>
      </c>
      <c r="F98" s="140">
        <v>0</v>
      </c>
      <c r="G98" s="140"/>
      <c r="H98" s="140"/>
      <c r="I98" s="140"/>
      <c r="J98" s="140"/>
      <c r="K98" s="142">
        <v>4</v>
      </c>
      <c r="L98"/>
    </row>
    <row r="99" spans="1:12" x14ac:dyDescent="0.3">
      <c r="A99" s="94" t="s">
        <v>889</v>
      </c>
      <c r="B99" s="140"/>
      <c r="C99" s="140"/>
      <c r="D99" s="140"/>
      <c r="E99" s="140"/>
      <c r="F99" s="140">
        <v>3</v>
      </c>
      <c r="G99" s="140"/>
      <c r="H99" s="140"/>
      <c r="I99" s="140"/>
      <c r="J99" s="140"/>
      <c r="K99" s="142">
        <v>3</v>
      </c>
      <c r="L99"/>
    </row>
    <row r="100" spans="1:12" x14ac:dyDescent="0.3">
      <c r="A100" s="94" t="s">
        <v>900</v>
      </c>
      <c r="B100" s="140"/>
      <c r="C100" s="140"/>
      <c r="D100" s="140"/>
      <c r="E100" s="140">
        <v>0</v>
      </c>
      <c r="F100" s="140">
        <v>3</v>
      </c>
      <c r="G100" s="140"/>
      <c r="H100" s="140"/>
      <c r="I100" s="140"/>
      <c r="J100" s="140"/>
      <c r="K100" s="142">
        <v>3</v>
      </c>
      <c r="L100"/>
    </row>
    <row r="101" spans="1:12" x14ac:dyDescent="0.3">
      <c r="A101" s="94" t="s">
        <v>901</v>
      </c>
      <c r="B101" s="140"/>
      <c r="C101" s="140"/>
      <c r="D101" s="140"/>
      <c r="E101" s="140">
        <v>0</v>
      </c>
      <c r="F101" s="140">
        <v>0</v>
      </c>
      <c r="G101" s="140"/>
      <c r="H101" s="140"/>
      <c r="I101" s="140"/>
      <c r="J101" s="140"/>
      <c r="K101" s="142">
        <v>0</v>
      </c>
      <c r="L101"/>
    </row>
    <row r="102" spans="1:12" x14ac:dyDescent="0.3">
      <c r="A102" s="94" t="s">
        <v>902</v>
      </c>
      <c r="B102" s="140"/>
      <c r="C102" s="140"/>
      <c r="D102" s="140"/>
      <c r="E102" s="140">
        <v>0</v>
      </c>
      <c r="F102" s="140">
        <v>0</v>
      </c>
      <c r="G102" s="140"/>
      <c r="H102" s="140"/>
      <c r="I102" s="140"/>
      <c r="J102" s="140"/>
      <c r="K102" s="142">
        <v>0</v>
      </c>
      <c r="L102"/>
    </row>
    <row r="103" spans="1:12" x14ac:dyDescent="0.3">
      <c r="A103" s="94" t="s">
        <v>903</v>
      </c>
      <c r="B103" s="140"/>
      <c r="C103" s="140"/>
      <c r="D103" s="140"/>
      <c r="E103" s="140">
        <v>0</v>
      </c>
      <c r="F103" s="140">
        <v>0</v>
      </c>
      <c r="G103" s="140"/>
      <c r="H103" s="140"/>
      <c r="I103" s="140"/>
      <c r="J103" s="140"/>
      <c r="K103" s="142">
        <v>0</v>
      </c>
      <c r="L103"/>
    </row>
    <row r="104" spans="1:12" x14ac:dyDescent="0.3">
      <c r="A104" s="94" t="s">
        <v>904</v>
      </c>
      <c r="B104" s="140"/>
      <c r="C104" s="140"/>
      <c r="D104" s="140"/>
      <c r="E104" s="140">
        <v>0</v>
      </c>
      <c r="F104" s="140">
        <v>0</v>
      </c>
      <c r="G104" s="140"/>
      <c r="H104" s="140"/>
      <c r="I104" s="140"/>
      <c r="J104" s="140"/>
      <c r="K104" s="142">
        <v>0</v>
      </c>
      <c r="L104"/>
    </row>
    <row r="105" spans="1:12" x14ac:dyDescent="0.3">
      <c r="A105" s="94" t="s">
        <v>905</v>
      </c>
      <c r="B105" s="140"/>
      <c r="C105" s="140"/>
      <c r="D105" s="140"/>
      <c r="E105" s="140">
        <v>0</v>
      </c>
      <c r="F105" s="140"/>
      <c r="G105" s="140"/>
      <c r="H105" s="140"/>
      <c r="I105" s="140"/>
      <c r="J105" s="140"/>
      <c r="K105" s="142">
        <v>0</v>
      </c>
      <c r="L105"/>
    </row>
    <row r="106" spans="1:12" x14ac:dyDescent="0.3">
      <c r="A106" s="3" t="s">
        <v>538</v>
      </c>
      <c r="B106" s="140"/>
      <c r="C106" s="140"/>
      <c r="D106" s="140">
        <v>28</v>
      </c>
      <c r="E106" s="140">
        <v>11</v>
      </c>
      <c r="F106" s="140">
        <v>36</v>
      </c>
      <c r="G106" s="140"/>
      <c r="H106" s="140"/>
      <c r="I106" s="140"/>
      <c r="J106" s="140"/>
      <c r="K106" s="142">
        <v>75</v>
      </c>
      <c r="L106"/>
    </row>
    <row r="107" spans="1:12" x14ac:dyDescent="0.3">
      <c r="A107" s="94" t="s">
        <v>906</v>
      </c>
      <c r="B107" s="140"/>
      <c r="C107" s="140"/>
      <c r="D107" s="140"/>
      <c r="E107" s="140">
        <v>4</v>
      </c>
      <c r="F107" s="140">
        <v>10</v>
      </c>
      <c r="G107" s="140"/>
      <c r="H107" s="140"/>
      <c r="I107" s="140"/>
      <c r="J107" s="140"/>
      <c r="K107" s="142">
        <v>14</v>
      </c>
      <c r="L107"/>
    </row>
    <row r="108" spans="1:12" x14ac:dyDescent="0.3">
      <c r="A108" s="94" t="s">
        <v>907</v>
      </c>
      <c r="B108" s="140"/>
      <c r="C108" s="140"/>
      <c r="D108" s="140">
        <v>8</v>
      </c>
      <c r="E108" s="140"/>
      <c r="F108" s="140">
        <v>5</v>
      </c>
      <c r="G108" s="140"/>
      <c r="H108" s="140"/>
      <c r="I108" s="140"/>
      <c r="J108" s="140"/>
      <c r="K108" s="142">
        <v>13</v>
      </c>
      <c r="L108"/>
    </row>
    <row r="109" spans="1:12" x14ac:dyDescent="0.3">
      <c r="A109" s="94" t="s">
        <v>908</v>
      </c>
      <c r="B109" s="140"/>
      <c r="C109" s="140"/>
      <c r="D109" s="140"/>
      <c r="E109" s="140">
        <v>5</v>
      </c>
      <c r="F109" s="140">
        <v>7</v>
      </c>
      <c r="G109" s="140"/>
      <c r="H109" s="140"/>
      <c r="I109" s="140"/>
      <c r="J109" s="140"/>
      <c r="K109" s="142">
        <v>12</v>
      </c>
      <c r="L109"/>
    </row>
    <row r="110" spans="1:12" x14ac:dyDescent="0.3">
      <c r="A110" s="94" t="s">
        <v>909</v>
      </c>
      <c r="B110" s="140"/>
      <c r="C110" s="140"/>
      <c r="D110" s="140">
        <v>4</v>
      </c>
      <c r="E110" s="140"/>
      <c r="F110" s="140">
        <v>3</v>
      </c>
      <c r="G110" s="140"/>
      <c r="H110" s="140"/>
      <c r="I110" s="140"/>
      <c r="J110" s="140"/>
      <c r="K110" s="142">
        <v>7</v>
      </c>
      <c r="L110"/>
    </row>
    <row r="111" spans="1:12" x14ac:dyDescent="0.3">
      <c r="A111" s="94" t="s">
        <v>910</v>
      </c>
      <c r="B111" s="140"/>
      <c r="C111" s="140"/>
      <c r="D111" s="140">
        <v>6</v>
      </c>
      <c r="E111" s="140"/>
      <c r="F111" s="140">
        <v>0</v>
      </c>
      <c r="G111" s="140"/>
      <c r="H111" s="140"/>
      <c r="I111" s="140"/>
      <c r="J111" s="140"/>
      <c r="K111" s="142">
        <v>6</v>
      </c>
      <c r="L111"/>
    </row>
    <row r="112" spans="1:12" x14ac:dyDescent="0.3">
      <c r="A112" s="94" t="s">
        <v>911</v>
      </c>
      <c r="B112" s="140"/>
      <c r="C112" s="140"/>
      <c r="D112" s="140"/>
      <c r="E112" s="140">
        <v>0</v>
      </c>
      <c r="F112" s="140">
        <v>5</v>
      </c>
      <c r="G112" s="140"/>
      <c r="H112" s="140"/>
      <c r="I112" s="140"/>
      <c r="J112" s="140"/>
      <c r="K112" s="142">
        <v>5</v>
      </c>
      <c r="L112"/>
    </row>
    <row r="113" spans="1:12" x14ac:dyDescent="0.3">
      <c r="A113" s="94" t="s">
        <v>912</v>
      </c>
      <c r="B113" s="140"/>
      <c r="C113" s="140"/>
      <c r="D113" s="140"/>
      <c r="E113" s="140">
        <v>2</v>
      </c>
      <c r="F113" s="140">
        <v>3</v>
      </c>
      <c r="G113" s="140"/>
      <c r="H113" s="140"/>
      <c r="I113" s="140"/>
      <c r="J113" s="140"/>
      <c r="K113" s="142">
        <v>5</v>
      </c>
      <c r="L113"/>
    </row>
    <row r="114" spans="1:12" x14ac:dyDescent="0.3">
      <c r="A114" s="94" t="s">
        <v>913</v>
      </c>
      <c r="B114" s="140"/>
      <c r="C114" s="140"/>
      <c r="D114" s="140">
        <v>2</v>
      </c>
      <c r="E114" s="140"/>
      <c r="F114" s="140">
        <v>3</v>
      </c>
      <c r="G114" s="140"/>
      <c r="H114" s="140"/>
      <c r="I114" s="140"/>
      <c r="J114" s="140"/>
      <c r="K114" s="142">
        <v>5</v>
      </c>
      <c r="L114"/>
    </row>
    <row r="115" spans="1:12" x14ac:dyDescent="0.3">
      <c r="A115" s="94" t="s">
        <v>914</v>
      </c>
      <c r="B115" s="140"/>
      <c r="C115" s="140"/>
      <c r="D115" s="140">
        <v>4</v>
      </c>
      <c r="E115" s="140"/>
      <c r="F115" s="140">
        <v>0</v>
      </c>
      <c r="G115" s="140"/>
      <c r="H115" s="140"/>
      <c r="I115" s="140"/>
      <c r="J115" s="140"/>
      <c r="K115" s="142">
        <v>4</v>
      </c>
      <c r="L115"/>
    </row>
    <row r="116" spans="1:12" x14ac:dyDescent="0.3">
      <c r="A116" s="94" t="s">
        <v>915</v>
      </c>
      <c r="B116" s="140"/>
      <c r="C116" s="140"/>
      <c r="D116" s="140">
        <v>2</v>
      </c>
      <c r="E116" s="140"/>
      <c r="F116" s="140">
        <v>0</v>
      </c>
      <c r="G116" s="140"/>
      <c r="H116" s="140"/>
      <c r="I116" s="140"/>
      <c r="J116" s="140"/>
      <c r="K116" s="142">
        <v>2</v>
      </c>
      <c r="L116"/>
    </row>
    <row r="117" spans="1:12" x14ac:dyDescent="0.3">
      <c r="A117" s="94" t="s">
        <v>916</v>
      </c>
      <c r="B117" s="140"/>
      <c r="C117" s="140"/>
      <c r="D117" s="140">
        <v>2</v>
      </c>
      <c r="E117" s="140"/>
      <c r="F117" s="140"/>
      <c r="G117" s="140"/>
      <c r="H117" s="140"/>
      <c r="I117" s="140"/>
      <c r="J117" s="140"/>
      <c r="K117" s="142">
        <v>2</v>
      </c>
      <c r="L117"/>
    </row>
    <row r="118" spans="1:12" x14ac:dyDescent="0.3">
      <c r="A118" s="94" t="s">
        <v>917</v>
      </c>
      <c r="B118" s="140"/>
      <c r="C118" s="140"/>
      <c r="D118" s="140">
        <v>0</v>
      </c>
      <c r="E118" s="140"/>
      <c r="F118" s="140"/>
      <c r="G118" s="140"/>
      <c r="H118" s="140"/>
      <c r="I118" s="140"/>
      <c r="J118" s="140"/>
      <c r="K118" s="142">
        <v>0</v>
      </c>
      <c r="L118"/>
    </row>
    <row r="119" spans="1:12" x14ac:dyDescent="0.3">
      <c r="A119" s="94" t="s">
        <v>918</v>
      </c>
      <c r="B119" s="140"/>
      <c r="C119" s="140"/>
      <c r="D119" s="140">
        <v>0</v>
      </c>
      <c r="E119" s="140"/>
      <c r="F119" s="140">
        <v>0</v>
      </c>
      <c r="G119" s="140"/>
      <c r="H119" s="140"/>
      <c r="I119" s="140"/>
      <c r="J119" s="140"/>
      <c r="K119" s="142">
        <v>0</v>
      </c>
      <c r="L119"/>
    </row>
    <row r="120" spans="1:12" x14ac:dyDescent="0.3">
      <c r="A120" s="94" t="s">
        <v>919</v>
      </c>
      <c r="B120" s="140"/>
      <c r="C120" s="140"/>
      <c r="D120" s="140"/>
      <c r="E120" s="140">
        <v>0</v>
      </c>
      <c r="F120" s="140"/>
      <c r="G120" s="140"/>
      <c r="H120" s="140"/>
      <c r="I120" s="140"/>
      <c r="J120" s="140"/>
      <c r="K120" s="142">
        <v>0</v>
      </c>
      <c r="L120"/>
    </row>
    <row r="121" spans="1:12" x14ac:dyDescent="0.3">
      <c r="A121" s="94" t="s">
        <v>920</v>
      </c>
      <c r="B121" s="140"/>
      <c r="C121" s="140"/>
      <c r="D121" s="140">
        <v>0</v>
      </c>
      <c r="E121" s="140"/>
      <c r="F121" s="140"/>
      <c r="G121" s="140"/>
      <c r="H121" s="140"/>
      <c r="I121" s="140"/>
      <c r="J121" s="140"/>
      <c r="K121" s="142">
        <v>0</v>
      </c>
      <c r="L121"/>
    </row>
    <row r="122" spans="1:12" x14ac:dyDescent="0.3">
      <c r="A122" s="94" t="s">
        <v>921</v>
      </c>
      <c r="B122" s="140"/>
      <c r="C122" s="140"/>
      <c r="D122" s="140">
        <v>0</v>
      </c>
      <c r="E122" s="140"/>
      <c r="F122" s="140"/>
      <c r="G122" s="140"/>
      <c r="H122" s="140"/>
      <c r="I122" s="140"/>
      <c r="J122" s="140"/>
      <c r="K122" s="142">
        <v>0</v>
      </c>
      <c r="L122"/>
    </row>
    <row r="123" spans="1:12" x14ac:dyDescent="0.3">
      <c r="A123" s="94" t="s">
        <v>922</v>
      </c>
      <c r="B123" s="140"/>
      <c r="C123" s="140"/>
      <c r="D123" s="140">
        <v>0</v>
      </c>
      <c r="E123" s="140"/>
      <c r="F123" s="140"/>
      <c r="G123" s="140"/>
      <c r="H123" s="140"/>
      <c r="I123" s="140"/>
      <c r="J123" s="140"/>
      <c r="K123" s="142">
        <v>0</v>
      </c>
      <c r="L123"/>
    </row>
    <row r="124" spans="1:12" x14ac:dyDescent="0.3">
      <c r="A124" s="94" t="s">
        <v>923</v>
      </c>
      <c r="B124" s="140"/>
      <c r="C124" s="140"/>
      <c r="D124" s="140"/>
      <c r="E124" s="140">
        <v>0</v>
      </c>
      <c r="F124" s="140"/>
      <c r="G124" s="140"/>
      <c r="H124" s="140"/>
      <c r="I124" s="140"/>
      <c r="J124" s="140"/>
      <c r="K124" s="142">
        <v>0</v>
      </c>
      <c r="L124"/>
    </row>
    <row r="125" spans="1:12" x14ac:dyDescent="0.3">
      <c r="A125" s="94" t="s">
        <v>924</v>
      </c>
      <c r="B125" s="140"/>
      <c r="C125" s="140"/>
      <c r="D125" s="140">
        <v>0</v>
      </c>
      <c r="E125" s="140"/>
      <c r="F125" s="140">
        <v>0</v>
      </c>
      <c r="G125" s="140"/>
      <c r="H125" s="140"/>
      <c r="I125" s="140"/>
      <c r="J125" s="140"/>
      <c r="K125" s="142">
        <v>0</v>
      </c>
      <c r="L125"/>
    </row>
    <row r="126" spans="1:12" x14ac:dyDescent="0.3">
      <c r="A126" s="94" t="s">
        <v>925</v>
      </c>
      <c r="B126" s="140"/>
      <c r="C126" s="140"/>
      <c r="D126" s="140">
        <v>0</v>
      </c>
      <c r="E126" s="140"/>
      <c r="F126" s="140">
        <v>0</v>
      </c>
      <c r="G126" s="140"/>
      <c r="H126" s="140"/>
      <c r="I126" s="140"/>
      <c r="J126" s="140"/>
      <c r="K126" s="142">
        <v>0</v>
      </c>
      <c r="L126"/>
    </row>
    <row r="127" spans="1:12" x14ac:dyDescent="0.3">
      <c r="A127" s="94" t="s">
        <v>926</v>
      </c>
      <c r="B127" s="140"/>
      <c r="C127" s="140"/>
      <c r="D127" s="140">
        <v>0</v>
      </c>
      <c r="E127" s="140"/>
      <c r="F127" s="140">
        <v>0</v>
      </c>
      <c r="G127" s="140"/>
      <c r="H127" s="140"/>
      <c r="I127" s="140"/>
      <c r="J127" s="140"/>
      <c r="K127" s="142">
        <v>0</v>
      </c>
      <c r="L127"/>
    </row>
    <row r="128" spans="1:12" x14ac:dyDescent="0.3">
      <c r="A128" s="3" t="s">
        <v>524</v>
      </c>
      <c r="B128" s="140"/>
      <c r="C128" s="140"/>
      <c r="D128" s="140">
        <v>14</v>
      </c>
      <c r="E128" s="140">
        <v>24</v>
      </c>
      <c r="F128" s="140">
        <v>36</v>
      </c>
      <c r="G128" s="140"/>
      <c r="H128" s="140"/>
      <c r="I128" s="140"/>
      <c r="J128" s="140"/>
      <c r="K128" s="142">
        <v>74</v>
      </c>
      <c r="L128"/>
    </row>
    <row r="129" spans="1:12" x14ac:dyDescent="0.3">
      <c r="A129" s="94" t="s">
        <v>927</v>
      </c>
      <c r="B129" s="140"/>
      <c r="C129" s="140"/>
      <c r="D129" s="140">
        <v>6</v>
      </c>
      <c r="E129" s="140"/>
      <c r="F129" s="140">
        <v>10</v>
      </c>
      <c r="G129" s="140"/>
      <c r="H129" s="140"/>
      <c r="I129" s="140"/>
      <c r="J129" s="140"/>
      <c r="K129" s="142">
        <v>16</v>
      </c>
      <c r="L129"/>
    </row>
    <row r="130" spans="1:12" x14ac:dyDescent="0.3">
      <c r="A130" s="94" t="s">
        <v>928</v>
      </c>
      <c r="B130" s="140"/>
      <c r="C130" s="140"/>
      <c r="D130" s="140"/>
      <c r="E130" s="140">
        <v>8</v>
      </c>
      <c r="F130" s="140">
        <v>6</v>
      </c>
      <c r="G130" s="140"/>
      <c r="H130" s="140"/>
      <c r="I130" s="140"/>
      <c r="J130" s="140"/>
      <c r="K130" s="142">
        <v>14</v>
      </c>
      <c r="L130"/>
    </row>
    <row r="131" spans="1:12" x14ac:dyDescent="0.3">
      <c r="A131" s="94" t="s">
        <v>929</v>
      </c>
      <c r="B131" s="140"/>
      <c r="C131" s="140"/>
      <c r="D131" s="140"/>
      <c r="E131" s="140">
        <v>4</v>
      </c>
      <c r="F131" s="140">
        <v>6</v>
      </c>
      <c r="G131" s="140"/>
      <c r="H131" s="140"/>
      <c r="I131" s="140"/>
      <c r="J131" s="140"/>
      <c r="K131" s="142">
        <v>10</v>
      </c>
      <c r="L131"/>
    </row>
    <row r="132" spans="1:12" x14ac:dyDescent="0.3">
      <c r="A132" s="94" t="s">
        <v>714</v>
      </c>
      <c r="B132" s="140"/>
      <c r="C132" s="140"/>
      <c r="D132" s="140"/>
      <c r="E132" s="140">
        <v>0</v>
      </c>
      <c r="F132" s="140">
        <v>8</v>
      </c>
      <c r="G132" s="140"/>
      <c r="H132" s="140"/>
      <c r="I132" s="140"/>
      <c r="J132" s="140"/>
      <c r="K132" s="142">
        <v>8</v>
      </c>
      <c r="L132"/>
    </row>
    <row r="133" spans="1:12" x14ac:dyDescent="0.3">
      <c r="A133" s="94" t="s">
        <v>879</v>
      </c>
      <c r="B133" s="140"/>
      <c r="C133" s="140"/>
      <c r="D133" s="140"/>
      <c r="E133" s="140">
        <v>4</v>
      </c>
      <c r="F133" s="140">
        <v>3</v>
      </c>
      <c r="G133" s="140"/>
      <c r="H133" s="140"/>
      <c r="I133" s="140"/>
      <c r="J133" s="140"/>
      <c r="K133" s="142">
        <v>7</v>
      </c>
      <c r="L133"/>
    </row>
    <row r="134" spans="1:12" x14ac:dyDescent="0.3">
      <c r="A134" s="94" t="s">
        <v>930</v>
      </c>
      <c r="B134" s="140"/>
      <c r="C134" s="140"/>
      <c r="D134" s="140"/>
      <c r="E134" s="140">
        <v>6</v>
      </c>
      <c r="F134" s="140">
        <v>0</v>
      </c>
      <c r="G134" s="140"/>
      <c r="H134" s="140"/>
      <c r="I134" s="140"/>
      <c r="J134" s="140"/>
      <c r="K134" s="142">
        <v>6</v>
      </c>
      <c r="L134"/>
    </row>
    <row r="135" spans="1:12" x14ac:dyDescent="0.3">
      <c r="A135" s="94" t="s">
        <v>931</v>
      </c>
      <c r="B135" s="140"/>
      <c r="C135" s="140"/>
      <c r="D135" s="140">
        <v>5</v>
      </c>
      <c r="E135" s="140"/>
      <c r="F135" s="140">
        <v>0</v>
      </c>
      <c r="G135" s="140"/>
      <c r="H135" s="140"/>
      <c r="I135" s="140"/>
      <c r="J135" s="140"/>
      <c r="K135" s="142">
        <v>5</v>
      </c>
      <c r="L135"/>
    </row>
    <row r="136" spans="1:12" x14ac:dyDescent="0.3">
      <c r="A136" s="94" t="s">
        <v>932</v>
      </c>
      <c r="B136" s="140"/>
      <c r="C136" s="140"/>
      <c r="D136" s="140">
        <v>3</v>
      </c>
      <c r="E136" s="140"/>
      <c r="F136" s="140"/>
      <c r="G136" s="140"/>
      <c r="H136" s="140"/>
      <c r="I136" s="140"/>
      <c r="J136" s="140"/>
      <c r="K136" s="142">
        <v>3</v>
      </c>
      <c r="L136"/>
    </row>
    <row r="137" spans="1:12" x14ac:dyDescent="0.3">
      <c r="A137" s="94" t="s">
        <v>933</v>
      </c>
      <c r="B137" s="140"/>
      <c r="C137" s="140"/>
      <c r="D137" s="140"/>
      <c r="E137" s="140">
        <v>0</v>
      </c>
      <c r="F137" s="140">
        <v>3</v>
      </c>
      <c r="G137" s="140"/>
      <c r="H137" s="140"/>
      <c r="I137" s="140"/>
      <c r="J137" s="140"/>
      <c r="K137" s="142">
        <v>3</v>
      </c>
      <c r="L137"/>
    </row>
    <row r="138" spans="1:12" x14ac:dyDescent="0.3">
      <c r="A138" s="94" t="s">
        <v>934</v>
      </c>
      <c r="B138" s="140"/>
      <c r="C138" s="140"/>
      <c r="D138" s="140"/>
      <c r="E138" s="140">
        <v>2</v>
      </c>
      <c r="F138" s="140">
        <v>0</v>
      </c>
      <c r="G138" s="140"/>
      <c r="H138" s="140"/>
      <c r="I138" s="140"/>
      <c r="J138" s="140"/>
      <c r="K138" s="142">
        <v>2</v>
      </c>
      <c r="L138"/>
    </row>
    <row r="139" spans="1:12" x14ac:dyDescent="0.3">
      <c r="A139" s="94" t="s">
        <v>935</v>
      </c>
      <c r="B139" s="140"/>
      <c r="C139" s="140"/>
      <c r="D139" s="140"/>
      <c r="E139" s="140"/>
      <c r="F139" s="140">
        <v>0</v>
      </c>
      <c r="G139" s="140"/>
      <c r="H139" s="140"/>
      <c r="I139" s="140"/>
      <c r="J139" s="140"/>
      <c r="K139" s="142">
        <v>0</v>
      </c>
      <c r="L139"/>
    </row>
    <row r="140" spans="1:12" x14ac:dyDescent="0.3">
      <c r="A140" s="94" t="s">
        <v>936</v>
      </c>
      <c r="B140" s="140"/>
      <c r="C140" s="140"/>
      <c r="D140" s="140"/>
      <c r="E140" s="140">
        <v>0</v>
      </c>
      <c r="F140" s="140">
        <v>0</v>
      </c>
      <c r="G140" s="140"/>
      <c r="H140" s="140"/>
      <c r="I140" s="140"/>
      <c r="J140" s="140"/>
      <c r="K140" s="142">
        <v>0</v>
      </c>
      <c r="L140"/>
    </row>
    <row r="141" spans="1:12" x14ac:dyDescent="0.3">
      <c r="A141" s="94" t="s">
        <v>887</v>
      </c>
      <c r="B141" s="140"/>
      <c r="C141" s="140"/>
      <c r="D141" s="140"/>
      <c r="E141" s="140">
        <v>0</v>
      </c>
      <c r="F141" s="140">
        <v>0</v>
      </c>
      <c r="G141" s="140"/>
      <c r="H141" s="140"/>
      <c r="I141" s="140"/>
      <c r="J141" s="140"/>
      <c r="K141" s="142">
        <v>0</v>
      </c>
      <c r="L141"/>
    </row>
    <row r="142" spans="1:12" x14ac:dyDescent="0.3">
      <c r="A142" s="3" t="s">
        <v>493</v>
      </c>
      <c r="B142" s="140"/>
      <c r="C142" s="140">
        <v>27</v>
      </c>
      <c r="D142" s="140"/>
      <c r="E142" s="140"/>
      <c r="F142" s="140"/>
      <c r="G142" s="140"/>
      <c r="H142" s="140"/>
      <c r="I142" s="140"/>
      <c r="J142" s="140">
        <v>45</v>
      </c>
      <c r="K142" s="142">
        <v>72</v>
      </c>
      <c r="L142"/>
    </row>
    <row r="143" spans="1:12" x14ac:dyDescent="0.3">
      <c r="A143" s="94" t="s">
        <v>572</v>
      </c>
      <c r="B143" s="140"/>
      <c r="C143" s="140">
        <v>12</v>
      </c>
      <c r="D143" s="140"/>
      <c r="E143" s="140"/>
      <c r="F143" s="140"/>
      <c r="G143" s="140"/>
      <c r="H143" s="140"/>
      <c r="I143" s="140"/>
      <c r="J143" s="140">
        <v>30</v>
      </c>
      <c r="K143" s="142">
        <v>42</v>
      </c>
      <c r="L143"/>
    </row>
    <row r="144" spans="1:12" x14ac:dyDescent="0.3">
      <c r="A144" s="94" t="s">
        <v>573</v>
      </c>
      <c r="B144" s="140"/>
      <c r="C144" s="140">
        <v>9</v>
      </c>
      <c r="D144" s="140"/>
      <c r="E144" s="140"/>
      <c r="F144" s="140"/>
      <c r="G144" s="140"/>
      <c r="H144" s="140"/>
      <c r="I144" s="140"/>
      <c r="J144" s="140">
        <v>15</v>
      </c>
      <c r="K144" s="142">
        <v>24</v>
      </c>
      <c r="L144"/>
    </row>
    <row r="145" spans="1:12" x14ac:dyDescent="0.3">
      <c r="A145" s="94" t="s">
        <v>578</v>
      </c>
      <c r="B145" s="140"/>
      <c r="C145" s="140">
        <v>6</v>
      </c>
      <c r="D145" s="140"/>
      <c r="E145" s="140"/>
      <c r="F145" s="140"/>
      <c r="G145" s="140"/>
      <c r="H145" s="140"/>
      <c r="I145" s="140"/>
      <c r="J145" s="140"/>
      <c r="K145" s="142">
        <v>6</v>
      </c>
      <c r="L145"/>
    </row>
    <row r="146" spans="1:12" x14ac:dyDescent="0.3">
      <c r="A146" s="3" t="s">
        <v>492</v>
      </c>
      <c r="B146" s="140"/>
      <c r="C146" s="140">
        <v>27</v>
      </c>
      <c r="D146" s="140"/>
      <c r="E146" s="140"/>
      <c r="F146" s="140"/>
      <c r="G146" s="140"/>
      <c r="H146" s="140"/>
      <c r="I146" s="140"/>
      <c r="J146" s="140">
        <v>45</v>
      </c>
      <c r="K146" s="142">
        <v>72</v>
      </c>
      <c r="L146"/>
    </row>
    <row r="147" spans="1:12" x14ac:dyDescent="0.3">
      <c r="A147" s="94" t="s">
        <v>734</v>
      </c>
      <c r="B147" s="140"/>
      <c r="C147" s="140">
        <v>12</v>
      </c>
      <c r="D147" s="140"/>
      <c r="E147" s="140"/>
      <c r="F147" s="140"/>
      <c r="G147" s="140"/>
      <c r="H147" s="140"/>
      <c r="I147" s="140"/>
      <c r="J147" s="140">
        <v>30</v>
      </c>
      <c r="K147" s="142">
        <v>42</v>
      </c>
      <c r="L147"/>
    </row>
    <row r="148" spans="1:12" x14ac:dyDescent="0.3">
      <c r="A148" s="94" t="s">
        <v>1329</v>
      </c>
      <c r="B148" s="140"/>
      <c r="C148" s="140"/>
      <c r="D148" s="140"/>
      <c r="E148" s="140"/>
      <c r="F148" s="140"/>
      <c r="G148" s="140"/>
      <c r="H148" s="140"/>
      <c r="I148" s="140"/>
      <c r="J148" s="140">
        <v>15</v>
      </c>
      <c r="K148" s="142">
        <v>15</v>
      </c>
      <c r="L148"/>
    </row>
    <row r="149" spans="1:12" x14ac:dyDescent="0.3">
      <c r="A149" s="94" t="s">
        <v>733</v>
      </c>
      <c r="B149" s="140"/>
      <c r="C149" s="140">
        <v>9</v>
      </c>
      <c r="D149" s="140"/>
      <c r="E149" s="140"/>
      <c r="F149" s="140"/>
      <c r="G149" s="140"/>
      <c r="H149" s="140"/>
      <c r="I149" s="140"/>
      <c r="J149" s="140"/>
      <c r="K149" s="142">
        <v>9</v>
      </c>
      <c r="L149"/>
    </row>
    <row r="150" spans="1:12" x14ac:dyDescent="0.3">
      <c r="A150" s="94" t="s">
        <v>755</v>
      </c>
      <c r="B150" s="140"/>
      <c r="C150" s="140">
        <v>6</v>
      </c>
      <c r="D150" s="140"/>
      <c r="E150" s="140"/>
      <c r="F150" s="140"/>
      <c r="G150" s="140"/>
      <c r="H150" s="140"/>
      <c r="I150" s="140"/>
      <c r="J150" s="140"/>
      <c r="K150" s="142">
        <v>6</v>
      </c>
      <c r="L150"/>
    </row>
    <row r="151" spans="1:12" x14ac:dyDescent="0.3">
      <c r="A151" s="3" t="s">
        <v>743</v>
      </c>
      <c r="B151" s="140"/>
      <c r="C151" s="140">
        <v>10</v>
      </c>
      <c r="D151" s="140"/>
      <c r="E151" s="140"/>
      <c r="F151" s="140"/>
      <c r="G151" s="140"/>
      <c r="H151" s="140"/>
      <c r="I151" s="140"/>
      <c r="J151" s="140">
        <v>60</v>
      </c>
      <c r="K151" s="142">
        <v>70</v>
      </c>
      <c r="L151"/>
    </row>
    <row r="152" spans="1:12" x14ac:dyDescent="0.3">
      <c r="A152" s="94" t="s">
        <v>562</v>
      </c>
      <c r="B152" s="140"/>
      <c r="C152" s="140">
        <v>10</v>
      </c>
      <c r="D152" s="140"/>
      <c r="E152" s="140"/>
      <c r="F152" s="140"/>
      <c r="G152" s="140"/>
      <c r="H152" s="140"/>
      <c r="I152" s="140"/>
      <c r="J152" s="140">
        <v>45</v>
      </c>
      <c r="K152" s="142">
        <v>55</v>
      </c>
      <c r="L152"/>
    </row>
    <row r="153" spans="1:12" x14ac:dyDescent="0.3">
      <c r="A153" s="94" t="s">
        <v>575</v>
      </c>
      <c r="B153" s="140"/>
      <c r="C153" s="140">
        <v>0</v>
      </c>
      <c r="D153" s="140"/>
      <c r="E153" s="140"/>
      <c r="F153" s="140"/>
      <c r="G153" s="140"/>
      <c r="H153" s="140"/>
      <c r="I153" s="140"/>
      <c r="J153" s="140">
        <v>15</v>
      </c>
      <c r="K153" s="142">
        <v>15</v>
      </c>
      <c r="L153"/>
    </row>
    <row r="154" spans="1:12" x14ac:dyDescent="0.3">
      <c r="A154" s="3" t="s">
        <v>514</v>
      </c>
      <c r="B154" s="140"/>
      <c r="C154" s="140"/>
      <c r="D154" s="140">
        <v>12</v>
      </c>
      <c r="E154" s="140">
        <v>18</v>
      </c>
      <c r="F154" s="140">
        <v>39</v>
      </c>
      <c r="G154" s="140"/>
      <c r="H154" s="140"/>
      <c r="I154" s="140"/>
      <c r="J154" s="140"/>
      <c r="K154" s="142">
        <v>69</v>
      </c>
      <c r="L154"/>
    </row>
    <row r="155" spans="1:12" x14ac:dyDescent="0.3">
      <c r="A155" s="94" t="s">
        <v>937</v>
      </c>
      <c r="B155" s="140"/>
      <c r="C155" s="140"/>
      <c r="D155" s="140"/>
      <c r="E155" s="140">
        <v>5</v>
      </c>
      <c r="F155" s="140">
        <v>10</v>
      </c>
      <c r="G155" s="140"/>
      <c r="H155" s="140"/>
      <c r="I155" s="140"/>
      <c r="J155" s="140"/>
      <c r="K155" s="142">
        <v>15</v>
      </c>
      <c r="L155"/>
    </row>
    <row r="156" spans="1:12" x14ac:dyDescent="0.3">
      <c r="A156" s="94" t="s">
        <v>938</v>
      </c>
      <c r="B156" s="140"/>
      <c r="C156" s="140"/>
      <c r="D156" s="140"/>
      <c r="E156" s="140">
        <v>0</v>
      </c>
      <c r="F156" s="140">
        <v>7</v>
      </c>
      <c r="G156" s="140"/>
      <c r="H156" s="140"/>
      <c r="I156" s="140"/>
      <c r="J156" s="140"/>
      <c r="K156" s="142">
        <v>7</v>
      </c>
      <c r="L156"/>
    </row>
    <row r="157" spans="1:12" x14ac:dyDescent="0.3">
      <c r="A157" s="94" t="s">
        <v>939</v>
      </c>
      <c r="B157" s="140"/>
      <c r="C157" s="140"/>
      <c r="D157" s="140"/>
      <c r="E157" s="140">
        <v>3</v>
      </c>
      <c r="F157" s="140">
        <v>3</v>
      </c>
      <c r="G157" s="140"/>
      <c r="H157" s="140"/>
      <c r="I157" s="140"/>
      <c r="J157" s="140"/>
      <c r="K157" s="142">
        <v>6</v>
      </c>
      <c r="L157"/>
    </row>
    <row r="158" spans="1:12" x14ac:dyDescent="0.3">
      <c r="A158" s="94" t="s">
        <v>940</v>
      </c>
      <c r="B158" s="140"/>
      <c r="C158" s="140"/>
      <c r="D158" s="140"/>
      <c r="E158" s="140">
        <v>6</v>
      </c>
      <c r="F158" s="140">
        <v>0</v>
      </c>
      <c r="G158" s="140"/>
      <c r="H158" s="140"/>
      <c r="I158" s="140"/>
      <c r="J158" s="140"/>
      <c r="K158" s="142">
        <v>6</v>
      </c>
      <c r="L158"/>
    </row>
    <row r="159" spans="1:12" x14ac:dyDescent="0.3">
      <c r="A159" s="94" t="s">
        <v>941</v>
      </c>
      <c r="B159" s="140"/>
      <c r="C159" s="140"/>
      <c r="D159" s="140">
        <v>6</v>
      </c>
      <c r="E159" s="140"/>
      <c r="F159" s="140">
        <v>0</v>
      </c>
      <c r="G159" s="140"/>
      <c r="H159" s="140"/>
      <c r="I159" s="140"/>
      <c r="J159" s="140"/>
      <c r="K159" s="142">
        <v>6</v>
      </c>
      <c r="L159"/>
    </row>
    <row r="160" spans="1:12" x14ac:dyDescent="0.3">
      <c r="A160" s="94" t="s">
        <v>942</v>
      </c>
      <c r="B160" s="140"/>
      <c r="C160" s="140"/>
      <c r="D160" s="140"/>
      <c r="E160" s="140">
        <v>3</v>
      </c>
      <c r="F160" s="140">
        <v>3</v>
      </c>
      <c r="G160" s="140"/>
      <c r="H160" s="140"/>
      <c r="I160" s="140"/>
      <c r="J160" s="140"/>
      <c r="K160" s="142">
        <v>6</v>
      </c>
      <c r="L160"/>
    </row>
    <row r="161" spans="1:12" x14ac:dyDescent="0.3">
      <c r="A161" s="94" t="s">
        <v>943</v>
      </c>
      <c r="B161" s="140"/>
      <c r="C161" s="140"/>
      <c r="D161" s="140"/>
      <c r="E161" s="140">
        <v>0</v>
      </c>
      <c r="F161" s="140">
        <v>5</v>
      </c>
      <c r="G161" s="140"/>
      <c r="H161" s="140"/>
      <c r="I161" s="140"/>
      <c r="J161" s="140"/>
      <c r="K161" s="142">
        <v>5</v>
      </c>
      <c r="L161"/>
    </row>
    <row r="162" spans="1:12" x14ac:dyDescent="0.3">
      <c r="A162" s="94" t="s">
        <v>944</v>
      </c>
      <c r="B162" s="140"/>
      <c r="C162" s="140"/>
      <c r="D162" s="140">
        <v>0</v>
      </c>
      <c r="E162" s="140"/>
      <c r="F162" s="140">
        <v>5</v>
      </c>
      <c r="G162" s="140"/>
      <c r="H162" s="140"/>
      <c r="I162" s="140"/>
      <c r="J162" s="140"/>
      <c r="K162" s="142">
        <v>5</v>
      </c>
      <c r="L162"/>
    </row>
    <row r="163" spans="1:12" x14ac:dyDescent="0.3">
      <c r="A163" s="94" t="s">
        <v>945</v>
      </c>
      <c r="B163" s="140"/>
      <c r="C163" s="140"/>
      <c r="D163" s="140">
        <v>3</v>
      </c>
      <c r="E163" s="140"/>
      <c r="F163" s="140">
        <v>0</v>
      </c>
      <c r="G163" s="140"/>
      <c r="H163" s="140"/>
      <c r="I163" s="140"/>
      <c r="J163" s="140"/>
      <c r="K163" s="142">
        <v>3</v>
      </c>
      <c r="L163"/>
    </row>
    <row r="164" spans="1:12" x14ac:dyDescent="0.3">
      <c r="A164" s="94" t="s">
        <v>946</v>
      </c>
      <c r="B164" s="140"/>
      <c r="C164" s="140"/>
      <c r="D164" s="140">
        <v>0</v>
      </c>
      <c r="E164" s="140"/>
      <c r="F164" s="140">
        <v>3</v>
      </c>
      <c r="G164" s="140"/>
      <c r="H164" s="140"/>
      <c r="I164" s="140"/>
      <c r="J164" s="140"/>
      <c r="K164" s="142">
        <v>3</v>
      </c>
      <c r="L164"/>
    </row>
    <row r="165" spans="1:12" x14ac:dyDescent="0.3">
      <c r="A165" s="94" t="s">
        <v>947</v>
      </c>
      <c r="B165" s="140"/>
      <c r="C165" s="140"/>
      <c r="D165" s="140">
        <v>3</v>
      </c>
      <c r="E165" s="140"/>
      <c r="F165" s="140">
        <v>0</v>
      </c>
      <c r="G165" s="140"/>
      <c r="H165" s="140"/>
      <c r="I165" s="140"/>
      <c r="J165" s="140"/>
      <c r="K165" s="142">
        <v>3</v>
      </c>
      <c r="L165"/>
    </row>
    <row r="166" spans="1:12" x14ac:dyDescent="0.3">
      <c r="A166" s="94" t="s">
        <v>948</v>
      </c>
      <c r="B166" s="140"/>
      <c r="C166" s="140"/>
      <c r="D166" s="140">
        <v>0</v>
      </c>
      <c r="E166" s="140"/>
      <c r="F166" s="140">
        <v>3</v>
      </c>
      <c r="G166" s="140"/>
      <c r="H166" s="140"/>
      <c r="I166" s="140"/>
      <c r="J166" s="140"/>
      <c r="K166" s="142">
        <v>3</v>
      </c>
      <c r="L166"/>
    </row>
    <row r="167" spans="1:12" x14ac:dyDescent="0.3">
      <c r="A167" s="94" t="s">
        <v>949</v>
      </c>
      <c r="B167" s="140"/>
      <c r="C167" s="140"/>
      <c r="D167" s="140"/>
      <c r="E167" s="140">
        <v>1</v>
      </c>
      <c r="F167" s="140">
        <v>0</v>
      </c>
      <c r="G167" s="140"/>
      <c r="H167" s="140"/>
      <c r="I167" s="140"/>
      <c r="J167" s="140"/>
      <c r="K167" s="142">
        <v>1</v>
      </c>
      <c r="L167"/>
    </row>
    <row r="168" spans="1:12" x14ac:dyDescent="0.3">
      <c r="A168" s="94" t="s">
        <v>950</v>
      </c>
      <c r="B168" s="140"/>
      <c r="C168" s="140"/>
      <c r="D168" s="140"/>
      <c r="E168" s="140">
        <v>0</v>
      </c>
      <c r="F168" s="140">
        <v>0</v>
      </c>
      <c r="G168" s="140"/>
      <c r="H168" s="140"/>
      <c r="I168" s="140"/>
      <c r="J168" s="140"/>
      <c r="K168" s="142">
        <v>0</v>
      </c>
      <c r="L168"/>
    </row>
    <row r="169" spans="1:12" x14ac:dyDescent="0.3">
      <c r="A169" s="94" t="s">
        <v>951</v>
      </c>
      <c r="B169" s="140"/>
      <c r="C169" s="140"/>
      <c r="D169" s="140"/>
      <c r="E169" s="140">
        <v>0</v>
      </c>
      <c r="F169" s="140"/>
      <c r="G169" s="140"/>
      <c r="H169" s="140"/>
      <c r="I169" s="140"/>
      <c r="J169" s="140"/>
      <c r="K169" s="142">
        <v>0</v>
      </c>
      <c r="L169"/>
    </row>
    <row r="170" spans="1:12" x14ac:dyDescent="0.3">
      <c r="A170" s="94" t="s">
        <v>952</v>
      </c>
      <c r="B170" s="140"/>
      <c r="C170" s="140"/>
      <c r="D170" s="140"/>
      <c r="E170" s="140">
        <v>0</v>
      </c>
      <c r="F170" s="140"/>
      <c r="G170" s="140"/>
      <c r="H170" s="140"/>
      <c r="I170" s="140"/>
      <c r="J170" s="140"/>
      <c r="K170" s="142">
        <v>0</v>
      </c>
      <c r="L170"/>
    </row>
    <row r="171" spans="1:12" x14ac:dyDescent="0.3">
      <c r="A171" s="94" t="s">
        <v>953</v>
      </c>
      <c r="B171" s="140"/>
      <c r="C171" s="140"/>
      <c r="D171" s="140">
        <v>0</v>
      </c>
      <c r="E171" s="140"/>
      <c r="F171" s="140"/>
      <c r="G171" s="140"/>
      <c r="H171" s="140"/>
      <c r="I171" s="140"/>
      <c r="J171" s="140"/>
      <c r="K171" s="142">
        <v>0</v>
      </c>
      <c r="L171"/>
    </row>
    <row r="172" spans="1:12" x14ac:dyDescent="0.3">
      <c r="A172" s="94" t="s">
        <v>954</v>
      </c>
      <c r="B172" s="140"/>
      <c r="C172" s="140"/>
      <c r="D172" s="140">
        <v>0</v>
      </c>
      <c r="E172" s="140"/>
      <c r="F172" s="140"/>
      <c r="G172" s="140"/>
      <c r="H172" s="140"/>
      <c r="I172" s="140"/>
      <c r="J172" s="140"/>
      <c r="K172" s="142">
        <v>0</v>
      </c>
      <c r="L172"/>
    </row>
    <row r="173" spans="1:12" x14ac:dyDescent="0.3">
      <c r="A173" s="94" t="s">
        <v>955</v>
      </c>
      <c r="B173" s="140"/>
      <c r="C173" s="140"/>
      <c r="D173" s="140">
        <v>0</v>
      </c>
      <c r="E173" s="140"/>
      <c r="F173" s="140">
        <v>0</v>
      </c>
      <c r="G173" s="140"/>
      <c r="H173" s="140"/>
      <c r="I173" s="140"/>
      <c r="J173" s="140"/>
      <c r="K173" s="142">
        <v>0</v>
      </c>
      <c r="L173"/>
    </row>
    <row r="174" spans="1:12" x14ac:dyDescent="0.3">
      <c r="A174" s="94" t="s">
        <v>956</v>
      </c>
      <c r="B174" s="140"/>
      <c r="C174" s="140"/>
      <c r="D174" s="140">
        <v>0</v>
      </c>
      <c r="E174" s="140"/>
      <c r="F174" s="140"/>
      <c r="G174" s="140"/>
      <c r="H174" s="140"/>
      <c r="I174" s="140"/>
      <c r="J174" s="140"/>
      <c r="K174" s="142">
        <v>0</v>
      </c>
      <c r="L174"/>
    </row>
    <row r="175" spans="1:12" x14ac:dyDescent="0.3">
      <c r="A175" s="94" t="s">
        <v>957</v>
      </c>
      <c r="B175" s="140"/>
      <c r="C175" s="140"/>
      <c r="D175" s="140">
        <v>0</v>
      </c>
      <c r="E175" s="140"/>
      <c r="F175" s="140"/>
      <c r="G175" s="140"/>
      <c r="H175" s="140"/>
      <c r="I175" s="140"/>
      <c r="J175" s="140"/>
      <c r="K175" s="142">
        <v>0</v>
      </c>
      <c r="L175"/>
    </row>
    <row r="176" spans="1:12" x14ac:dyDescent="0.3">
      <c r="A176" s="3" t="s">
        <v>552</v>
      </c>
      <c r="B176" s="140"/>
      <c r="C176" s="140"/>
      <c r="D176" s="140"/>
      <c r="E176" s="140">
        <v>21</v>
      </c>
      <c r="F176" s="140">
        <v>28</v>
      </c>
      <c r="G176" s="140"/>
      <c r="H176" s="140">
        <v>10</v>
      </c>
      <c r="I176" s="140">
        <v>9</v>
      </c>
      <c r="J176" s="140"/>
      <c r="K176" s="142">
        <v>68</v>
      </c>
      <c r="L176"/>
    </row>
    <row r="177" spans="1:12" x14ac:dyDescent="0.3">
      <c r="A177" s="94" t="s">
        <v>970</v>
      </c>
      <c r="B177" s="140"/>
      <c r="C177" s="140"/>
      <c r="D177" s="140"/>
      <c r="E177" s="140">
        <v>8</v>
      </c>
      <c r="F177" s="140">
        <v>10</v>
      </c>
      <c r="G177" s="140"/>
      <c r="H177" s="140">
        <v>6</v>
      </c>
      <c r="I177" s="140">
        <v>6</v>
      </c>
      <c r="J177" s="140"/>
      <c r="K177" s="142">
        <v>30</v>
      </c>
      <c r="L177"/>
    </row>
    <row r="178" spans="1:12" x14ac:dyDescent="0.3">
      <c r="A178" s="94" t="s">
        <v>971</v>
      </c>
      <c r="B178" s="140"/>
      <c r="C178" s="140"/>
      <c r="D178" s="140"/>
      <c r="E178" s="140">
        <v>6</v>
      </c>
      <c r="F178" s="140">
        <v>8</v>
      </c>
      <c r="G178" s="140"/>
      <c r="H178" s="140">
        <v>4</v>
      </c>
      <c r="I178" s="140">
        <v>0</v>
      </c>
      <c r="J178" s="140"/>
      <c r="K178" s="142">
        <v>18</v>
      </c>
      <c r="L178"/>
    </row>
    <row r="179" spans="1:12" x14ac:dyDescent="0.3">
      <c r="A179" s="94" t="s">
        <v>972</v>
      </c>
      <c r="B179" s="140"/>
      <c r="C179" s="140"/>
      <c r="D179" s="140"/>
      <c r="E179" s="140">
        <v>4</v>
      </c>
      <c r="F179" s="140">
        <v>6</v>
      </c>
      <c r="G179" s="140"/>
      <c r="H179" s="140"/>
      <c r="I179" s="140"/>
      <c r="J179" s="140"/>
      <c r="K179" s="142">
        <v>10</v>
      </c>
      <c r="L179"/>
    </row>
    <row r="180" spans="1:12" x14ac:dyDescent="0.3">
      <c r="A180" s="94" t="s">
        <v>973</v>
      </c>
      <c r="B180" s="140"/>
      <c r="C180" s="140"/>
      <c r="D180" s="140"/>
      <c r="E180" s="140">
        <v>3</v>
      </c>
      <c r="F180" s="140">
        <v>4</v>
      </c>
      <c r="G180" s="140"/>
      <c r="H180" s="140"/>
      <c r="I180" s="140"/>
      <c r="J180" s="140"/>
      <c r="K180" s="142">
        <v>7</v>
      </c>
      <c r="L180"/>
    </row>
    <row r="181" spans="1:12" x14ac:dyDescent="0.3">
      <c r="A181" s="94" t="s">
        <v>974</v>
      </c>
      <c r="B181" s="140"/>
      <c r="C181" s="140"/>
      <c r="D181" s="140"/>
      <c r="E181" s="140"/>
      <c r="F181" s="140">
        <v>0</v>
      </c>
      <c r="G181" s="140"/>
      <c r="H181" s="140"/>
      <c r="I181" s="140">
        <v>3</v>
      </c>
      <c r="J181" s="140"/>
      <c r="K181" s="142">
        <v>3</v>
      </c>
      <c r="L181"/>
    </row>
    <row r="182" spans="1:12" x14ac:dyDescent="0.3">
      <c r="A182" s="3" t="s">
        <v>539</v>
      </c>
      <c r="B182" s="140"/>
      <c r="C182" s="140"/>
      <c r="D182" s="140">
        <v>16</v>
      </c>
      <c r="E182" s="140">
        <v>14</v>
      </c>
      <c r="F182" s="140">
        <v>32</v>
      </c>
      <c r="G182" s="140">
        <v>6</v>
      </c>
      <c r="H182" s="140"/>
      <c r="I182" s="140"/>
      <c r="J182" s="140"/>
      <c r="K182" s="142">
        <v>68</v>
      </c>
      <c r="L182"/>
    </row>
    <row r="183" spans="1:12" x14ac:dyDescent="0.3">
      <c r="A183" s="94" t="s">
        <v>958</v>
      </c>
      <c r="B183" s="140"/>
      <c r="C183" s="140"/>
      <c r="D183" s="140"/>
      <c r="E183" s="140">
        <v>6</v>
      </c>
      <c r="F183" s="140">
        <v>8</v>
      </c>
      <c r="G183" s="140"/>
      <c r="H183" s="140"/>
      <c r="I183" s="140"/>
      <c r="J183" s="140"/>
      <c r="K183" s="142">
        <v>14</v>
      </c>
      <c r="L183"/>
    </row>
    <row r="184" spans="1:12" x14ac:dyDescent="0.3">
      <c r="A184" s="94" t="s">
        <v>913</v>
      </c>
      <c r="B184" s="140"/>
      <c r="C184" s="140"/>
      <c r="D184" s="140">
        <v>4</v>
      </c>
      <c r="E184" s="140"/>
      <c r="F184" s="140">
        <v>6</v>
      </c>
      <c r="G184" s="140"/>
      <c r="H184" s="140"/>
      <c r="I184" s="140"/>
      <c r="J184" s="140"/>
      <c r="K184" s="142">
        <v>10</v>
      </c>
      <c r="L184"/>
    </row>
    <row r="185" spans="1:12" x14ac:dyDescent="0.3">
      <c r="A185" s="94" t="s">
        <v>925</v>
      </c>
      <c r="B185" s="140"/>
      <c r="C185" s="140"/>
      <c r="D185" s="140">
        <v>6</v>
      </c>
      <c r="E185" s="140"/>
      <c r="F185" s="140">
        <v>3</v>
      </c>
      <c r="G185" s="140"/>
      <c r="H185" s="140"/>
      <c r="I185" s="140"/>
      <c r="J185" s="140"/>
      <c r="K185" s="142">
        <v>9</v>
      </c>
      <c r="L185"/>
    </row>
    <row r="186" spans="1:12" x14ac:dyDescent="0.3">
      <c r="A186" s="94" t="s">
        <v>920</v>
      </c>
      <c r="B186" s="140"/>
      <c r="C186" s="140"/>
      <c r="D186" s="140">
        <v>0</v>
      </c>
      <c r="E186" s="140"/>
      <c r="F186" s="140">
        <v>3</v>
      </c>
      <c r="G186" s="140">
        <v>6</v>
      </c>
      <c r="H186" s="140"/>
      <c r="I186" s="140"/>
      <c r="J186" s="140"/>
      <c r="K186" s="142">
        <v>9</v>
      </c>
      <c r="L186"/>
    </row>
    <row r="187" spans="1:12" x14ac:dyDescent="0.3">
      <c r="A187" s="94" t="s">
        <v>959</v>
      </c>
      <c r="B187" s="140"/>
      <c r="C187" s="140"/>
      <c r="D187" s="140">
        <v>4</v>
      </c>
      <c r="E187" s="140"/>
      <c r="F187" s="140">
        <v>3</v>
      </c>
      <c r="G187" s="140"/>
      <c r="H187" s="140"/>
      <c r="I187" s="140"/>
      <c r="J187" s="140"/>
      <c r="K187" s="142">
        <v>7</v>
      </c>
      <c r="L187"/>
    </row>
    <row r="188" spans="1:12" x14ac:dyDescent="0.3">
      <c r="A188" s="94" t="s">
        <v>960</v>
      </c>
      <c r="B188" s="140"/>
      <c r="C188" s="140"/>
      <c r="D188" s="140">
        <v>0</v>
      </c>
      <c r="E188" s="140"/>
      <c r="F188" s="140">
        <v>6</v>
      </c>
      <c r="G188" s="140"/>
      <c r="H188" s="140"/>
      <c r="I188" s="140"/>
      <c r="J188" s="140"/>
      <c r="K188" s="142">
        <v>6</v>
      </c>
      <c r="L188"/>
    </row>
    <row r="189" spans="1:12" x14ac:dyDescent="0.3">
      <c r="A189" s="94" t="s">
        <v>961</v>
      </c>
      <c r="B189" s="140"/>
      <c r="C189" s="140"/>
      <c r="D189" s="140"/>
      <c r="E189" s="140">
        <v>5</v>
      </c>
      <c r="F189" s="140"/>
      <c r="G189" s="140"/>
      <c r="H189" s="140"/>
      <c r="I189" s="140"/>
      <c r="J189" s="140"/>
      <c r="K189" s="142">
        <v>5</v>
      </c>
      <c r="L189"/>
    </row>
    <row r="190" spans="1:12" x14ac:dyDescent="0.3">
      <c r="A190" s="94" t="s">
        <v>962</v>
      </c>
      <c r="B190" s="140"/>
      <c r="C190" s="140"/>
      <c r="D190" s="140">
        <v>0</v>
      </c>
      <c r="E190" s="140"/>
      <c r="F190" s="140">
        <v>3</v>
      </c>
      <c r="G190" s="140"/>
      <c r="H190" s="140"/>
      <c r="I190" s="140"/>
      <c r="J190" s="140"/>
      <c r="K190" s="142">
        <v>3</v>
      </c>
      <c r="L190"/>
    </row>
    <row r="191" spans="1:12" x14ac:dyDescent="0.3">
      <c r="A191" s="94" t="s">
        <v>963</v>
      </c>
      <c r="B191" s="140"/>
      <c r="C191" s="140"/>
      <c r="D191" s="140"/>
      <c r="E191" s="140">
        <v>3</v>
      </c>
      <c r="F191" s="140">
        <v>0</v>
      </c>
      <c r="G191" s="140"/>
      <c r="H191" s="140"/>
      <c r="I191" s="140"/>
      <c r="J191" s="140"/>
      <c r="K191" s="142">
        <v>3</v>
      </c>
      <c r="L191"/>
    </row>
    <row r="192" spans="1:12" x14ac:dyDescent="0.3">
      <c r="A192" s="94" t="s">
        <v>964</v>
      </c>
      <c r="B192" s="140"/>
      <c r="C192" s="140"/>
      <c r="D192" s="140">
        <v>2</v>
      </c>
      <c r="E192" s="140"/>
      <c r="F192" s="140">
        <v>0</v>
      </c>
      <c r="G192" s="140"/>
      <c r="H192" s="140"/>
      <c r="I192" s="140"/>
      <c r="J192" s="140"/>
      <c r="K192" s="142">
        <v>2</v>
      </c>
      <c r="L192"/>
    </row>
    <row r="193" spans="1:12" x14ac:dyDescent="0.3">
      <c r="A193" s="94" t="s">
        <v>965</v>
      </c>
      <c r="B193" s="140"/>
      <c r="C193" s="140"/>
      <c r="D193" s="140">
        <v>0</v>
      </c>
      <c r="E193" s="140"/>
      <c r="F193" s="140">
        <v>0</v>
      </c>
      <c r="G193" s="140"/>
      <c r="H193" s="140"/>
      <c r="I193" s="140"/>
      <c r="J193" s="140"/>
      <c r="K193" s="142">
        <v>0</v>
      </c>
      <c r="L193"/>
    </row>
    <row r="194" spans="1:12" x14ac:dyDescent="0.3">
      <c r="A194" s="94" t="s">
        <v>966</v>
      </c>
      <c r="B194" s="140"/>
      <c r="C194" s="140"/>
      <c r="D194" s="140">
        <v>0</v>
      </c>
      <c r="E194" s="140"/>
      <c r="F194" s="140">
        <v>0</v>
      </c>
      <c r="G194" s="140"/>
      <c r="H194" s="140"/>
      <c r="I194" s="140"/>
      <c r="J194" s="140"/>
      <c r="K194" s="142">
        <v>0</v>
      </c>
      <c r="L194"/>
    </row>
    <row r="195" spans="1:12" x14ac:dyDescent="0.3">
      <c r="A195" s="94" t="s">
        <v>916</v>
      </c>
      <c r="B195" s="140"/>
      <c r="C195" s="140"/>
      <c r="D195" s="140">
        <v>0</v>
      </c>
      <c r="E195" s="140"/>
      <c r="F195" s="140">
        <v>0</v>
      </c>
      <c r="G195" s="140"/>
      <c r="H195" s="140"/>
      <c r="I195" s="140"/>
      <c r="J195" s="140"/>
      <c r="K195" s="142">
        <v>0</v>
      </c>
      <c r="L195"/>
    </row>
    <row r="196" spans="1:12" x14ac:dyDescent="0.3">
      <c r="A196" s="94" t="s">
        <v>967</v>
      </c>
      <c r="B196" s="140"/>
      <c r="C196" s="140"/>
      <c r="D196" s="140"/>
      <c r="E196" s="140"/>
      <c r="F196" s="140">
        <v>0</v>
      </c>
      <c r="G196" s="140"/>
      <c r="H196" s="140"/>
      <c r="I196" s="140"/>
      <c r="J196" s="140"/>
      <c r="K196" s="142">
        <v>0</v>
      </c>
      <c r="L196"/>
    </row>
    <row r="197" spans="1:12" x14ac:dyDescent="0.3">
      <c r="A197" s="94" t="s">
        <v>968</v>
      </c>
      <c r="B197" s="140"/>
      <c r="C197" s="140"/>
      <c r="D197" s="140"/>
      <c r="E197" s="140"/>
      <c r="F197" s="140">
        <v>0</v>
      </c>
      <c r="G197" s="140"/>
      <c r="H197" s="140"/>
      <c r="I197" s="140"/>
      <c r="J197" s="140"/>
      <c r="K197" s="142">
        <v>0</v>
      </c>
      <c r="L197"/>
    </row>
    <row r="198" spans="1:12" x14ac:dyDescent="0.3">
      <c r="A198" s="94" t="s">
        <v>969</v>
      </c>
      <c r="B198" s="140"/>
      <c r="C198" s="140"/>
      <c r="D198" s="140"/>
      <c r="E198" s="140"/>
      <c r="F198" s="140">
        <v>0</v>
      </c>
      <c r="G198" s="140"/>
      <c r="H198" s="140"/>
      <c r="I198" s="140"/>
      <c r="J198" s="140"/>
      <c r="K198" s="142">
        <v>0</v>
      </c>
      <c r="L198"/>
    </row>
    <row r="199" spans="1:12" x14ac:dyDescent="0.3">
      <c r="A199" s="3" t="s">
        <v>517</v>
      </c>
      <c r="B199" s="140"/>
      <c r="C199" s="140"/>
      <c r="D199" s="140">
        <v>14</v>
      </c>
      <c r="E199" s="140">
        <v>14</v>
      </c>
      <c r="F199" s="140">
        <v>33</v>
      </c>
      <c r="G199" s="140"/>
      <c r="H199" s="140">
        <v>3</v>
      </c>
      <c r="I199" s="140">
        <v>3</v>
      </c>
      <c r="J199" s="140"/>
      <c r="K199" s="142">
        <v>67</v>
      </c>
      <c r="L199"/>
    </row>
    <row r="200" spans="1:12" x14ac:dyDescent="0.3">
      <c r="A200" s="94" t="s">
        <v>975</v>
      </c>
      <c r="B200" s="140"/>
      <c r="C200" s="140"/>
      <c r="D200" s="140">
        <v>6</v>
      </c>
      <c r="E200" s="140"/>
      <c r="F200" s="140">
        <v>10</v>
      </c>
      <c r="G200" s="140"/>
      <c r="H200" s="140"/>
      <c r="I200" s="140"/>
      <c r="J200" s="140"/>
      <c r="K200" s="142">
        <v>16</v>
      </c>
      <c r="L200"/>
    </row>
    <row r="201" spans="1:12" x14ac:dyDescent="0.3">
      <c r="A201" s="94" t="s">
        <v>976</v>
      </c>
      <c r="B201" s="140"/>
      <c r="C201" s="140"/>
      <c r="D201" s="140"/>
      <c r="E201" s="140">
        <v>3</v>
      </c>
      <c r="F201" s="140">
        <v>6</v>
      </c>
      <c r="G201" s="140"/>
      <c r="H201" s="140">
        <v>3</v>
      </c>
      <c r="I201" s="140">
        <v>3</v>
      </c>
      <c r="J201" s="140"/>
      <c r="K201" s="142">
        <v>15</v>
      </c>
      <c r="L201"/>
    </row>
    <row r="202" spans="1:12" x14ac:dyDescent="0.3">
      <c r="A202" s="94" t="s">
        <v>977</v>
      </c>
      <c r="B202" s="140"/>
      <c r="C202" s="140"/>
      <c r="D202" s="140">
        <v>3</v>
      </c>
      <c r="E202" s="140"/>
      <c r="F202" s="140">
        <v>6</v>
      </c>
      <c r="G202" s="140"/>
      <c r="H202" s="140"/>
      <c r="I202" s="140"/>
      <c r="J202" s="140"/>
      <c r="K202" s="142">
        <v>9</v>
      </c>
      <c r="L202"/>
    </row>
    <row r="203" spans="1:12" x14ac:dyDescent="0.3">
      <c r="A203" s="94" t="s">
        <v>978</v>
      </c>
      <c r="B203" s="140"/>
      <c r="C203" s="140"/>
      <c r="D203" s="140"/>
      <c r="E203" s="140"/>
      <c r="F203" s="140">
        <v>8</v>
      </c>
      <c r="G203" s="140"/>
      <c r="H203" s="140"/>
      <c r="I203" s="140"/>
      <c r="J203" s="140"/>
      <c r="K203" s="142">
        <v>8</v>
      </c>
      <c r="L203"/>
    </row>
    <row r="204" spans="1:12" x14ac:dyDescent="0.3">
      <c r="A204" s="94" t="s">
        <v>979</v>
      </c>
      <c r="B204" s="140"/>
      <c r="C204" s="140"/>
      <c r="D204" s="140"/>
      <c r="E204" s="140">
        <v>6</v>
      </c>
      <c r="F204" s="140">
        <v>0</v>
      </c>
      <c r="G204" s="140"/>
      <c r="H204" s="140"/>
      <c r="I204" s="140"/>
      <c r="J204" s="140"/>
      <c r="K204" s="142">
        <v>6</v>
      </c>
      <c r="L204"/>
    </row>
    <row r="205" spans="1:12" x14ac:dyDescent="0.3">
      <c r="A205" s="94" t="s">
        <v>980</v>
      </c>
      <c r="B205" s="140"/>
      <c r="C205" s="140"/>
      <c r="D205" s="140">
        <v>5</v>
      </c>
      <c r="E205" s="140"/>
      <c r="F205" s="140">
        <v>0</v>
      </c>
      <c r="G205" s="140"/>
      <c r="H205" s="140"/>
      <c r="I205" s="140"/>
      <c r="J205" s="140"/>
      <c r="K205" s="142">
        <v>5</v>
      </c>
      <c r="L205"/>
    </row>
    <row r="206" spans="1:12" x14ac:dyDescent="0.3">
      <c r="A206" s="94" t="s">
        <v>981</v>
      </c>
      <c r="B206" s="140"/>
      <c r="C206" s="140"/>
      <c r="D206" s="140"/>
      <c r="E206" s="140">
        <v>5</v>
      </c>
      <c r="F206" s="140">
        <v>0</v>
      </c>
      <c r="G206" s="140"/>
      <c r="H206" s="140"/>
      <c r="I206" s="140"/>
      <c r="J206" s="140"/>
      <c r="K206" s="142">
        <v>5</v>
      </c>
      <c r="L206"/>
    </row>
    <row r="207" spans="1:12" x14ac:dyDescent="0.3">
      <c r="A207" s="94" t="s">
        <v>982</v>
      </c>
      <c r="B207" s="140"/>
      <c r="C207" s="140"/>
      <c r="D207" s="140"/>
      <c r="E207" s="140"/>
      <c r="F207" s="140">
        <v>3</v>
      </c>
      <c r="G207" s="140"/>
      <c r="H207" s="140"/>
      <c r="I207" s="140"/>
      <c r="J207" s="140"/>
      <c r="K207" s="142">
        <v>3</v>
      </c>
      <c r="L207"/>
    </row>
    <row r="208" spans="1:12" x14ac:dyDescent="0.3">
      <c r="A208" s="94" t="s">
        <v>983</v>
      </c>
      <c r="B208" s="140"/>
      <c r="C208" s="140"/>
      <c r="D208" s="140"/>
      <c r="E208" s="140"/>
      <c r="F208" s="140">
        <v>0</v>
      </c>
      <c r="G208" s="140"/>
      <c r="H208" s="140">
        <v>0</v>
      </c>
      <c r="I208" s="140">
        <v>0</v>
      </c>
      <c r="J208" s="140"/>
      <c r="K208" s="142">
        <v>0</v>
      </c>
      <c r="L208"/>
    </row>
    <row r="209" spans="1:12" x14ac:dyDescent="0.3">
      <c r="A209" s="94" t="s">
        <v>984</v>
      </c>
      <c r="B209" s="140"/>
      <c r="C209" s="140"/>
      <c r="D209" s="140"/>
      <c r="E209" s="140"/>
      <c r="F209" s="140">
        <v>0</v>
      </c>
      <c r="G209" s="140"/>
      <c r="H209" s="140"/>
      <c r="I209" s="140"/>
      <c r="J209" s="140"/>
      <c r="K209" s="142">
        <v>0</v>
      </c>
      <c r="L209"/>
    </row>
    <row r="210" spans="1:12" x14ac:dyDescent="0.3">
      <c r="A210" s="94" t="s">
        <v>985</v>
      </c>
      <c r="B210" s="140"/>
      <c r="C210" s="140"/>
      <c r="D210" s="140"/>
      <c r="E210" s="140"/>
      <c r="F210" s="140">
        <v>0</v>
      </c>
      <c r="G210" s="140"/>
      <c r="H210" s="140"/>
      <c r="I210" s="140"/>
      <c r="J210" s="140"/>
      <c r="K210" s="142">
        <v>0</v>
      </c>
      <c r="L210"/>
    </row>
    <row r="211" spans="1:12" x14ac:dyDescent="0.3">
      <c r="A211" s="3" t="s">
        <v>526</v>
      </c>
      <c r="B211" s="140"/>
      <c r="C211" s="140"/>
      <c r="D211" s="140">
        <v>17</v>
      </c>
      <c r="E211" s="140">
        <v>19</v>
      </c>
      <c r="F211" s="140">
        <v>30</v>
      </c>
      <c r="G211" s="140"/>
      <c r="H211" s="140"/>
      <c r="I211" s="140"/>
      <c r="J211" s="140"/>
      <c r="K211" s="142">
        <v>66</v>
      </c>
      <c r="L211"/>
    </row>
    <row r="212" spans="1:12" x14ac:dyDescent="0.3">
      <c r="A212" s="94" t="s">
        <v>986</v>
      </c>
      <c r="B212" s="140"/>
      <c r="C212" s="140"/>
      <c r="D212" s="140"/>
      <c r="E212" s="140">
        <v>5</v>
      </c>
      <c r="F212" s="140">
        <v>8</v>
      </c>
      <c r="G212" s="140"/>
      <c r="H212" s="140"/>
      <c r="I212" s="140"/>
      <c r="J212" s="140"/>
      <c r="K212" s="142">
        <v>13</v>
      </c>
      <c r="L212"/>
    </row>
    <row r="213" spans="1:12" x14ac:dyDescent="0.3">
      <c r="A213" s="94" t="s">
        <v>987</v>
      </c>
      <c r="B213" s="140"/>
      <c r="C213" s="140"/>
      <c r="D213" s="140"/>
      <c r="E213" s="140">
        <v>6</v>
      </c>
      <c r="F213" s="140">
        <v>4</v>
      </c>
      <c r="G213" s="140"/>
      <c r="H213" s="140"/>
      <c r="I213" s="140"/>
      <c r="J213" s="140"/>
      <c r="K213" s="142">
        <v>10</v>
      </c>
      <c r="L213"/>
    </row>
    <row r="214" spans="1:12" x14ac:dyDescent="0.3">
      <c r="A214" s="94" t="s">
        <v>975</v>
      </c>
      <c r="B214" s="140"/>
      <c r="C214" s="140"/>
      <c r="D214" s="140">
        <v>6</v>
      </c>
      <c r="E214" s="140"/>
      <c r="F214" s="140">
        <v>4</v>
      </c>
      <c r="G214" s="140"/>
      <c r="H214" s="140"/>
      <c r="I214" s="140"/>
      <c r="J214" s="140"/>
      <c r="K214" s="142">
        <v>10</v>
      </c>
      <c r="L214"/>
    </row>
    <row r="215" spans="1:12" x14ac:dyDescent="0.3">
      <c r="A215" s="94" t="s">
        <v>842</v>
      </c>
      <c r="B215" s="140"/>
      <c r="C215" s="140"/>
      <c r="D215" s="140"/>
      <c r="E215" s="140">
        <v>3</v>
      </c>
      <c r="F215" s="140">
        <v>6</v>
      </c>
      <c r="G215" s="140"/>
      <c r="H215" s="140"/>
      <c r="I215" s="140"/>
      <c r="J215" s="140"/>
      <c r="K215" s="142">
        <v>9</v>
      </c>
      <c r="L215"/>
    </row>
    <row r="216" spans="1:12" x14ac:dyDescent="0.3">
      <c r="A216" s="94" t="s">
        <v>978</v>
      </c>
      <c r="B216" s="140"/>
      <c r="C216" s="140"/>
      <c r="D216" s="140">
        <v>5</v>
      </c>
      <c r="E216" s="140"/>
      <c r="F216" s="140">
        <v>2</v>
      </c>
      <c r="G216" s="140"/>
      <c r="H216" s="140"/>
      <c r="I216" s="140"/>
      <c r="J216" s="140"/>
      <c r="K216" s="142">
        <v>7</v>
      </c>
      <c r="L216"/>
    </row>
    <row r="217" spans="1:12" x14ac:dyDescent="0.3">
      <c r="A217" s="94" t="s">
        <v>982</v>
      </c>
      <c r="B217" s="140"/>
      <c r="C217" s="140"/>
      <c r="D217" s="140">
        <v>3</v>
      </c>
      <c r="E217" s="140"/>
      <c r="F217" s="140">
        <v>0</v>
      </c>
      <c r="G217" s="140"/>
      <c r="H217" s="140"/>
      <c r="I217" s="140"/>
      <c r="J217" s="140"/>
      <c r="K217" s="142">
        <v>3</v>
      </c>
      <c r="L217"/>
    </row>
    <row r="218" spans="1:12" x14ac:dyDescent="0.3">
      <c r="A218" s="94" t="s">
        <v>983</v>
      </c>
      <c r="B218" s="140"/>
      <c r="C218" s="140"/>
      <c r="D218" s="140"/>
      <c r="E218" s="140">
        <v>3</v>
      </c>
      <c r="F218" s="140">
        <v>0</v>
      </c>
      <c r="G218" s="140"/>
      <c r="H218" s="140"/>
      <c r="I218" s="140"/>
      <c r="J218" s="140"/>
      <c r="K218" s="142">
        <v>3</v>
      </c>
      <c r="L218"/>
    </row>
    <row r="219" spans="1:12" x14ac:dyDescent="0.3">
      <c r="A219" s="94" t="s">
        <v>988</v>
      </c>
      <c r="B219" s="140"/>
      <c r="C219" s="140"/>
      <c r="D219" s="140">
        <v>3</v>
      </c>
      <c r="E219" s="140"/>
      <c r="F219" s="140">
        <v>0</v>
      </c>
      <c r="G219" s="140"/>
      <c r="H219" s="140"/>
      <c r="I219" s="140"/>
      <c r="J219" s="140"/>
      <c r="K219" s="142">
        <v>3</v>
      </c>
      <c r="L219"/>
    </row>
    <row r="220" spans="1:12" x14ac:dyDescent="0.3">
      <c r="A220" s="94" t="s">
        <v>989</v>
      </c>
      <c r="B220" s="140"/>
      <c r="C220" s="140"/>
      <c r="D220" s="140"/>
      <c r="E220" s="140">
        <v>0</v>
      </c>
      <c r="F220" s="140">
        <v>2</v>
      </c>
      <c r="G220" s="140"/>
      <c r="H220" s="140"/>
      <c r="I220" s="140"/>
      <c r="J220" s="140"/>
      <c r="K220" s="142">
        <v>2</v>
      </c>
      <c r="L220"/>
    </row>
    <row r="221" spans="1:12" x14ac:dyDescent="0.3">
      <c r="A221" s="94" t="s">
        <v>985</v>
      </c>
      <c r="B221" s="140"/>
      <c r="C221" s="140"/>
      <c r="D221" s="140"/>
      <c r="E221" s="140">
        <v>0</v>
      </c>
      <c r="F221" s="140">
        <v>2</v>
      </c>
      <c r="G221" s="140"/>
      <c r="H221" s="140"/>
      <c r="I221" s="140"/>
      <c r="J221" s="140"/>
      <c r="K221" s="142">
        <v>2</v>
      </c>
      <c r="L221"/>
    </row>
    <row r="222" spans="1:12" x14ac:dyDescent="0.3">
      <c r="A222" s="94" t="s">
        <v>990</v>
      </c>
      <c r="B222" s="140"/>
      <c r="C222" s="140"/>
      <c r="D222" s="140">
        <v>0</v>
      </c>
      <c r="E222" s="140"/>
      <c r="F222" s="140">
        <v>2</v>
      </c>
      <c r="G222" s="140"/>
      <c r="H222" s="140"/>
      <c r="I222" s="140"/>
      <c r="J222" s="140"/>
      <c r="K222" s="142">
        <v>2</v>
      </c>
      <c r="L222"/>
    </row>
    <row r="223" spans="1:12" x14ac:dyDescent="0.3">
      <c r="A223" s="94" t="s">
        <v>991</v>
      </c>
      <c r="B223" s="140"/>
      <c r="C223" s="140"/>
      <c r="D223" s="140"/>
      <c r="E223" s="140">
        <v>1</v>
      </c>
      <c r="F223" s="140">
        <v>0</v>
      </c>
      <c r="G223" s="140"/>
      <c r="H223" s="140"/>
      <c r="I223" s="140"/>
      <c r="J223" s="140"/>
      <c r="K223" s="142">
        <v>1</v>
      </c>
      <c r="L223"/>
    </row>
    <row r="224" spans="1:12" x14ac:dyDescent="0.3">
      <c r="A224" s="94" t="s">
        <v>847</v>
      </c>
      <c r="B224" s="140"/>
      <c r="C224" s="140"/>
      <c r="D224" s="140"/>
      <c r="E224" s="140">
        <v>1</v>
      </c>
      <c r="F224" s="140">
        <v>0</v>
      </c>
      <c r="G224" s="140"/>
      <c r="H224" s="140"/>
      <c r="I224" s="140"/>
      <c r="J224" s="140"/>
      <c r="K224" s="142">
        <v>1</v>
      </c>
      <c r="L224"/>
    </row>
    <row r="225" spans="1:12" x14ac:dyDescent="0.3">
      <c r="A225" s="94" t="s">
        <v>981</v>
      </c>
      <c r="B225" s="140"/>
      <c r="C225" s="140"/>
      <c r="D225" s="140"/>
      <c r="E225" s="140">
        <v>0</v>
      </c>
      <c r="F225" s="140"/>
      <c r="G225" s="140"/>
      <c r="H225" s="140"/>
      <c r="I225" s="140"/>
      <c r="J225" s="140"/>
      <c r="K225" s="142">
        <v>0</v>
      </c>
      <c r="L225"/>
    </row>
    <row r="226" spans="1:12" x14ac:dyDescent="0.3">
      <c r="A226" s="94" t="s">
        <v>992</v>
      </c>
      <c r="B226" s="140"/>
      <c r="C226" s="140"/>
      <c r="D226" s="140"/>
      <c r="E226" s="140">
        <v>0</v>
      </c>
      <c r="F226" s="140"/>
      <c r="G226" s="140"/>
      <c r="H226" s="140"/>
      <c r="I226" s="140"/>
      <c r="J226" s="140"/>
      <c r="K226" s="142">
        <v>0</v>
      </c>
      <c r="L226"/>
    </row>
    <row r="227" spans="1:12" x14ac:dyDescent="0.3">
      <c r="A227" s="94" t="s">
        <v>976</v>
      </c>
      <c r="B227" s="140"/>
      <c r="C227" s="140"/>
      <c r="D227" s="140"/>
      <c r="E227" s="140">
        <v>0</v>
      </c>
      <c r="F227" s="140">
        <v>0</v>
      </c>
      <c r="G227" s="140"/>
      <c r="H227" s="140"/>
      <c r="I227" s="140"/>
      <c r="J227" s="140"/>
      <c r="K227" s="142">
        <v>0</v>
      </c>
      <c r="L227"/>
    </row>
    <row r="228" spans="1:12" x14ac:dyDescent="0.3">
      <c r="A228" s="94" t="s">
        <v>993</v>
      </c>
      <c r="B228" s="140"/>
      <c r="C228" s="140"/>
      <c r="D228" s="140">
        <v>0</v>
      </c>
      <c r="E228" s="140"/>
      <c r="F228" s="140"/>
      <c r="G228" s="140"/>
      <c r="H228" s="140"/>
      <c r="I228" s="140"/>
      <c r="J228" s="140"/>
      <c r="K228" s="142">
        <v>0</v>
      </c>
      <c r="L228"/>
    </row>
    <row r="229" spans="1:12" x14ac:dyDescent="0.3">
      <c r="A229" s="94" t="s">
        <v>994</v>
      </c>
      <c r="B229" s="140"/>
      <c r="C229" s="140"/>
      <c r="D229" s="140"/>
      <c r="E229" s="140">
        <v>0</v>
      </c>
      <c r="F229" s="140"/>
      <c r="G229" s="140"/>
      <c r="H229" s="140"/>
      <c r="I229" s="140"/>
      <c r="J229" s="140"/>
      <c r="K229" s="142">
        <v>0</v>
      </c>
      <c r="L229"/>
    </row>
    <row r="230" spans="1:12" x14ac:dyDescent="0.3">
      <c r="A230" s="94" t="s">
        <v>995</v>
      </c>
      <c r="B230" s="140"/>
      <c r="C230" s="140"/>
      <c r="D230" s="140">
        <v>0</v>
      </c>
      <c r="E230" s="140"/>
      <c r="F230" s="140"/>
      <c r="G230" s="140"/>
      <c r="H230" s="140"/>
      <c r="I230" s="140"/>
      <c r="J230" s="140"/>
      <c r="K230" s="142">
        <v>0</v>
      </c>
      <c r="L230"/>
    </row>
    <row r="231" spans="1:12" x14ac:dyDescent="0.3">
      <c r="A231" s="94" t="s">
        <v>996</v>
      </c>
      <c r="B231" s="140"/>
      <c r="C231" s="140"/>
      <c r="D231" s="140"/>
      <c r="E231" s="140">
        <v>0</v>
      </c>
      <c r="F231" s="140"/>
      <c r="G231" s="140"/>
      <c r="H231" s="140"/>
      <c r="I231" s="140"/>
      <c r="J231" s="140"/>
      <c r="K231" s="142">
        <v>0</v>
      </c>
      <c r="L231"/>
    </row>
    <row r="232" spans="1:12" x14ac:dyDescent="0.3">
      <c r="A232" s="94" t="s">
        <v>997</v>
      </c>
      <c r="B232" s="140"/>
      <c r="C232" s="140"/>
      <c r="D232" s="140"/>
      <c r="E232" s="140">
        <v>0</v>
      </c>
      <c r="F232" s="140"/>
      <c r="G232" s="140"/>
      <c r="H232" s="140"/>
      <c r="I232" s="140"/>
      <c r="J232" s="140"/>
      <c r="K232" s="142">
        <v>0</v>
      </c>
      <c r="L232"/>
    </row>
    <row r="233" spans="1:12" x14ac:dyDescent="0.3">
      <c r="A233" s="94" t="s">
        <v>998</v>
      </c>
      <c r="B233" s="140"/>
      <c r="C233" s="140"/>
      <c r="D233" s="140">
        <v>0</v>
      </c>
      <c r="E233" s="140"/>
      <c r="F233" s="140">
        <v>0</v>
      </c>
      <c r="G233" s="140"/>
      <c r="H233" s="140"/>
      <c r="I233" s="140"/>
      <c r="J233" s="140"/>
      <c r="K233" s="142">
        <v>0</v>
      </c>
      <c r="L233"/>
    </row>
    <row r="234" spans="1:12" x14ac:dyDescent="0.3">
      <c r="A234" s="3" t="s">
        <v>486</v>
      </c>
      <c r="B234" s="140"/>
      <c r="C234" s="140">
        <v>6</v>
      </c>
      <c r="D234" s="140"/>
      <c r="E234" s="140"/>
      <c r="F234" s="140"/>
      <c r="G234" s="140"/>
      <c r="H234" s="140"/>
      <c r="I234" s="140"/>
      <c r="J234" s="140">
        <v>60</v>
      </c>
      <c r="K234" s="142">
        <v>66</v>
      </c>
      <c r="L234"/>
    </row>
    <row r="235" spans="1:12" x14ac:dyDescent="0.3">
      <c r="A235" s="94" t="s">
        <v>569</v>
      </c>
      <c r="B235" s="140"/>
      <c r="C235" s="140">
        <v>6</v>
      </c>
      <c r="D235" s="140"/>
      <c r="E235" s="140"/>
      <c r="F235" s="140"/>
      <c r="G235" s="140"/>
      <c r="H235" s="140"/>
      <c r="I235" s="140"/>
      <c r="J235" s="140">
        <v>60</v>
      </c>
      <c r="K235" s="142">
        <v>66</v>
      </c>
      <c r="L235"/>
    </row>
    <row r="236" spans="1:12" x14ac:dyDescent="0.3">
      <c r="A236" s="3" t="s">
        <v>513</v>
      </c>
      <c r="B236" s="140"/>
      <c r="C236" s="140"/>
      <c r="D236" s="140">
        <v>11</v>
      </c>
      <c r="E236" s="140">
        <v>21</v>
      </c>
      <c r="F236" s="140">
        <v>33</v>
      </c>
      <c r="G236" s="140"/>
      <c r="H236" s="140"/>
      <c r="I236" s="140"/>
      <c r="J236" s="140"/>
      <c r="K236" s="142">
        <v>65</v>
      </c>
      <c r="L236"/>
    </row>
    <row r="237" spans="1:12" x14ac:dyDescent="0.3">
      <c r="A237" s="94" t="s">
        <v>937</v>
      </c>
      <c r="B237" s="140"/>
      <c r="C237" s="140"/>
      <c r="D237" s="140"/>
      <c r="E237" s="140">
        <v>8</v>
      </c>
      <c r="F237" s="140">
        <v>10</v>
      </c>
      <c r="G237" s="140"/>
      <c r="H237" s="140"/>
      <c r="I237" s="140"/>
      <c r="J237" s="140"/>
      <c r="K237" s="142">
        <v>18</v>
      </c>
      <c r="L237"/>
    </row>
    <row r="238" spans="1:12" x14ac:dyDescent="0.3">
      <c r="A238" s="94" t="s">
        <v>999</v>
      </c>
      <c r="B238" s="140"/>
      <c r="C238" s="140"/>
      <c r="D238" s="140"/>
      <c r="E238" s="140">
        <v>6</v>
      </c>
      <c r="F238" s="140">
        <v>8</v>
      </c>
      <c r="G238" s="140"/>
      <c r="H238" s="140"/>
      <c r="I238" s="140"/>
      <c r="J238" s="140"/>
      <c r="K238" s="142">
        <v>14</v>
      </c>
      <c r="L238"/>
    </row>
    <row r="239" spans="1:12" x14ac:dyDescent="0.3">
      <c r="A239" s="94" t="s">
        <v>1000</v>
      </c>
      <c r="B239" s="140"/>
      <c r="C239" s="140"/>
      <c r="D239" s="140">
        <v>6</v>
      </c>
      <c r="E239" s="140"/>
      <c r="F239" s="140">
        <v>6</v>
      </c>
      <c r="G239" s="140"/>
      <c r="H239" s="140"/>
      <c r="I239" s="140"/>
      <c r="J239" s="140"/>
      <c r="K239" s="142">
        <v>12</v>
      </c>
      <c r="L239"/>
    </row>
    <row r="240" spans="1:12" x14ac:dyDescent="0.3">
      <c r="A240" s="94" t="s">
        <v>1001</v>
      </c>
      <c r="B240" s="140"/>
      <c r="C240" s="140"/>
      <c r="D240" s="140">
        <v>5</v>
      </c>
      <c r="E240" s="140"/>
      <c r="F240" s="140">
        <v>6</v>
      </c>
      <c r="G240" s="140"/>
      <c r="H240" s="140"/>
      <c r="I240" s="140"/>
      <c r="J240" s="140"/>
      <c r="K240" s="142">
        <v>11</v>
      </c>
      <c r="L240"/>
    </row>
    <row r="241" spans="1:12" x14ac:dyDescent="0.3">
      <c r="A241" s="94" t="s">
        <v>1002</v>
      </c>
      <c r="B241" s="140"/>
      <c r="C241" s="140"/>
      <c r="D241" s="140"/>
      <c r="E241" s="140">
        <v>4</v>
      </c>
      <c r="F241" s="140">
        <v>3</v>
      </c>
      <c r="G241" s="140"/>
      <c r="H241" s="140"/>
      <c r="I241" s="140"/>
      <c r="J241" s="140"/>
      <c r="K241" s="142">
        <v>7</v>
      </c>
      <c r="L241"/>
    </row>
    <row r="242" spans="1:12" x14ac:dyDescent="0.3">
      <c r="A242" s="94" t="s">
        <v>1003</v>
      </c>
      <c r="B242" s="140"/>
      <c r="C242" s="140"/>
      <c r="D242" s="140"/>
      <c r="E242" s="140">
        <v>3</v>
      </c>
      <c r="F242" s="140">
        <v>0</v>
      </c>
      <c r="G242" s="140"/>
      <c r="H242" s="140"/>
      <c r="I242" s="140"/>
      <c r="J242" s="140"/>
      <c r="K242" s="142">
        <v>3</v>
      </c>
      <c r="L242"/>
    </row>
    <row r="243" spans="1:12" x14ac:dyDescent="0.3">
      <c r="A243" s="94" t="s">
        <v>1004</v>
      </c>
      <c r="B243" s="140"/>
      <c r="C243" s="140"/>
      <c r="D243" s="140">
        <v>0</v>
      </c>
      <c r="E243" s="140"/>
      <c r="F243" s="140"/>
      <c r="G243" s="140"/>
      <c r="H243" s="140"/>
      <c r="I243" s="140"/>
      <c r="J243" s="140"/>
      <c r="K243" s="142">
        <v>0</v>
      </c>
      <c r="L243"/>
    </row>
    <row r="244" spans="1:12" x14ac:dyDescent="0.3">
      <c r="A244" s="94" t="s">
        <v>1005</v>
      </c>
      <c r="B244" s="140"/>
      <c r="C244" s="140"/>
      <c r="D244" s="140"/>
      <c r="E244" s="140"/>
      <c r="F244" s="140">
        <v>0</v>
      </c>
      <c r="G244" s="140"/>
      <c r="H244" s="140"/>
      <c r="I244" s="140"/>
      <c r="J244" s="140"/>
      <c r="K244" s="142">
        <v>0</v>
      </c>
      <c r="L244"/>
    </row>
    <row r="245" spans="1:12" x14ac:dyDescent="0.3">
      <c r="A245" s="94" t="s">
        <v>1006</v>
      </c>
      <c r="B245" s="140"/>
      <c r="C245" s="140"/>
      <c r="D245" s="140">
        <v>0</v>
      </c>
      <c r="E245" s="140"/>
      <c r="F245" s="140"/>
      <c r="G245" s="140"/>
      <c r="H245" s="140"/>
      <c r="I245" s="140"/>
      <c r="J245" s="140"/>
      <c r="K245" s="142">
        <v>0</v>
      </c>
      <c r="L245"/>
    </row>
    <row r="246" spans="1:12" x14ac:dyDescent="0.3">
      <c r="A246" s="94" t="s">
        <v>1007</v>
      </c>
      <c r="B246" s="140"/>
      <c r="C246" s="140"/>
      <c r="D246" s="140">
        <v>0</v>
      </c>
      <c r="E246" s="140"/>
      <c r="F246" s="140">
        <v>0</v>
      </c>
      <c r="G246" s="140"/>
      <c r="H246" s="140"/>
      <c r="I246" s="140"/>
      <c r="J246" s="140"/>
      <c r="K246" s="142">
        <v>0</v>
      </c>
      <c r="L246"/>
    </row>
    <row r="247" spans="1:12" x14ac:dyDescent="0.3">
      <c r="A247" s="94" t="s">
        <v>946</v>
      </c>
      <c r="B247" s="140"/>
      <c r="C247" s="140"/>
      <c r="D247" s="140">
        <v>0</v>
      </c>
      <c r="E247" s="140"/>
      <c r="F247" s="140">
        <v>0</v>
      </c>
      <c r="G247" s="140"/>
      <c r="H247" s="140"/>
      <c r="I247" s="140"/>
      <c r="J247" s="140"/>
      <c r="K247" s="142">
        <v>0</v>
      </c>
      <c r="L247"/>
    </row>
    <row r="248" spans="1:12" x14ac:dyDescent="0.3">
      <c r="A248" s="3" t="s">
        <v>537</v>
      </c>
      <c r="B248" s="140"/>
      <c r="C248" s="140"/>
      <c r="D248" s="140">
        <v>18</v>
      </c>
      <c r="E248" s="140">
        <v>12</v>
      </c>
      <c r="F248" s="140">
        <v>33</v>
      </c>
      <c r="G248" s="140"/>
      <c r="H248" s="140"/>
      <c r="I248" s="140"/>
      <c r="J248" s="140"/>
      <c r="K248" s="142">
        <v>63</v>
      </c>
      <c r="L248"/>
    </row>
    <row r="249" spans="1:12" x14ac:dyDescent="0.3">
      <c r="A249" s="94" t="s">
        <v>1008</v>
      </c>
      <c r="B249" s="140"/>
      <c r="C249" s="140"/>
      <c r="D249" s="140"/>
      <c r="E249" s="140">
        <v>5</v>
      </c>
      <c r="F249" s="140">
        <v>7</v>
      </c>
      <c r="G249" s="140"/>
      <c r="H249" s="140"/>
      <c r="I249" s="140"/>
      <c r="J249" s="140"/>
      <c r="K249" s="142">
        <v>12</v>
      </c>
      <c r="L249"/>
    </row>
    <row r="250" spans="1:12" x14ac:dyDescent="0.3">
      <c r="A250" s="94" t="s">
        <v>1009</v>
      </c>
      <c r="B250" s="140"/>
      <c r="C250" s="140"/>
      <c r="D250" s="140"/>
      <c r="E250" s="140">
        <v>6</v>
      </c>
      <c r="F250" s="140">
        <v>5</v>
      </c>
      <c r="G250" s="140"/>
      <c r="H250" s="140"/>
      <c r="I250" s="140"/>
      <c r="J250" s="140"/>
      <c r="K250" s="142">
        <v>11</v>
      </c>
      <c r="L250"/>
    </row>
    <row r="251" spans="1:12" x14ac:dyDescent="0.3">
      <c r="A251" s="94" t="s">
        <v>1010</v>
      </c>
      <c r="B251" s="140"/>
      <c r="C251" s="140"/>
      <c r="D251" s="140">
        <v>6</v>
      </c>
      <c r="E251" s="140"/>
      <c r="F251" s="140">
        <v>5</v>
      </c>
      <c r="G251" s="140"/>
      <c r="H251" s="140"/>
      <c r="I251" s="140"/>
      <c r="J251" s="140"/>
      <c r="K251" s="142">
        <v>11</v>
      </c>
      <c r="L251"/>
    </row>
    <row r="252" spans="1:12" x14ac:dyDescent="0.3">
      <c r="A252" s="94" t="s">
        <v>1011</v>
      </c>
      <c r="B252" s="140"/>
      <c r="C252" s="140"/>
      <c r="D252" s="140"/>
      <c r="E252" s="140">
        <v>0</v>
      </c>
      <c r="F252" s="140">
        <v>10</v>
      </c>
      <c r="G252" s="140"/>
      <c r="H252" s="140"/>
      <c r="I252" s="140"/>
      <c r="J252" s="140"/>
      <c r="K252" s="142">
        <v>10</v>
      </c>
      <c r="L252"/>
    </row>
    <row r="253" spans="1:12" x14ac:dyDescent="0.3">
      <c r="A253" s="94" t="s">
        <v>1012</v>
      </c>
      <c r="B253" s="140"/>
      <c r="C253" s="140"/>
      <c r="D253" s="140">
        <v>5</v>
      </c>
      <c r="E253" s="140"/>
      <c r="F253" s="140">
        <v>0</v>
      </c>
      <c r="G253" s="140"/>
      <c r="H253" s="140"/>
      <c r="I253" s="140"/>
      <c r="J253" s="140"/>
      <c r="K253" s="142">
        <v>5</v>
      </c>
      <c r="L253"/>
    </row>
    <row r="254" spans="1:12" x14ac:dyDescent="0.3">
      <c r="A254" s="94" t="s">
        <v>1013</v>
      </c>
      <c r="B254" s="140"/>
      <c r="C254" s="140"/>
      <c r="D254" s="140">
        <v>3</v>
      </c>
      <c r="E254" s="140"/>
      <c r="F254" s="140">
        <v>0</v>
      </c>
      <c r="G254" s="140"/>
      <c r="H254" s="140"/>
      <c r="I254" s="140"/>
      <c r="J254" s="140"/>
      <c r="K254" s="142">
        <v>3</v>
      </c>
      <c r="L254"/>
    </row>
    <row r="255" spans="1:12" x14ac:dyDescent="0.3">
      <c r="A255" s="94" t="s">
        <v>875</v>
      </c>
      <c r="B255" s="140"/>
      <c r="C255" s="140"/>
      <c r="D255" s="140">
        <v>0</v>
      </c>
      <c r="E255" s="140"/>
      <c r="F255" s="140">
        <v>3</v>
      </c>
      <c r="G255" s="140"/>
      <c r="H255" s="140"/>
      <c r="I255" s="140"/>
      <c r="J255" s="140"/>
      <c r="K255" s="142">
        <v>3</v>
      </c>
      <c r="L255"/>
    </row>
    <row r="256" spans="1:12" x14ac:dyDescent="0.3">
      <c r="A256" s="94" t="s">
        <v>1014</v>
      </c>
      <c r="B256" s="140"/>
      <c r="C256" s="140"/>
      <c r="D256" s="140">
        <v>3</v>
      </c>
      <c r="E256" s="140"/>
      <c r="F256" s="140">
        <v>0</v>
      </c>
      <c r="G256" s="140"/>
      <c r="H256" s="140"/>
      <c r="I256" s="140"/>
      <c r="J256" s="140"/>
      <c r="K256" s="142">
        <v>3</v>
      </c>
      <c r="L256"/>
    </row>
    <row r="257" spans="1:12" x14ac:dyDescent="0.3">
      <c r="A257" s="94" t="s">
        <v>1015</v>
      </c>
      <c r="B257" s="140"/>
      <c r="C257" s="140"/>
      <c r="D257" s="140"/>
      <c r="E257" s="140">
        <v>0</v>
      </c>
      <c r="F257" s="140">
        <v>3</v>
      </c>
      <c r="G257" s="140"/>
      <c r="H257" s="140"/>
      <c r="I257" s="140"/>
      <c r="J257" s="140"/>
      <c r="K257" s="142">
        <v>3</v>
      </c>
      <c r="L257"/>
    </row>
    <row r="258" spans="1:12" x14ac:dyDescent="0.3">
      <c r="A258" s="94" t="s">
        <v>1016</v>
      </c>
      <c r="B258" s="140"/>
      <c r="C258" s="140"/>
      <c r="D258" s="140">
        <v>1</v>
      </c>
      <c r="E258" s="140"/>
      <c r="F258" s="140">
        <v>0</v>
      </c>
      <c r="G258" s="140"/>
      <c r="H258" s="140"/>
      <c r="I258" s="140"/>
      <c r="J258" s="140"/>
      <c r="K258" s="142">
        <v>1</v>
      </c>
      <c r="L258"/>
    </row>
    <row r="259" spans="1:12" x14ac:dyDescent="0.3">
      <c r="A259" s="94" t="s">
        <v>872</v>
      </c>
      <c r="B259" s="140"/>
      <c r="C259" s="140"/>
      <c r="D259" s="140"/>
      <c r="E259" s="140">
        <v>1</v>
      </c>
      <c r="F259" s="140">
        <v>0</v>
      </c>
      <c r="G259" s="140"/>
      <c r="H259" s="140"/>
      <c r="I259" s="140"/>
      <c r="J259" s="140"/>
      <c r="K259" s="142">
        <v>1</v>
      </c>
      <c r="L259"/>
    </row>
    <row r="260" spans="1:12" x14ac:dyDescent="0.3">
      <c r="A260" s="94" t="s">
        <v>1017</v>
      </c>
      <c r="B260" s="140"/>
      <c r="C260" s="140"/>
      <c r="D260" s="140">
        <v>0</v>
      </c>
      <c r="E260" s="140"/>
      <c r="F260" s="140"/>
      <c r="G260" s="140"/>
      <c r="H260" s="140"/>
      <c r="I260" s="140"/>
      <c r="J260" s="140"/>
      <c r="K260" s="142">
        <v>0</v>
      </c>
      <c r="L260"/>
    </row>
    <row r="261" spans="1:12" x14ac:dyDescent="0.3">
      <c r="A261" s="94" t="s">
        <v>1018</v>
      </c>
      <c r="B261" s="140"/>
      <c r="C261" s="140"/>
      <c r="D261" s="140">
        <v>0</v>
      </c>
      <c r="E261" s="140"/>
      <c r="F261" s="140">
        <v>0</v>
      </c>
      <c r="G261" s="140"/>
      <c r="H261" s="140"/>
      <c r="I261" s="140"/>
      <c r="J261" s="140"/>
      <c r="K261" s="142">
        <v>0</v>
      </c>
      <c r="L261"/>
    </row>
    <row r="262" spans="1:12" x14ac:dyDescent="0.3">
      <c r="A262" s="94" t="s">
        <v>1019</v>
      </c>
      <c r="B262" s="140"/>
      <c r="C262" s="140"/>
      <c r="D262" s="140">
        <v>0</v>
      </c>
      <c r="E262" s="140"/>
      <c r="F262" s="140"/>
      <c r="G262" s="140"/>
      <c r="H262" s="140"/>
      <c r="I262" s="140"/>
      <c r="J262" s="140"/>
      <c r="K262" s="142">
        <v>0</v>
      </c>
      <c r="L262"/>
    </row>
    <row r="263" spans="1:12" x14ac:dyDescent="0.3">
      <c r="A263" s="94" t="s">
        <v>1020</v>
      </c>
      <c r="B263" s="140"/>
      <c r="C263" s="140"/>
      <c r="D263" s="140"/>
      <c r="E263" s="140">
        <v>0</v>
      </c>
      <c r="F263" s="140">
        <v>0</v>
      </c>
      <c r="G263" s="140"/>
      <c r="H263" s="140"/>
      <c r="I263" s="140"/>
      <c r="J263" s="140"/>
      <c r="K263" s="142">
        <v>0</v>
      </c>
      <c r="L263"/>
    </row>
    <row r="264" spans="1:12" x14ac:dyDescent="0.3">
      <c r="A264" s="94" t="s">
        <v>874</v>
      </c>
      <c r="B264" s="140"/>
      <c r="C264" s="140"/>
      <c r="D264" s="140"/>
      <c r="E264" s="140">
        <v>0</v>
      </c>
      <c r="F264" s="140"/>
      <c r="G264" s="140"/>
      <c r="H264" s="140"/>
      <c r="I264" s="140"/>
      <c r="J264" s="140"/>
      <c r="K264" s="142">
        <v>0</v>
      </c>
      <c r="L264"/>
    </row>
    <row r="265" spans="1:12" x14ac:dyDescent="0.3">
      <c r="A265" s="94" t="s">
        <v>1021</v>
      </c>
      <c r="B265" s="140"/>
      <c r="C265" s="140"/>
      <c r="D265" s="140">
        <v>0</v>
      </c>
      <c r="E265" s="140"/>
      <c r="F265" s="140"/>
      <c r="G265" s="140"/>
      <c r="H265" s="140"/>
      <c r="I265" s="140"/>
      <c r="J265" s="140"/>
      <c r="K265" s="142">
        <v>0</v>
      </c>
      <c r="L265"/>
    </row>
    <row r="266" spans="1:12" x14ac:dyDescent="0.3">
      <c r="A266" s="3" t="s">
        <v>507</v>
      </c>
      <c r="B266" s="140"/>
      <c r="C266" s="140"/>
      <c r="D266" s="140">
        <v>3</v>
      </c>
      <c r="E266" s="140">
        <v>21</v>
      </c>
      <c r="F266" s="140">
        <v>22</v>
      </c>
      <c r="G266" s="140"/>
      <c r="H266" s="140"/>
      <c r="I266" s="140"/>
      <c r="J266" s="140">
        <v>16</v>
      </c>
      <c r="K266" s="142">
        <v>62</v>
      </c>
      <c r="L266"/>
    </row>
    <row r="267" spans="1:12" x14ac:dyDescent="0.3">
      <c r="A267" s="94" t="s">
        <v>1073</v>
      </c>
      <c r="B267" s="140"/>
      <c r="C267" s="140"/>
      <c r="D267" s="140"/>
      <c r="E267" s="140">
        <v>4</v>
      </c>
      <c r="F267" s="140">
        <v>6</v>
      </c>
      <c r="G267" s="140"/>
      <c r="H267" s="140"/>
      <c r="I267" s="140"/>
      <c r="J267" s="140">
        <v>8</v>
      </c>
      <c r="K267" s="142">
        <v>18</v>
      </c>
      <c r="L267"/>
    </row>
    <row r="268" spans="1:12" x14ac:dyDescent="0.3">
      <c r="A268" s="94" t="s">
        <v>712</v>
      </c>
      <c r="B268" s="140"/>
      <c r="C268" s="140"/>
      <c r="D268" s="140"/>
      <c r="E268" s="140">
        <v>6</v>
      </c>
      <c r="F268" s="140">
        <v>8</v>
      </c>
      <c r="G268" s="140"/>
      <c r="H268" s="140"/>
      <c r="I268" s="140"/>
      <c r="J268" s="140"/>
      <c r="K268" s="142">
        <v>14</v>
      </c>
      <c r="L268"/>
    </row>
    <row r="269" spans="1:12" x14ac:dyDescent="0.3">
      <c r="A269" s="94" t="s">
        <v>1127</v>
      </c>
      <c r="B269" s="140"/>
      <c r="C269" s="140"/>
      <c r="D269" s="140"/>
      <c r="E269" s="140">
        <v>8</v>
      </c>
      <c r="F269" s="140">
        <v>4</v>
      </c>
      <c r="G269" s="140"/>
      <c r="H269" s="140"/>
      <c r="I269" s="140"/>
      <c r="J269" s="140"/>
      <c r="K269" s="142">
        <v>12</v>
      </c>
      <c r="L269"/>
    </row>
    <row r="270" spans="1:12" x14ac:dyDescent="0.3">
      <c r="A270" s="94" t="s">
        <v>1330</v>
      </c>
      <c r="B270" s="140"/>
      <c r="C270" s="140"/>
      <c r="D270" s="140"/>
      <c r="E270" s="140"/>
      <c r="F270" s="140"/>
      <c r="G270" s="140"/>
      <c r="H270" s="140"/>
      <c r="I270" s="140"/>
      <c r="J270" s="140">
        <v>8</v>
      </c>
      <c r="K270" s="142">
        <v>8</v>
      </c>
      <c r="L270"/>
    </row>
    <row r="271" spans="1:12" x14ac:dyDescent="0.3">
      <c r="A271" s="94" t="s">
        <v>719</v>
      </c>
      <c r="B271" s="140"/>
      <c r="C271" s="140"/>
      <c r="D271" s="140"/>
      <c r="E271" s="140"/>
      <c r="F271" s="140">
        <v>4</v>
      </c>
      <c r="G271" s="140"/>
      <c r="H271" s="140"/>
      <c r="I271" s="140"/>
      <c r="J271" s="140"/>
      <c r="K271" s="142">
        <v>4</v>
      </c>
      <c r="L271"/>
    </row>
    <row r="272" spans="1:12" x14ac:dyDescent="0.3">
      <c r="A272" s="94" t="s">
        <v>1128</v>
      </c>
      <c r="B272" s="140"/>
      <c r="C272" s="140"/>
      <c r="D272" s="140">
        <v>3</v>
      </c>
      <c r="E272" s="140"/>
      <c r="F272" s="140">
        <v>0</v>
      </c>
      <c r="G272" s="140"/>
      <c r="H272" s="140"/>
      <c r="I272" s="140"/>
      <c r="J272" s="140"/>
      <c r="K272" s="142">
        <v>3</v>
      </c>
      <c r="L272"/>
    </row>
    <row r="273" spans="1:12" x14ac:dyDescent="0.3">
      <c r="A273" s="94" t="s">
        <v>1129</v>
      </c>
      <c r="B273" s="140"/>
      <c r="C273" s="140"/>
      <c r="D273" s="140"/>
      <c r="E273" s="140">
        <v>3</v>
      </c>
      <c r="F273" s="140"/>
      <c r="G273" s="140"/>
      <c r="H273" s="140"/>
      <c r="I273" s="140"/>
      <c r="J273" s="140"/>
      <c r="K273" s="142">
        <v>3</v>
      </c>
      <c r="L273"/>
    </row>
    <row r="274" spans="1:12" x14ac:dyDescent="0.3">
      <c r="A274" s="94" t="s">
        <v>1130</v>
      </c>
      <c r="B274" s="140"/>
      <c r="C274" s="140"/>
      <c r="D274" s="140">
        <v>0</v>
      </c>
      <c r="E274" s="140"/>
      <c r="F274" s="140">
        <v>0</v>
      </c>
      <c r="G274" s="140"/>
      <c r="H274" s="140"/>
      <c r="I274" s="140"/>
      <c r="J274" s="140"/>
      <c r="K274" s="142">
        <v>0</v>
      </c>
      <c r="L274"/>
    </row>
    <row r="275" spans="1:12" x14ac:dyDescent="0.3">
      <c r="A275" s="3" t="s">
        <v>509</v>
      </c>
      <c r="B275" s="140"/>
      <c r="C275" s="140"/>
      <c r="D275" s="140">
        <v>11</v>
      </c>
      <c r="E275" s="140">
        <v>14</v>
      </c>
      <c r="F275" s="140">
        <v>36</v>
      </c>
      <c r="G275" s="140"/>
      <c r="H275" s="140"/>
      <c r="I275" s="140"/>
      <c r="J275" s="140"/>
      <c r="K275" s="142">
        <v>61</v>
      </c>
      <c r="L275"/>
    </row>
    <row r="276" spans="1:12" x14ac:dyDescent="0.3">
      <c r="A276" s="94" t="s">
        <v>938</v>
      </c>
      <c r="B276" s="140"/>
      <c r="C276" s="140"/>
      <c r="D276" s="140"/>
      <c r="E276" s="140">
        <v>6</v>
      </c>
      <c r="F276" s="140">
        <v>10</v>
      </c>
      <c r="G276" s="140"/>
      <c r="H276" s="140"/>
      <c r="I276" s="140"/>
      <c r="J276" s="140"/>
      <c r="K276" s="142">
        <v>16</v>
      </c>
      <c r="L276"/>
    </row>
    <row r="277" spans="1:12" x14ac:dyDescent="0.3">
      <c r="A277" s="94" t="s">
        <v>1028</v>
      </c>
      <c r="B277" s="140"/>
      <c r="C277" s="140"/>
      <c r="D277" s="140">
        <v>6</v>
      </c>
      <c r="E277" s="140"/>
      <c r="F277" s="140">
        <v>8</v>
      </c>
      <c r="G277" s="140"/>
      <c r="H277" s="140"/>
      <c r="I277" s="140"/>
      <c r="J277" s="140"/>
      <c r="K277" s="142">
        <v>14</v>
      </c>
      <c r="L277"/>
    </row>
    <row r="278" spans="1:12" x14ac:dyDescent="0.3">
      <c r="A278" s="94" t="s">
        <v>1029</v>
      </c>
      <c r="B278" s="140"/>
      <c r="C278" s="140"/>
      <c r="D278" s="140">
        <v>5</v>
      </c>
      <c r="E278" s="140"/>
      <c r="F278" s="140">
        <v>6</v>
      </c>
      <c r="G278" s="140"/>
      <c r="H278" s="140"/>
      <c r="I278" s="140"/>
      <c r="J278" s="140"/>
      <c r="K278" s="142">
        <v>11</v>
      </c>
      <c r="L278"/>
    </row>
    <row r="279" spans="1:12" x14ac:dyDescent="0.3">
      <c r="A279" s="94" t="s">
        <v>1030</v>
      </c>
      <c r="B279" s="140"/>
      <c r="C279" s="140"/>
      <c r="D279" s="140"/>
      <c r="E279" s="140">
        <v>5</v>
      </c>
      <c r="F279" s="140">
        <v>6</v>
      </c>
      <c r="G279" s="140"/>
      <c r="H279" s="140"/>
      <c r="I279" s="140"/>
      <c r="J279" s="140"/>
      <c r="K279" s="142">
        <v>11</v>
      </c>
      <c r="L279"/>
    </row>
    <row r="280" spans="1:12" x14ac:dyDescent="0.3">
      <c r="A280" s="94" t="s">
        <v>1031</v>
      </c>
      <c r="B280" s="140"/>
      <c r="C280" s="140"/>
      <c r="D280" s="140"/>
      <c r="E280" s="140"/>
      <c r="F280" s="140">
        <v>3</v>
      </c>
      <c r="G280" s="140"/>
      <c r="H280" s="140"/>
      <c r="I280" s="140"/>
      <c r="J280" s="140"/>
      <c r="K280" s="142">
        <v>3</v>
      </c>
      <c r="L280"/>
    </row>
    <row r="281" spans="1:12" x14ac:dyDescent="0.3">
      <c r="A281" s="94" t="s">
        <v>1032</v>
      </c>
      <c r="B281" s="140"/>
      <c r="C281" s="140"/>
      <c r="D281" s="140"/>
      <c r="E281" s="140"/>
      <c r="F281" s="140">
        <v>3</v>
      </c>
      <c r="G281" s="140"/>
      <c r="H281" s="140"/>
      <c r="I281" s="140"/>
      <c r="J281" s="140"/>
      <c r="K281" s="142">
        <v>3</v>
      </c>
      <c r="L281"/>
    </row>
    <row r="282" spans="1:12" x14ac:dyDescent="0.3">
      <c r="A282" s="94" t="s">
        <v>943</v>
      </c>
      <c r="B282" s="140"/>
      <c r="C282" s="140"/>
      <c r="D282" s="140"/>
      <c r="E282" s="140">
        <v>3</v>
      </c>
      <c r="F282" s="140">
        <v>0</v>
      </c>
      <c r="G282" s="140"/>
      <c r="H282" s="140"/>
      <c r="I282" s="140"/>
      <c r="J282" s="140"/>
      <c r="K282" s="142">
        <v>3</v>
      </c>
      <c r="L282"/>
    </row>
    <row r="283" spans="1:12" x14ac:dyDescent="0.3">
      <c r="A283" s="94" t="s">
        <v>1033</v>
      </c>
      <c r="B283" s="140"/>
      <c r="C283" s="140"/>
      <c r="D283" s="140"/>
      <c r="E283" s="140"/>
      <c r="F283" s="140">
        <v>0</v>
      </c>
      <c r="G283" s="140"/>
      <c r="H283" s="140"/>
      <c r="I283" s="140"/>
      <c r="J283" s="140"/>
      <c r="K283" s="142">
        <v>0</v>
      </c>
      <c r="L283"/>
    </row>
    <row r="284" spans="1:12" x14ac:dyDescent="0.3">
      <c r="A284" s="94" t="s">
        <v>945</v>
      </c>
      <c r="B284" s="140"/>
      <c r="C284" s="140"/>
      <c r="D284" s="140"/>
      <c r="E284" s="140"/>
      <c r="F284" s="140">
        <v>0</v>
      </c>
      <c r="G284" s="140"/>
      <c r="H284" s="140"/>
      <c r="I284" s="140"/>
      <c r="J284" s="140"/>
      <c r="K284" s="142">
        <v>0</v>
      </c>
      <c r="L284"/>
    </row>
    <row r="285" spans="1:12" x14ac:dyDescent="0.3">
      <c r="A285" s="94" t="s">
        <v>939</v>
      </c>
      <c r="B285" s="140"/>
      <c r="C285" s="140"/>
      <c r="D285" s="140"/>
      <c r="E285" s="140"/>
      <c r="F285" s="140">
        <v>0</v>
      </c>
      <c r="G285" s="140"/>
      <c r="H285" s="140"/>
      <c r="I285" s="140"/>
      <c r="J285" s="140"/>
      <c r="K285" s="142">
        <v>0</v>
      </c>
      <c r="L285"/>
    </row>
    <row r="286" spans="1:12" x14ac:dyDescent="0.3">
      <c r="A286" s="3" t="s">
        <v>511</v>
      </c>
      <c r="B286" s="140"/>
      <c r="C286" s="140"/>
      <c r="D286" s="140">
        <v>11</v>
      </c>
      <c r="E286" s="140">
        <v>17</v>
      </c>
      <c r="F286" s="140">
        <v>33</v>
      </c>
      <c r="G286" s="140"/>
      <c r="H286" s="140"/>
      <c r="I286" s="140"/>
      <c r="J286" s="140"/>
      <c r="K286" s="142">
        <v>61</v>
      </c>
      <c r="L286"/>
    </row>
    <row r="287" spans="1:12" x14ac:dyDescent="0.3">
      <c r="A287" s="94" t="s">
        <v>956</v>
      </c>
      <c r="B287" s="140"/>
      <c r="C287" s="140"/>
      <c r="D287" s="140">
        <v>6</v>
      </c>
      <c r="E287" s="140"/>
      <c r="F287" s="140">
        <v>10</v>
      </c>
      <c r="G287" s="140"/>
      <c r="H287" s="140"/>
      <c r="I287" s="140"/>
      <c r="J287" s="140"/>
      <c r="K287" s="142">
        <v>16</v>
      </c>
      <c r="L287"/>
    </row>
    <row r="288" spans="1:12" x14ac:dyDescent="0.3">
      <c r="A288" s="94" t="s">
        <v>1022</v>
      </c>
      <c r="B288" s="140"/>
      <c r="C288" s="140"/>
      <c r="D288" s="140"/>
      <c r="E288" s="140">
        <v>6</v>
      </c>
      <c r="F288" s="140">
        <v>6</v>
      </c>
      <c r="G288" s="140"/>
      <c r="H288" s="140"/>
      <c r="I288" s="140"/>
      <c r="J288" s="140"/>
      <c r="K288" s="142">
        <v>12</v>
      </c>
      <c r="L288"/>
    </row>
    <row r="289" spans="1:12" x14ac:dyDescent="0.3">
      <c r="A289" s="94" t="s">
        <v>949</v>
      </c>
      <c r="B289" s="140"/>
      <c r="C289" s="140"/>
      <c r="D289" s="140"/>
      <c r="E289" s="140">
        <v>3</v>
      </c>
      <c r="F289" s="140">
        <v>8</v>
      </c>
      <c r="G289" s="140"/>
      <c r="H289" s="140"/>
      <c r="I289" s="140"/>
      <c r="J289" s="140"/>
      <c r="K289" s="142">
        <v>11</v>
      </c>
      <c r="L289"/>
    </row>
    <row r="290" spans="1:12" x14ac:dyDescent="0.3">
      <c r="A290" s="94" t="s">
        <v>1023</v>
      </c>
      <c r="B290" s="140"/>
      <c r="C290" s="140"/>
      <c r="D290" s="140"/>
      <c r="E290" s="140">
        <v>0</v>
      </c>
      <c r="F290" s="140">
        <v>6</v>
      </c>
      <c r="G290" s="140"/>
      <c r="H290" s="140"/>
      <c r="I290" s="140"/>
      <c r="J290" s="140"/>
      <c r="K290" s="142">
        <v>6</v>
      </c>
      <c r="L290"/>
    </row>
    <row r="291" spans="1:12" x14ac:dyDescent="0.3">
      <c r="A291" s="94" t="s">
        <v>940</v>
      </c>
      <c r="B291" s="140"/>
      <c r="C291" s="140"/>
      <c r="D291" s="140"/>
      <c r="E291" s="140">
        <v>5</v>
      </c>
      <c r="F291" s="140">
        <v>0</v>
      </c>
      <c r="G291" s="140"/>
      <c r="H291" s="140"/>
      <c r="I291" s="140"/>
      <c r="J291" s="140"/>
      <c r="K291" s="142">
        <v>5</v>
      </c>
      <c r="L291"/>
    </row>
    <row r="292" spans="1:12" x14ac:dyDescent="0.3">
      <c r="A292" s="94" t="s">
        <v>1024</v>
      </c>
      <c r="B292" s="140"/>
      <c r="C292" s="140"/>
      <c r="D292" s="140">
        <v>5</v>
      </c>
      <c r="E292" s="140"/>
      <c r="F292" s="140">
        <v>0</v>
      </c>
      <c r="G292" s="140"/>
      <c r="H292" s="140"/>
      <c r="I292" s="140"/>
      <c r="J292" s="140"/>
      <c r="K292" s="142">
        <v>5</v>
      </c>
      <c r="L292"/>
    </row>
    <row r="293" spans="1:12" x14ac:dyDescent="0.3">
      <c r="A293" s="94" t="s">
        <v>951</v>
      </c>
      <c r="B293" s="140"/>
      <c r="C293" s="140"/>
      <c r="D293" s="140"/>
      <c r="E293" s="140">
        <v>3</v>
      </c>
      <c r="F293" s="140"/>
      <c r="G293" s="140"/>
      <c r="H293" s="140"/>
      <c r="I293" s="140"/>
      <c r="J293" s="140"/>
      <c r="K293" s="142">
        <v>3</v>
      </c>
      <c r="L293"/>
    </row>
    <row r="294" spans="1:12" x14ac:dyDescent="0.3">
      <c r="A294" s="94" t="s">
        <v>942</v>
      </c>
      <c r="B294" s="140"/>
      <c r="C294" s="140"/>
      <c r="D294" s="140"/>
      <c r="E294" s="140">
        <v>0</v>
      </c>
      <c r="F294" s="140">
        <v>3</v>
      </c>
      <c r="G294" s="140"/>
      <c r="H294" s="140"/>
      <c r="I294" s="140"/>
      <c r="J294" s="140"/>
      <c r="K294" s="142">
        <v>3</v>
      </c>
      <c r="L294"/>
    </row>
    <row r="295" spans="1:12" x14ac:dyDescent="0.3">
      <c r="A295" s="94" t="s">
        <v>1025</v>
      </c>
      <c r="B295" s="140"/>
      <c r="C295" s="140"/>
      <c r="D295" s="140"/>
      <c r="E295" s="140">
        <v>0</v>
      </c>
      <c r="F295" s="140">
        <v>0</v>
      </c>
      <c r="G295" s="140"/>
      <c r="H295" s="140"/>
      <c r="I295" s="140"/>
      <c r="J295" s="140"/>
      <c r="K295" s="142">
        <v>0</v>
      </c>
      <c r="L295"/>
    </row>
    <row r="296" spans="1:12" x14ac:dyDescent="0.3">
      <c r="A296" s="94" t="s">
        <v>1026</v>
      </c>
      <c r="B296" s="140"/>
      <c r="C296" s="140"/>
      <c r="D296" s="140"/>
      <c r="E296" s="140"/>
      <c r="F296" s="140">
        <v>0</v>
      </c>
      <c r="G296" s="140"/>
      <c r="H296" s="140"/>
      <c r="I296" s="140"/>
      <c r="J296" s="140"/>
      <c r="K296" s="142">
        <v>0</v>
      </c>
      <c r="L296"/>
    </row>
    <row r="297" spans="1:12" x14ac:dyDescent="0.3">
      <c r="A297" s="94" t="s">
        <v>1027</v>
      </c>
      <c r="B297" s="140"/>
      <c r="C297" s="140"/>
      <c r="D297" s="140"/>
      <c r="E297" s="140"/>
      <c r="F297" s="140">
        <v>0</v>
      </c>
      <c r="G297" s="140"/>
      <c r="H297" s="140"/>
      <c r="I297" s="140"/>
      <c r="J297" s="140"/>
      <c r="K297" s="142">
        <v>0</v>
      </c>
      <c r="L297"/>
    </row>
    <row r="298" spans="1:12" x14ac:dyDescent="0.3">
      <c r="A298" s="3" t="s">
        <v>540</v>
      </c>
      <c r="B298" s="140"/>
      <c r="C298" s="140"/>
      <c r="D298" s="140">
        <v>14</v>
      </c>
      <c r="E298" s="140">
        <v>3</v>
      </c>
      <c r="F298" s="140">
        <v>22</v>
      </c>
      <c r="G298" s="140">
        <v>7</v>
      </c>
      <c r="H298" s="140"/>
      <c r="I298" s="140">
        <v>14</v>
      </c>
      <c r="J298" s="140"/>
      <c r="K298" s="142">
        <v>60</v>
      </c>
      <c r="L298"/>
    </row>
    <row r="299" spans="1:12" x14ac:dyDescent="0.3">
      <c r="A299" s="94" t="s">
        <v>1051</v>
      </c>
      <c r="B299" s="140"/>
      <c r="C299" s="140"/>
      <c r="D299" s="140">
        <v>6</v>
      </c>
      <c r="E299" s="140"/>
      <c r="F299" s="140">
        <v>8</v>
      </c>
      <c r="G299" s="140">
        <v>4</v>
      </c>
      <c r="H299" s="140"/>
      <c r="I299" s="140">
        <v>6</v>
      </c>
      <c r="J299" s="140"/>
      <c r="K299" s="142">
        <v>24</v>
      </c>
      <c r="L299"/>
    </row>
    <row r="300" spans="1:12" x14ac:dyDescent="0.3">
      <c r="A300" s="94" t="s">
        <v>906</v>
      </c>
      <c r="B300" s="140"/>
      <c r="C300" s="140"/>
      <c r="D300" s="140"/>
      <c r="E300" s="140">
        <v>3</v>
      </c>
      <c r="F300" s="140">
        <v>6</v>
      </c>
      <c r="G300" s="140"/>
      <c r="H300" s="140"/>
      <c r="I300" s="140">
        <v>5</v>
      </c>
      <c r="J300" s="140"/>
      <c r="K300" s="142">
        <v>14</v>
      </c>
      <c r="L300"/>
    </row>
    <row r="301" spans="1:12" x14ac:dyDescent="0.3">
      <c r="A301" s="94" t="s">
        <v>907</v>
      </c>
      <c r="B301" s="140"/>
      <c r="C301" s="140"/>
      <c r="D301" s="140">
        <v>5</v>
      </c>
      <c r="E301" s="140"/>
      <c r="F301" s="140">
        <v>0</v>
      </c>
      <c r="G301" s="140">
        <v>3</v>
      </c>
      <c r="H301" s="140"/>
      <c r="I301" s="140">
        <v>0</v>
      </c>
      <c r="J301" s="140"/>
      <c r="K301" s="142">
        <v>8</v>
      </c>
      <c r="L301"/>
    </row>
    <row r="302" spans="1:12" x14ac:dyDescent="0.3">
      <c r="A302" s="94" t="s">
        <v>908</v>
      </c>
      <c r="B302" s="140"/>
      <c r="C302" s="140"/>
      <c r="D302" s="140"/>
      <c r="E302" s="140">
        <v>0</v>
      </c>
      <c r="F302" s="140">
        <v>4</v>
      </c>
      <c r="G302" s="140"/>
      <c r="H302" s="140"/>
      <c r="I302" s="140"/>
      <c r="J302" s="140"/>
      <c r="K302" s="142">
        <v>4</v>
      </c>
      <c r="L302"/>
    </row>
    <row r="303" spans="1:12" x14ac:dyDescent="0.3">
      <c r="A303" s="94" t="s">
        <v>909</v>
      </c>
      <c r="B303" s="140"/>
      <c r="C303" s="140"/>
      <c r="D303" s="140"/>
      <c r="E303" s="140"/>
      <c r="F303" s="140">
        <v>4</v>
      </c>
      <c r="G303" s="140"/>
      <c r="H303" s="140"/>
      <c r="I303" s="140"/>
      <c r="J303" s="140"/>
      <c r="K303" s="142">
        <v>4</v>
      </c>
      <c r="L303"/>
    </row>
    <row r="304" spans="1:12" x14ac:dyDescent="0.3">
      <c r="A304" s="94" t="s">
        <v>1052</v>
      </c>
      <c r="B304" s="140"/>
      <c r="C304" s="140"/>
      <c r="D304" s="140"/>
      <c r="E304" s="140"/>
      <c r="F304" s="140"/>
      <c r="G304" s="140">
        <v>0</v>
      </c>
      <c r="H304" s="140"/>
      <c r="I304" s="140">
        <v>3</v>
      </c>
      <c r="J304" s="140"/>
      <c r="K304" s="142">
        <v>3</v>
      </c>
      <c r="L304"/>
    </row>
    <row r="305" spans="1:12" x14ac:dyDescent="0.3">
      <c r="A305" s="94" t="s">
        <v>1053</v>
      </c>
      <c r="B305" s="140"/>
      <c r="C305" s="140"/>
      <c r="D305" s="140">
        <v>3</v>
      </c>
      <c r="E305" s="140"/>
      <c r="F305" s="140">
        <v>0</v>
      </c>
      <c r="G305" s="140"/>
      <c r="H305" s="140"/>
      <c r="I305" s="140"/>
      <c r="J305" s="140"/>
      <c r="K305" s="142">
        <v>3</v>
      </c>
      <c r="L305"/>
    </row>
    <row r="306" spans="1:12" x14ac:dyDescent="0.3">
      <c r="A306" s="94" t="s">
        <v>921</v>
      </c>
      <c r="B306" s="140"/>
      <c r="C306" s="140"/>
      <c r="D306" s="140"/>
      <c r="E306" s="140"/>
      <c r="F306" s="140">
        <v>0</v>
      </c>
      <c r="G306" s="140"/>
      <c r="H306" s="140"/>
      <c r="I306" s="140"/>
      <c r="J306" s="140"/>
      <c r="K306" s="142">
        <v>0</v>
      </c>
      <c r="L306"/>
    </row>
    <row r="307" spans="1:12" x14ac:dyDescent="0.3">
      <c r="A307" s="94" t="s">
        <v>1054</v>
      </c>
      <c r="B307" s="140"/>
      <c r="C307" s="140"/>
      <c r="D307" s="140"/>
      <c r="E307" s="140"/>
      <c r="F307" s="140">
        <v>0</v>
      </c>
      <c r="G307" s="140"/>
      <c r="H307" s="140"/>
      <c r="I307" s="140"/>
      <c r="J307" s="140"/>
      <c r="K307" s="142">
        <v>0</v>
      </c>
      <c r="L307"/>
    </row>
    <row r="308" spans="1:12" x14ac:dyDescent="0.3">
      <c r="A308" s="3" t="s">
        <v>531</v>
      </c>
      <c r="B308" s="140"/>
      <c r="C308" s="140"/>
      <c r="D308" s="140">
        <v>14</v>
      </c>
      <c r="E308" s="140">
        <v>13</v>
      </c>
      <c r="F308" s="140">
        <v>33</v>
      </c>
      <c r="G308" s="140"/>
      <c r="H308" s="140"/>
      <c r="I308" s="140"/>
      <c r="J308" s="140"/>
      <c r="K308" s="142">
        <v>60</v>
      </c>
      <c r="L308"/>
    </row>
    <row r="309" spans="1:12" x14ac:dyDescent="0.3">
      <c r="A309" s="94" t="s">
        <v>1009</v>
      </c>
      <c r="B309" s="140"/>
      <c r="C309" s="140"/>
      <c r="D309" s="140"/>
      <c r="E309" s="140">
        <v>5</v>
      </c>
      <c r="F309" s="140">
        <v>10</v>
      </c>
      <c r="G309" s="140"/>
      <c r="H309" s="140"/>
      <c r="I309" s="140"/>
      <c r="J309" s="140"/>
      <c r="K309" s="142">
        <v>15</v>
      </c>
      <c r="L309"/>
    </row>
    <row r="310" spans="1:12" x14ac:dyDescent="0.3">
      <c r="A310" s="94" t="s">
        <v>1034</v>
      </c>
      <c r="B310" s="140"/>
      <c r="C310" s="140"/>
      <c r="D310" s="140">
        <v>5</v>
      </c>
      <c r="E310" s="140"/>
      <c r="F310" s="140">
        <v>8</v>
      </c>
      <c r="G310" s="140"/>
      <c r="H310" s="140"/>
      <c r="I310" s="140"/>
      <c r="J310" s="140"/>
      <c r="K310" s="142">
        <v>13</v>
      </c>
      <c r="L310"/>
    </row>
    <row r="311" spans="1:12" x14ac:dyDescent="0.3">
      <c r="A311" s="94" t="s">
        <v>1035</v>
      </c>
      <c r="B311" s="140"/>
      <c r="C311" s="140"/>
      <c r="D311" s="140">
        <v>6</v>
      </c>
      <c r="E311" s="140"/>
      <c r="F311" s="140">
        <v>6</v>
      </c>
      <c r="G311" s="140"/>
      <c r="H311" s="140"/>
      <c r="I311" s="140"/>
      <c r="J311" s="140"/>
      <c r="K311" s="142">
        <v>12</v>
      </c>
      <c r="L311"/>
    </row>
    <row r="312" spans="1:12" x14ac:dyDescent="0.3">
      <c r="A312" s="94" t="s">
        <v>1036</v>
      </c>
      <c r="B312" s="140"/>
      <c r="C312" s="140"/>
      <c r="D312" s="140"/>
      <c r="E312" s="140">
        <v>6</v>
      </c>
      <c r="F312" s="140">
        <v>6</v>
      </c>
      <c r="G312" s="140"/>
      <c r="H312" s="140"/>
      <c r="I312" s="140"/>
      <c r="J312" s="140"/>
      <c r="K312" s="142">
        <v>12</v>
      </c>
      <c r="L312"/>
    </row>
    <row r="313" spans="1:12" x14ac:dyDescent="0.3">
      <c r="A313" s="94" t="s">
        <v>1037</v>
      </c>
      <c r="B313" s="140"/>
      <c r="C313" s="140"/>
      <c r="D313" s="140"/>
      <c r="E313" s="140">
        <v>2</v>
      </c>
      <c r="F313" s="140">
        <v>3</v>
      </c>
      <c r="G313" s="140"/>
      <c r="H313" s="140"/>
      <c r="I313" s="140"/>
      <c r="J313" s="140"/>
      <c r="K313" s="142">
        <v>5</v>
      </c>
      <c r="L313"/>
    </row>
    <row r="314" spans="1:12" x14ac:dyDescent="0.3">
      <c r="A314" s="94" t="s">
        <v>1038</v>
      </c>
      <c r="B314" s="140"/>
      <c r="C314" s="140"/>
      <c r="D314" s="140">
        <v>3</v>
      </c>
      <c r="E314" s="140"/>
      <c r="F314" s="140">
        <v>0</v>
      </c>
      <c r="G314" s="140"/>
      <c r="H314" s="140"/>
      <c r="I314" s="140"/>
      <c r="J314" s="140"/>
      <c r="K314" s="142">
        <v>3</v>
      </c>
      <c r="L314"/>
    </row>
    <row r="315" spans="1:12" x14ac:dyDescent="0.3">
      <c r="A315" s="94" t="s">
        <v>1039</v>
      </c>
      <c r="B315" s="140"/>
      <c r="C315" s="140"/>
      <c r="D315" s="140">
        <v>0</v>
      </c>
      <c r="E315" s="140"/>
      <c r="F315" s="140">
        <v>0</v>
      </c>
      <c r="G315" s="140"/>
      <c r="H315" s="140"/>
      <c r="I315" s="140"/>
      <c r="J315" s="140"/>
      <c r="K315" s="142">
        <v>0</v>
      </c>
      <c r="L315"/>
    </row>
    <row r="316" spans="1:12" x14ac:dyDescent="0.3">
      <c r="A316" s="94" t="s">
        <v>1013</v>
      </c>
      <c r="B316" s="140"/>
      <c r="C316" s="140"/>
      <c r="D316" s="140">
        <v>0</v>
      </c>
      <c r="E316" s="140"/>
      <c r="F316" s="140">
        <v>0</v>
      </c>
      <c r="G316" s="140"/>
      <c r="H316" s="140"/>
      <c r="I316" s="140"/>
      <c r="J316" s="140"/>
      <c r="K316" s="142">
        <v>0</v>
      </c>
      <c r="L316"/>
    </row>
    <row r="317" spans="1:12" x14ac:dyDescent="0.3">
      <c r="A317" s="94" t="s">
        <v>1040</v>
      </c>
      <c r="B317" s="140"/>
      <c r="C317" s="140"/>
      <c r="D317" s="140">
        <v>0</v>
      </c>
      <c r="E317" s="140"/>
      <c r="F317" s="140"/>
      <c r="G317" s="140"/>
      <c r="H317" s="140"/>
      <c r="I317" s="140"/>
      <c r="J317" s="140"/>
      <c r="K317" s="142">
        <v>0</v>
      </c>
      <c r="L317"/>
    </row>
    <row r="318" spans="1:12" x14ac:dyDescent="0.3">
      <c r="A318" s="3" t="s">
        <v>533</v>
      </c>
      <c r="B318" s="140"/>
      <c r="C318" s="140"/>
      <c r="D318" s="140">
        <v>11</v>
      </c>
      <c r="E318" s="140">
        <v>19</v>
      </c>
      <c r="F318" s="140">
        <v>30</v>
      </c>
      <c r="G318" s="140"/>
      <c r="H318" s="140"/>
      <c r="I318" s="140"/>
      <c r="J318" s="140"/>
      <c r="K318" s="142">
        <v>60</v>
      </c>
      <c r="L318"/>
    </row>
    <row r="319" spans="1:12" x14ac:dyDescent="0.3">
      <c r="A319" s="94" t="s">
        <v>1041</v>
      </c>
      <c r="B319" s="140"/>
      <c r="C319" s="140"/>
      <c r="D319" s="140"/>
      <c r="E319" s="140">
        <v>6</v>
      </c>
      <c r="F319" s="140">
        <v>10</v>
      </c>
      <c r="G319" s="140"/>
      <c r="H319" s="140"/>
      <c r="I319" s="140"/>
      <c r="J319" s="140"/>
      <c r="K319" s="142">
        <v>16</v>
      </c>
      <c r="L319"/>
    </row>
    <row r="320" spans="1:12" x14ac:dyDescent="0.3">
      <c r="A320" s="94" t="s">
        <v>1042</v>
      </c>
      <c r="B320" s="140"/>
      <c r="C320" s="140"/>
      <c r="D320" s="140"/>
      <c r="E320" s="140">
        <v>5</v>
      </c>
      <c r="F320" s="140">
        <v>8</v>
      </c>
      <c r="G320" s="140"/>
      <c r="H320" s="140"/>
      <c r="I320" s="140"/>
      <c r="J320" s="140"/>
      <c r="K320" s="142">
        <v>13</v>
      </c>
      <c r="L320"/>
    </row>
    <row r="321" spans="1:12" x14ac:dyDescent="0.3">
      <c r="A321" s="94" t="s">
        <v>1043</v>
      </c>
      <c r="B321" s="140"/>
      <c r="C321" s="140"/>
      <c r="D321" s="140"/>
      <c r="E321" s="140">
        <v>3</v>
      </c>
      <c r="F321" s="140">
        <v>6</v>
      </c>
      <c r="G321" s="140"/>
      <c r="H321" s="140"/>
      <c r="I321" s="140"/>
      <c r="J321" s="140"/>
      <c r="K321" s="142">
        <v>9</v>
      </c>
      <c r="L321"/>
    </row>
    <row r="322" spans="1:12" x14ac:dyDescent="0.3">
      <c r="A322" s="94" t="s">
        <v>1012</v>
      </c>
      <c r="B322" s="140"/>
      <c r="C322" s="140"/>
      <c r="D322" s="140">
        <v>3</v>
      </c>
      <c r="E322" s="140"/>
      <c r="F322" s="140">
        <v>6</v>
      </c>
      <c r="G322" s="140"/>
      <c r="H322" s="140"/>
      <c r="I322" s="140"/>
      <c r="J322" s="140"/>
      <c r="K322" s="142">
        <v>9</v>
      </c>
      <c r="L322"/>
    </row>
    <row r="323" spans="1:12" x14ac:dyDescent="0.3">
      <c r="A323" s="94" t="s">
        <v>1044</v>
      </c>
      <c r="B323" s="140"/>
      <c r="C323" s="140"/>
      <c r="D323" s="140">
        <v>5</v>
      </c>
      <c r="E323" s="140"/>
      <c r="F323" s="140">
        <v>0</v>
      </c>
      <c r="G323" s="140"/>
      <c r="H323" s="140"/>
      <c r="I323" s="140"/>
      <c r="J323" s="140"/>
      <c r="K323" s="142">
        <v>5</v>
      </c>
      <c r="L323"/>
    </row>
    <row r="324" spans="1:12" x14ac:dyDescent="0.3">
      <c r="A324" s="94" t="s">
        <v>1045</v>
      </c>
      <c r="B324" s="140"/>
      <c r="C324" s="140"/>
      <c r="D324" s="140"/>
      <c r="E324" s="140">
        <v>5</v>
      </c>
      <c r="F324" s="140">
        <v>0</v>
      </c>
      <c r="G324" s="140"/>
      <c r="H324" s="140"/>
      <c r="I324" s="140"/>
      <c r="J324" s="140"/>
      <c r="K324" s="142">
        <v>5</v>
      </c>
      <c r="L324"/>
    </row>
    <row r="325" spans="1:12" x14ac:dyDescent="0.3">
      <c r="A325" s="94" t="s">
        <v>1046</v>
      </c>
      <c r="B325" s="140"/>
      <c r="C325" s="140"/>
      <c r="D325" s="140">
        <v>3</v>
      </c>
      <c r="E325" s="140"/>
      <c r="F325" s="140">
        <v>0</v>
      </c>
      <c r="G325" s="140"/>
      <c r="H325" s="140"/>
      <c r="I325" s="140"/>
      <c r="J325" s="140"/>
      <c r="K325" s="142">
        <v>3</v>
      </c>
      <c r="L325"/>
    </row>
    <row r="326" spans="1:12" x14ac:dyDescent="0.3">
      <c r="A326" s="94" t="s">
        <v>1047</v>
      </c>
      <c r="B326" s="140"/>
      <c r="C326" s="140"/>
      <c r="D326" s="140">
        <v>0</v>
      </c>
      <c r="E326" s="140"/>
      <c r="F326" s="140"/>
      <c r="G326" s="140"/>
      <c r="H326" s="140"/>
      <c r="I326" s="140"/>
      <c r="J326" s="140"/>
      <c r="K326" s="142">
        <v>0</v>
      </c>
      <c r="L326"/>
    </row>
    <row r="327" spans="1:12" x14ac:dyDescent="0.3">
      <c r="A327" s="94" t="s">
        <v>1048</v>
      </c>
      <c r="B327" s="140"/>
      <c r="C327" s="140"/>
      <c r="D327" s="140">
        <v>0</v>
      </c>
      <c r="E327" s="140"/>
      <c r="F327" s="140"/>
      <c r="G327" s="140"/>
      <c r="H327" s="140"/>
      <c r="I327" s="140"/>
      <c r="J327" s="140"/>
      <c r="K327" s="142">
        <v>0</v>
      </c>
      <c r="L327"/>
    </row>
    <row r="328" spans="1:12" x14ac:dyDescent="0.3">
      <c r="A328" s="94" t="s">
        <v>1049</v>
      </c>
      <c r="B328" s="140"/>
      <c r="C328" s="140"/>
      <c r="D328" s="140">
        <v>0</v>
      </c>
      <c r="E328" s="140"/>
      <c r="F328" s="140">
        <v>0</v>
      </c>
      <c r="G328" s="140"/>
      <c r="H328" s="140"/>
      <c r="I328" s="140"/>
      <c r="J328" s="140"/>
      <c r="K328" s="142">
        <v>0</v>
      </c>
      <c r="L328"/>
    </row>
    <row r="329" spans="1:12" x14ac:dyDescent="0.3">
      <c r="A329" s="94" t="s">
        <v>1050</v>
      </c>
      <c r="B329" s="140"/>
      <c r="C329" s="140"/>
      <c r="D329" s="140">
        <v>0</v>
      </c>
      <c r="E329" s="140"/>
      <c r="F329" s="140">
        <v>0</v>
      </c>
      <c r="G329" s="140"/>
      <c r="H329" s="140"/>
      <c r="I329" s="140"/>
      <c r="J329" s="140"/>
      <c r="K329" s="142">
        <v>0</v>
      </c>
      <c r="L329"/>
    </row>
    <row r="330" spans="1:12" x14ac:dyDescent="0.3">
      <c r="A330" s="3" t="s">
        <v>550</v>
      </c>
      <c r="B330" s="140"/>
      <c r="C330" s="140"/>
      <c r="D330" s="140">
        <v>7</v>
      </c>
      <c r="E330" s="140">
        <v>7</v>
      </c>
      <c r="F330" s="140">
        <v>18</v>
      </c>
      <c r="G330" s="140">
        <v>3</v>
      </c>
      <c r="H330" s="140">
        <v>3</v>
      </c>
      <c r="I330" s="140">
        <v>22</v>
      </c>
      <c r="J330" s="140"/>
      <c r="K330" s="142">
        <v>60</v>
      </c>
      <c r="L330"/>
    </row>
    <row r="331" spans="1:12" x14ac:dyDescent="0.3">
      <c r="A331" s="94" t="s">
        <v>1055</v>
      </c>
      <c r="B331" s="140"/>
      <c r="C331" s="140"/>
      <c r="D331" s="140"/>
      <c r="E331" s="140">
        <v>4</v>
      </c>
      <c r="F331" s="140">
        <v>8</v>
      </c>
      <c r="G331" s="140"/>
      <c r="H331" s="140">
        <v>3</v>
      </c>
      <c r="I331" s="140">
        <v>6</v>
      </c>
      <c r="J331" s="140"/>
      <c r="K331" s="142">
        <v>21</v>
      </c>
      <c r="L331"/>
    </row>
    <row r="332" spans="1:12" x14ac:dyDescent="0.3">
      <c r="A332" s="94" t="s">
        <v>1056</v>
      </c>
      <c r="B332" s="140"/>
      <c r="C332" s="140"/>
      <c r="D332" s="140"/>
      <c r="E332" s="140">
        <v>3</v>
      </c>
      <c r="F332" s="140">
        <v>6</v>
      </c>
      <c r="G332" s="140"/>
      <c r="H332" s="140">
        <v>0</v>
      </c>
      <c r="I332" s="140">
        <v>5</v>
      </c>
      <c r="J332" s="140"/>
      <c r="K332" s="142">
        <v>14</v>
      </c>
      <c r="L332"/>
    </row>
    <row r="333" spans="1:12" x14ac:dyDescent="0.3">
      <c r="A333" s="94" t="s">
        <v>1057</v>
      </c>
      <c r="B333" s="140"/>
      <c r="C333" s="140"/>
      <c r="D333" s="140">
        <v>4</v>
      </c>
      <c r="E333" s="140"/>
      <c r="F333" s="140">
        <v>4</v>
      </c>
      <c r="G333" s="140"/>
      <c r="H333" s="140"/>
      <c r="I333" s="140"/>
      <c r="J333" s="140"/>
      <c r="K333" s="142">
        <v>8</v>
      </c>
      <c r="L333"/>
    </row>
    <row r="334" spans="1:12" x14ac:dyDescent="0.3">
      <c r="A334" s="94" t="s">
        <v>960</v>
      </c>
      <c r="B334" s="140"/>
      <c r="C334" s="140"/>
      <c r="D334" s="140"/>
      <c r="E334" s="140"/>
      <c r="F334" s="140"/>
      <c r="G334" s="140"/>
      <c r="H334" s="140"/>
      <c r="I334" s="140">
        <v>6</v>
      </c>
      <c r="J334" s="140"/>
      <c r="K334" s="142">
        <v>6</v>
      </c>
      <c r="L334"/>
    </row>
    <row r="335" spans="1:12" x14ac:dyDescent="0.3">
      <c r="A335" s="94" t="s">
        <v>962</v>
      </c>
      <c r="B335" s="140"/>
      <c r="C335" s="140"/>
      <c r="D335" s="140"/>
      <c r="E335" s="140"/>
      <c r="F335" s="140"/>
      <c r="G335" s="140"/>
      <c r="H335" s="140"/>
      <c r="I335" s="140">
        <v>5</v>
      </c>
      <c r="J335" s="140"/>
      <c r="K335" s="142">
        <v>5</v>
      </c>
      <c r="L335"/>
    </row>
    <row r="336" spans="1:12" x14ac:dyDescent="0.3">
      <c r="A336" s="94" t="s">
        <v>1058</v>
      </c>
      <c r="B336" s="140"/>
      <c r="C336" s="140"/>
      <c r="D336" s="140">
        <v>0</v>
      </c>
      <c r="E336" s="140"/>
      <c r="F336" s="140">
        <v>0</v>
      </c>
      <c r="G336" s="140">
        <v>3</v>
      </c>
      <c r="H336" s="140"/>
      <c r="I336" s="140">
        <v>0</v>
      </c>
      <c r="J336" s="140"/>
      <c r="K336" s="142">
        <v>3</v>
      </c>
      <c r="L336"/>
    </row>
    <row r="337" spans="1:12" x14ac:dyDescent="0.3">
      <c r="A337" s="94" t="s">
        <v>1059</v>
      </c>
      <c r="B337" s="140"/>
      <c r="C337" s="140"/>
      <c r="D337" s="140">
        <v>3</v>
      </c>
      <c r="E337" s="140"/>
      <c r="F337" s="140">
        <v>0</v>
      </c>
      <c r="G337" s="140"/>
      <c r="H337" s="140"/>
      <c r="I337" s="140"/>
      <c r="J337" s="140"/>
      <c r="K337" s="142">
        <v>3</v>
      </c>
      <c r="L337"/>
    </row>
    <row r="338" spans="1:12" x14ac:dyDescent="0.3">
      <c r="A338" s="94" t="s">
        <v>925</v>
      </c>
      <c r="B338" s="140"/>
      <c r="C338" s="140"/>
      <c r="D338" s="140"/>
      <c r="E338" s="140"/>
      <c r="F338" s="140"/>
      <c r="G338" s="140"/>
      <c r="H338" s="140"/>
      <c r="I338" s="140">
        <v>0</v>
      </c>
      <c r="J338" s="140"/>
      <c r="K338" s="142">
        <v>0</v>
      </c>
      <c r="L338"/>
    </row>
    <row r="339" spans="1:12" x14ac:dyDescent="0.3">
      <c r="A339" s="94" t="s">
        <v>920</v>
      </c>
      <c r="B339" s="140"/>
      <c r="C339" s="140"/>
      <c r="D339" s="140"/>
      <c r="E339" s="140"/>
      <c r="F339" s="140"/>
      <c r="G339" s="140"/>
      <c r="H339" s="140"/>
      <c r="I339" s="140">
        <v>0</v>
      </c>
      <c r="J339" s="140"/>
      <c r="K339" s="142">
        <v>0</v>
      </c>
      <c r="L339"/>
    </row>
    <row r="340" spans="1:12" x14ac:dyDescent="0.3">
      <c r="A340" s="94" t="s">
        <v>1060</v>
      </c>
      <c r="B340" s="140"/>
      <c r="C340" s="140"/>
      <c r="D340" s="140"/>
      <c r="E340" s="140">
        <v>0</v>
      </c>
      <c r="F340" s="140">
        <v>0</v>
      </c>
      <c r="G340" s="140"/>
      <c r="H340" s="140"/>
      <c r="I340" s="140"/>
      <c r="J340" s="140"/>
      <c r="K340" s="142">
        <v>0</v>
      </c>
      <c r="L340"/>
    </row>
    <row r="341" spans="1:12" x14ac:dyDescent="0.3">
      <c r="A341" s="3" t="s">
        <v>528</v>
      </c>
      <c r="B341" s="140"/>
      <c r="C341" s="140"/>
      <c r="D341" s="140">
        <v>3</v>
      </c>
      <c r="E341" s="140">
        <v>14</v>
      </c>
      <c r="F341" s="140">
        <v>30</v>
      </c>
      <c r="G341" s="140">
        <v>3</v>
      </c>
      <c r="H341" s="140">
        <v>3</v>
      </c>
      <c r="I341" s="140">
        <v>6</v>
      </c>
      <c r="J341" s="140"/>
      <c r="K341" s="142">
        <v>59</v>
      </c>
      <c r="L341"/>
    </row>
    <row r="342" spans="1:12" x14ac:dyDescent="0.3">
      <c r="A342" s="94" t="s">
        <v>1061</v>
      </c>
      <c r="B342" s="140"/>
      <c r="C342" s="140"/>
      <c r="D342" s="140"/>
      <c r="E342" s="140">
        <v>6</v>
      </c>
      <c r="F342" s="140">
        <v>10</v>
      </c>
      <c r="G342" s="140"/>
      <c r="H342" s="140"/>
      <c r="I342" s="140"/>
      <c r="J342" s="140"/>
      <c r="K342" s="142">
        <v>16</v>
      </c>
      <c r="L342"/>
    </row>
    <row r="343" spans="1:12" x14ac:dyDescent="0.3">
      <c r="A343" s="94" t="s">
        <v>1062</v>
      </c>
      <c r="B343" s="140"/>
      <c r="C343" s="140"/>
      <c r="D343" s="140"/>
      <c r="E343" s="140"/>
      <c r="F343" s="140"/>
      <c r="G343" s="140"/>
      <c r="H343" s="140">
        <v>3</v>
      </c>
      <c r="I343" s="140">
        <v>6</v>
      </c>
      <c r="J343" s="140"/>
      <c r="K343" s="142">
        <v>9</v>
      </c>
      <c r="L343"/>
    </row>
    <row r="344" spans="1:12" x14ac:dyDescent="0.3">
      <c r="A344" s="94" t="s">
        <v>1063</v>
      </c>
      <c r="B344" s="140"/>
      <c r="C344" s="140"/>
      <c r="D344" s="140"/>
      <c r="E344" s="140"/>
      <c r="F344" s="140">
        <v>6</v>
      </c>
      <c r="G344" s="140">
        <v>3</v>
      </c>
      <c r="H344" s="140"/>
      <c r="I344" s="140">
        <v>0</v>
      </c>
      <c r="J344" s="140"/>
      <c r="K344" s="142">
        <v>9</v>
      </c>
      <c r="L344"/>
    </row>
    <row r="345" spans="1:12" x14ac:dyDescent="0.3">
      <c r="A345" s="94" t="s">
        <v>997</v>
      </c>
      <c r="B345" s="140"/>
      <c r="C345" s="140"/>
      <c r="D345" s="140"/>
      <c r="E345" s="140">
        <v>5</v>
      </c>
      <c r="F345" s="140">
        <v>3</v>
      </c>
      <c r="G345" s="140"/>
      <c r="H345" s="140"/>
      <c r="I345" s="140"/>
      <c r="J345" s="140"/>
      <c r="K345" s="142">
        <v>8</v>
      </c>
      <c r="L345"/>
    </row>
    <row r="346" spans="1:12" x14ac:dyDescent="0.3">
      <c r="A346" s="94" t="s">
        <v>1064</v>
      </c>
      <c r="B346" s="140"/>
      <c r="C346" s="140"/>
      <c r="D346" s="140"/>
      <c r="E346" s="140"/>
      <c r="F346" s="140">
        <v>8</v>
      </c>
      <c r="G346" s="140"/>
      <c r="H346" s="140"/>
      <c r="I346" s="140"/>
      <c r="J346" s="140"/>
      <c r="K346" s="142">
        <v>8</v>
      </c>
      <c r="L346"/>
    </row>
    <row r="347" spans="1:12" x14ac:dyDescent="0.3">
      <c r="A347" s="94" t="s">
        <v>996</v>
      </c>
      <c r="B347" s="140"/>
      <c r="C347" s="140"/>
      <c r="D347" s="140"/>
      <c r="E347" s="140">
        <v>3</v>
      </c>
      <c r="F347" s="140">
        <v>3</v>
      </c>
      <c r="G347" s="140"/>
      <c r="H347" s="140">
        <v>0</v>
      </c>
      <c r="I347" s="140">
        <v>0</v>
      </c>
      <c r="J347" s="140"/>
      <c r="K347" s="142">
        <v>6</v>
      </c>
      <c r="L347"/>
    </row>
    <row r="348" spans="1:12" x14ac:dyDescent="0.3">
      <c r="A348" s="94" t="s">
        <v>1065</v>
      </c>
      <c r="B348" s="140"/>
      <c r="C348" s="140"/>
      <c r="D348" s="140">
        <v>3</v>
      </c>
      <c r="E348" s="140"/>
      <c r="F348" s="140">
        <v>0</v>
      </c>
      <c r="G348" s="140"/>
      <c r="H348" s="140"/>
      <c r="I348" s="140"/>
      <c r="J348" s="140"/>
      <c r="K348" s="142">
        <v>3</v>
      </c>
      <c r="L348"/>
    </row>
    <row r="349" spans="1:12" x14ac:dyDescent="0.3">
      <c r="A349" s="94" t="s">
        <v>1066</v>
      </c>
      <c r="B349" s="140"/>
      <c r="C349" s="140"/>
      <c r="D349" s="140"/>
      <c r="E349" s="140"/>
      <c r="F349" s="140">
        <v>0</v>
      </c>
      <c r="G349" s="140"/>
      <c r="H349" s="140"/>
      <c r="I349" s="140"/>
      <c r="J349" s="140"/>
      <c r="K349" s="142">
        <v>0</v>
      </c>
      <c r="L349"/>
    </row>
    <row r="350" spans="1:12" x14ac:dyDescent="0.3">
      <c r="A350" s="94" t="s">
        <v>1067</v>
      </c>
      <c r="B350" s="140"/>
      <c r="C350" s="140"/>
      <c r="D350" s="140"/>
      <c r="E350" s="140"/>
      <c r="F350" s="140">
        <v>0</v>
      </c>
      <c r="G350" s="140"/>
      <c r="H350" s="140"/>
      <c r="I350" s="140"/>
      <c r="J350" s="140"/>
      <c r="K350" s="142">
        <v>0</v>
      </c>
      <c r="L350"/>
    </row>
    <row r="351" spans="1:12" x14ac:dyDescent="0.3">
      <c r="A351" s="94" t="s">
        <v>1068</v>
      </c>
      <c r="B351" s="140"/>
      <c r="C351" s="140"/>
      <c r="D351" s="140"/>
      <c r="E351" s="140"/>
      <c r="F351" s="140"/>
      <c r="G351" s="140"/>
      <c r="H351" s="140"/>
      <c r="I351" s="140">
        <v>0</v>
      </c>
      <c r="J351" s="140"/>
      <c r="K351" s="142">
        <v>0</v>
      </c>
      <c r="L351"/>
    </row>
    <row r="352" spans="1:12" x14ac:dyDescent="0.3">
      <c r="A352" s="94" t="s">
        <v>988</v>
      </c>
      <c r="B352" s="140"/>
      <c r="C352" s="140"/>
      <c r="D352" s="140"/>
      <c r="E352" s="140"/>
      <c r="F352" s="140">
        <v>0</v>
      </c>
      <c r="G352" s="140"/>
      <c r="H352" s="140"/>
      <c r="I352" s="140"/>
      <c r="J352" s="140"/>
      <c r="K352" s="142">
        <v>0</v>
      </c>
      <c r="L352"/>
    </row>
    <row r="353" spans="1:12" x14ac:dyDescent="0.3">
      <c r="A353" s="3" t="s">
        <v>503</v>
      </c>
      <c r="B353" s="140"/>
      <c r="C353" s="140"/>
      <c r="D353" s="140">
        <v>18</v>
      </c>
      <c r="E353" s="140">
        <v>11</v>
      </c>
      <c r="F353" s="140">
        <v>29</v>
      </c>
      <c r="G353" s="140"/>
      <c r="H353" s="140"/>
      <c r="I353" s="140"/>
      <c r="J353" s="140"/>
      <c r="K353" s="142">
        <v>58</v>
      </c>
      <c r="L353"/>
    </row>
    <row r="354" spans="1:12" x14ac:dyDescent="0.3">
      <c r="A354" s="94" t="s">
        <v>564</v>
      </c>
      <c r="B354" s="140"/>
      <c r="C354" s="140"/>
      <c r="D354" s="140"/>
      <c r="E354" s="140">
        <v>4</v>
      </c>
      <c r="F354" s="140">
        <v>8</v>
      </c>
      <c r="G354" s="140"/>
      <c r="H354" s="140"/>
      <c r="I354" s="140"/>
      <c r="J354" s="140"/>
      <c r="K354" s="142">
        <v>12</v>
      </c>
      <c r="L354"/>
    </row>
    <row r="355" spans="1:12" x14ac:dyDescent="0.3">
      <c r="A355" s="94" t="s">
        <v>712</v>
      </c>
      <c r="B355" s="140"/>
      <c r="C355" s="140"/>
      <c r="D355" s="140"/>
      <c r="E355" s="140">
        <v>5</v>
      </c>
      <c r="F355" s="140">
        <v>6</v>
      </c>
      <c r="G355" s="140"/>
      <c r="H355" s="140"/>
      <c r="I355" s="140"/>
      <c r="J355" s="140"/>
      <c r="K355" s="142">
        <v>11</v>
      </c>
      <c r="L355"/>
    </row>
    <row r="356" spans="1:12" x14ac:dyDescent="0.3">
      <c r="A356" s="94" t="s">
        <v>1069</v>
      </c>
      <c r="B356" s="140"/>
      <c r="C356" s="140"/>
      <c r="D356" s="140">
        <v>5</v>
      </c>
      <c r="E356" s="140"/>
      <c r="F356" s="140">
        <v>2</v>
      </c>
      <c r="G356" s="140"/>
      <c r="H356" s="140"/>
      <c r="I356" s="140"/>
      <c r="J356" s="140"/>
      <c r="K356" s="142">
        <v>7</v>
      </c>
      <c r="L356"/>
    </row>
    <row r="357" spans="1:12" x14ac:dyDescent="0.3">
      <c r="A357" s="94" t="s">
        <v>718</v>
      </c>
      <c r="B357" s="140"/>
      <c r="C357" s="140"/>
      <c r="D357" s="140"/>
      <c r="E357" s="140">
        <v>2</v>
      </c>
      <c r="F357" s="140">
        <v>4</v>
      </c>
      <c r="G357" s="140"/>
      <c r="H357" s="140"/>
      <c r="I357" s="140"/>
      <c r="J357" s="140"/>
      <c r="K357" s="142">
        <v>6</v>
      </c>
      <c r="L357"/>
    </row>
    <row r="358" spans="1:12" x14ac:dyDescent="0.3">
      <c r="A358" s="94" t="s">
        <v>1070</v>
      </c>
      <c r="B358" s="140"/>
      <c r="C358" s="140"/>
      <c r="D358" s="140">
        <v>6</v>
      </c>
      <c r="E358" s="140"/>
      <c r="F358" s="140">
        <v>0</v>
      </c>
      <c r="G358" s="140"/>
      <c r="H358" s="140"/>
      <c r="I358" s="140"/>
      <c r="J358" s="140"/>
      <c r="K358" s="142">
        <v>6</v>
      </c>
      <c r="L358"/>
    </row>
    <row r="359" spans="1:12" x14ac:dyDescent="0.3">
      <c r="A359" s="94" t="s">
        <v>1071</v>
      </c>
      <c r="B359" s="140"/>
      <c r="C359" s="140"/>
      <c r="D359" s="140">
        <v>2</v>
      </c>
      <c r="E359" s="140"/>
      <c r="F359" s="140">
        <v>2</v>
      </c>
      <c r="G359" s="140"/>
      <c r="H359" s="140"/>
      <c r="I359" s="140"/>
      <c r="J359" s="140"/>
      <c r="K359" s="142">
        <v>4</v>
      </c>
      <c r="L359"/>
    </row>
    <row r="360" spans="1:12" x14ac:dyDescent="0.3">
      <c r="A360" s="94" t="s">
        <v>713</v>
      </c>
      <c r="B360" s="140"/>
      <c r="C360" s="140"/>
      <c r="D360" s="140">
        <v>3</v>
      </c>
      <c r="E360" s="140"/>
      <c r="F360" s="140"/>
      <c r="G360" s="140"/>
      <c r="H360" s="140"/>
      <c r="I360" s="140"/>
      <c r="J360" s="140"/>
      <c r="K360" s="142">
        <v>3</v>
      </c>
      <c r="L360"/>
    </row>
    <row r="361" spans="1:12" x14ac:dyDescent="0.3">
      <c r="A361" s="94" t="s">
        <v>566</v>
      </c>
      <c r="B361" s="140"/>
      <c r="C361" s="140"/>
      <c r="D361" s="140"/>
      <c r="E361" s="140">
        <v>0</v>
      </c>
      <c r="F361" s="140">
        <v>3</v>
      </c>
      <c r="G361" s="140"/>
      <c r="H361" s="140"/>
      <c r="I361" s="140"/>
      <c r="J361" s="140"/>
      <c r="K361" s="142">
        <v>3</v>
      </c>
      <c r="L361"/>
    </row>
    <row r="362" spans="1:12" x14ac:dyDescent="0.3">
      <c r="A362" s="94" t="s">
        <v>1072</v>
      </c>
      <c r="B362" s="140"/>
      <c r="C362" s="140"/>
      <c r="D362" s="140"/>
      <c r="E362" s="140">
        <v>0</v>
      </c>
      <c r="F362" s="140">
        <v>2</v>
      </c>
      <c r="G362" s="140"/>
      <c r="H362" s="140"/>
      <c r="I362" s="140"/>
      <c r="J362" s="140"/>
      <c r="K362" s="142">
        <v>2</v>
      </c>
      <c r="L362"/>
    </row>
    <row r="363" spans="1:12" x14ac:dyDescent="0.3">
      <c r="A363" s="94" t="s">
        <v>1073</v>
      </c>
      <c r="B363" s="140"/>
      <c r="C363" s="140"/>
      <c r="D363" s="140"/>
      <c r="E363" s="140">
        <v>0</v>
      </c>
      <c r="F363" s="140">
        <v>2</v>
      </c>
      <c r="G363" s="140"/>
      <c r="H363" s="140"/>
      <c r="I363" s="140"/>
      <c r="J363" s="140"/>
      <c r="K363" s="142">
        <v>2</v>
      </c>
      <c r="L363"/>
    </row>
    <row r="364" spans="1:12" x14ac:dyDescent="0.3">
      <c r="A364" s="94" t="s">
        <v>1074</v>
      </c>
      <c r="B364" s="140"/>
      <c r="C364" s="140"/>
      <c r="D364" s="140">
        <v>1</v>
      </c>
      <c r="E364" s="140"/>
      <c r="F364" s="140">
        <v>0</v>
      </c>
      <c r="G364" s="140"/>
      <c r="H364" s="140"/>
      <c r="I364" s="140"/>
      <c r="J364" s="140"/>
      <c r="K364" s="142">
        <v>1</v>
      </c>
      <c r="L364"/>
    </row>
    <row r="365" spans="1:12" x14ac:dyDescent="0.3">
      <c r="A365" s="94" t="s">
        <v>1075</v>
      </c>
      <c r="B365" s="140"/>
      <c r="C365" s="140"/>
      <c r="D365" s="140">
        <v>1</v>
      </c>
      <c r="E365" s="140"/>
      <c r="F365" s="140">
        <v>0</v>
      </c>
      <c r="G365" s="140"/>
      <c r="H365" s="140"/>
      <c r="I365" s="140"/>
      <c r="J365" s="140"/>
      <c r="K365" s="142">
        <v>1</v>
      </c>
      <c r="L365"/>
    </row>
    <row r="366" spans="1:12" x14ac:dyDescent="0.3">
      <c r="A366" s="94" t="s">
        <v>1076</v>
      </c>
      <c r="B366" s="140"/>
      <c r="C366" s="140"/>
      <c r="D366" s="140">
        <v>0</v>
      </c>
      <c r="E366" s="140"/>
      <c r="F366" s="140">
        <v>0</v>
      </c>
      <c r="G366" s="140"/>
      <c r="H366" s="140"/>
      <c r="I366" s="140"/>
      <c r="J366" s="140"/>
      <c r="K366" s="142">
        <v>0</v>
      </c>
      <c r="L366"/>
    </row>
    <row r="367" spans="1:12" x14ac:dyDescent="0.3">
      <c r="A367" s="94" t="s">
        <v>1077</v>
      </c>
      <c r="B367" s="140"/>
      <c r="C367" s="140"/>
      <c r="D367" s="140">
        <v>0</v>
      </c>
      <c r="E367" s="140"/>
      <c r="F367" s="140">
        <v>0</v>
      </c>
      <c r="G367" s="140"/>
      <c r="H367" s="140"/>
      <c r="I367" s="140"/>
      <c r="J367" s="140"/>
      <c r="K367" s="142">
        <v>0</v>
      </c>
      <c r="L367"/>
    </row>
    <row r="368" spans="1:12" x14ac:dyDescent="0.3">
      <c r="A368" s="94" t="s">
        <v>1078</v>
      </c>
      <c r="B368" s="140"/>
      <c r="C368" s="140"/>
      <c r="D368" s="140">
        <v>0</v>
      </c>
      <c r="E368" s="140"/>
      <c r="F368" s="140">
        <v>0</v>
      </c>
      <c r="G368" s="140"/>
      <c r="H368" s="140"/>
      <c r="I368" s="140"/>
      <c r="J368" s="140"/>
      <c r="K368" s="142">
        <v>0</v>
      </c>
      <c r="L368"/>
    </row>
    <row r="369" spans="1:12" x14ac:dyDescent="0.3">
      <c r="A369" s="3" t="s">
        <v>487</v>
      </c>
      <c r="B369" s="140"/>
      <c r="C369" s="140">
        <v>27</v>
      </c>
      <c r="D369" s="140"/>
      <c r="E369" s="140"/>
      <c r="F369" s="140"/>
      <c r="G369" s="140"/>
      <c r="H369" s="140"/>
      <c r="I369" s="140"/>
      <c r="J369" s="140">
        <v>30</v>
      </c>
      <c r="K369" s="142">
        <v>57</v>
      </c>
      <c r="L369"/>
    </row>
    <row r="370" spans="1:12" x14ac:dyDescent="0.3">
      <c r="A370" s="94" t="s">
        <v>571</v>
      </c>
      <c r="B370" s="140"/>
      <c r="C370" s="140">
        <v>12</v>
      </c>
      <c r="D370" s="140"/>
      <c r="E370" s="140"/>
      <c r="F370" s="140"/>
      <c r="G370" s="140"/>
      <c r="H370" s="140"/>
      <c r="I370" s="140"/>
      <c r="J370" s="140">
        <v>30</v>
      </c>
      <c r="K370" s="142">
        <v>42</v>
      </c>
      <c r="L370"/>
    </row>
    <row r="371" spans="1:12" x14ac:dyDescent="0.3">
      <c r="A371" s="94" t="s">
        <v>751</v>
      </c>
      <c r="B371" s="140"/>
      <c r="C371" s="140">
        <v>9</v>
      </c>
      <c r="D371" s="140"/>
      <c r="E371" s="140"/>
      <c r="F371" s="140"/>
      <c r="G371" s="140"/>
      <c r="H371" s="140"/>
      <c r="I371" s="140"/>
      <c r="J371" s="140"/>
      <c r="K371" s="142">
        <v>9</v>
      </c>
      <c r="L371"/>
    </row>
    <row r="372" spans="1:12" x14ac:dyDescent="0.3">
      <c r="A372" s="94" t="s">
        <v>737</v>
      </c>
      <c r="B372" s="140"/>
      <c r="C372" s="140">
        <v>6</v>
      </c>
      <c r="D372" s="140"/>
      <c r="E372" s="140"/>
      <c r="F372" s="140"/>
      <c r="G372" s="140"/>
      <c r="H372" s="140"/>
      <c r="I372" s="140"/>
      <c r="J372" s="140"/>
      <c r="K372" s="142">
        <v>6</v>
      </c>
      <c r="L372"/>
    </row>
    <row r="373" spans="1:12" x14ac:dyDescent="0.3">
      <c r="A373" s="3" t="s">
        <v>553</v>
      </c>
      <c r="B373" s="140"/>
      <c r="C373" s="140"/>
      <c r="D373" s="140">
        <v>21</v>
      </c>
      <c r="E373" s="140"/>
      <c r="F373" s="140">
        <v>28</v>
      </c>
      <c r="G373" s="140">
        <v>3</v>
      </c>
      <c r="H373" s="140"/>
      <c r="I373" s="140">
        <v>3</v>
      </c>
      <c r="J373" s="140"/>
      <c r="K373" s="142">
        <v>55</v>
      </c>
      <c r="L373"/>
    </row>
    <row r="374" spans="1:12" x14ac:dyDescent="0.3">
      <c r="A374" s="94" t="s">
        <v>1079</v>
      </c>
      <c r="B374" s="140"/>
      <c r="C374" s="140"/>
      <c r="D374" s="140">
        <v>8</v>
      </c>
      <c r="E374" s="140"/>
      <c r="F374" s="140">
        <v>10</v>
      </c>
      <c r="G374" s="140">
        <v>3</v>
      </c>
      <c r="H374" s="140"/>
      <c r="I374" s="140">
        <v>3</v>
      </c>
      <c r="J374" s="140"/>
      <c r="K374" s="142">
        <v>24</v>
      </c>
      <c r="L374"/>
    </row>
    <row r="375" spans="1:12" x14ac:dyDescent="0.3">
      <c r="A375" s="94" t="s">
        <v>1080</v>
      </c>
      <c r="B375" s="140"/>
      <c r="C375" s="140"/>
      <c r="D375" s="140">
        <v>3</v>
      </c>
      <c r="E375" s="140"/>
      <c r="F375" s="140">
        <v>6</v>
      </c>
      <c r="G375" s="140"/>
      <c r="H375" s="140"/>
      <c r="I375" s="140"/>
      <c r="J375" s="140"/>
      <c r="K375" s="142">
        <v>9</v>
      </c>
      <c r="L375"/>
    </row>
    <row r="376" spans="1:12" x14ac:dyDescent="0.3">
      <c r="A376" s="94" t="s">
        <v>1081</v>
      </c>
      <c r="B376" s="140"/>
      <c r="C376" s="140"/>
      <c r="D376" s="140"/>
      <c r="E376" s="140"/>
      <c r="F376" s="140">
        <v>8</v>
      </c>
      <c r="G376" s="140"/>
      <c r="H376" s="140"/>
      <c r="I376" s="140"/>
      <c r="J376" s="140"/>
      <c r="K376" s="142">
        <v>8</v>
      </c>
      <c r="L376"/>
    </row>
    <row r="377" spans="1:12" x14ac:dyDescent="0.3">
      <c r="A377" s="94" t="s">
        <v>1082</v>
      </c>
      <c r="B377" s="140"/>
      <c r="C377" s="140"/>
      <c r="D377" s="140">
        <v>4</v>
      </c>
      <c r="E377" s="140"/>
      <c r="F377" s="140">
        <v>4</v>
      </c>
      <c r="G377" s="140">
        <v>0</v>
      </c>
      <c r="H377" s="140"/>
      <c r="I377" s="140">
        <v>0</v>
      </c>
      <c r="J377" s="140"/>
      <c r="K377" s="142">
        <v>8</v>
      </c>
      <c r="L377"/>
    </row>
    <row r="378" spans="1:12" x14ac:dyDescent="0.3">
      <c r="A378" s="94" t="s">
        <v>1083</v>
      </c>
      <c r="B378" s="140"/>
      <c r="C378" s="140"/>
      <c r="D378" s="140">
        <v>6</v>
      </c>
      <c r="E378" s="140"/>
      <c r="F378" s="140">
        <v>0</v>
      </c>
      <c r="G378" s="140"/>
      <c r="H378" s="140"/>
      <c r="I378" s="140"/>
      <c r="J378" s="140"/>
      <c r="K378" s="142">
        <v>6</v>
      </c>
      <c r="L378"/>
    </row>
    <row r="379" spans="1:12" x14ac:dyDescent="0.3">
      <c r="A379" s="3" t="s">
        <v>505</v>
      </c>
      <c r="B379" s="140"/>
      <c r="C379" s="140"/>
      <c r="D379" s="140">
        <v>3</v>
      </c>
      <c r="E379" s="140">
        <v>3</v>
      </c>
      <c r="F379" s="140">
        <v>18</v>
      </c>
      <c r="G379" s="140"/>
      <c r="H379" s="140"/>
      <c r="I379" s="140"/>
      <c r="J379" s="140">
        <v>30</v>
      </c>
      <c r="K379" s="142">
        <v>54</v>
      </c>
      <c r="L379"/>
    </row>
    <row r="380" spans="1:12" x14ac:dyDescent="0.3">
      <c r="A380" s="94" t="s">
        <v>1240</v>
      </c>
      <c r="B380" s="140"/>
      <c r="C380" s="140"/>
      <c r="D380" s="140"/>
      <c r="E380" s="140">
        <v>3</v>
      </c>
      <c r="F380" s="140">
        <v>6</v>
      </c>
      <c r="G380" s="140"/>
      <c r="H380" s="140"/>
      <c r="I380" s="140"/>
      <c r="J380" s="140">
        <v>15</v>
      </c>
      <c r="K380" s="142">
        <v>24</v>
      </c>
      <c r="L380"/>
    </row>
    <row r="381" spans="1:12" x14ac:dyDescent="0.3">
      <c r="A381" s="94" t="s">
        <v>1241</v>
      </c>
      <c r="B381" s="140"/>
      <c r="C381" s="140"/>
      <c r="D381" s="140"/>
      <c r="E381" s="140">
        <v>0</v>
      </c>
      <c r="F381" s="140">
        <v>8</v>
      </c>
      <c r="G381" s="140"/>
      <c r="H381" s="140"/>
      <c r="I381" s="140"/>
      <c r="J381" s="140">
        <v>15</v>
      </c>
      <c r="K381" s="142">
        <v>23</v>
      </c>
      <c r="L381"/>
    </row>
    <row r="382" spans="1:12" x14ac:dyDescent="0.3">
      <c r="A382" s="94" t="s">
        <v>1242</v>
      </c>
      <c r="B382" s="140"/>
      <c r="C382" s="140"/>
      <c r="D382" s="140">
        <v>3</v>
      </c>
      <c r="E382" s="140"/>
      <c r="F382" s="140">
        <v>4</v>
      </c>
      <c r="G382" s="140"/>
      <c r="H382" s="140"/>
      <c r="I382" s="140"/>
      <c r="J382" s="140"/>
      <c r="K382" s="142">
        <v>7</v>
      </c>
      <c r="L382"/>
    </row>
    <row r="383" spans="1:12" x14ac:dyDescent="0.3">
      <c r="A383" s="94" t="s">
        <v>1243</v>
      </c>
      <c r="B383" s="140"/>
      <c r="C383" s="140"/>
      <c r="D383" s="140">
        <v>0</v>
      </c>
      <c r="E383" s="140"/>
      <c r="F383" s="140">
        <v>0</v>
      </c>
      <c r="G383" s="140"/>
      <c r="H383" s="140"/>
      <c r="I383" s="140"/>
      <c r="J383" s="140"/>
      <c r="K383" s="142">
        <v>0</v>
      </c>
      <c r="L383"/>
    </row>
    <row r="384" spans="1:12" x14ac:dyDescent="0.3">
      <c r="A384" s="3" t="s">
        <v>548</v>
      </c>
      <c r="B384" s="140"/>
      <c r="C384" s="140"/>
      <c r="D384" s="140">
        <v>11</v>
      </c>
      <c r="E384" s="140">
        <v>12</v>
      </c>
      <c r="F384" s="140">
        <v>29</v>
      </c>
      <c r="G384" s="140"/>
      <c r="H384" s="140"/>
      <c r="I384" s="140"/>
      <c r="J384" s="140"/>
      <c r="K384" s="142">
        <v>52</v>
      </c>
      <c r="L384"/>
    </row>
    <row r="385" spans="1:12" x14ac:dyDescent="0.3">
      <c r="A385" s="94" t="s">
        <v>1084</v>
      </c>
      <c r="B385" s="140"/>
      <c r="C385" s="140"/>
      <c r="D385" s="140"/>
      <c r="E385" s="140">
        <v>2</v>
      </c>
      <c r="F385" s="140">
        <v>8</v>
      </c>
      <c r="G385" s="140"/>
      <c r="H385" s="140"/>
      <c r="I385" s="140"/>
      <c r="J385" s="140"/>
      <c r="K385" s="142">
        <v>10</v>
      </c>
      <c r="L385"/>
    </row>
    <row r="386" spans="1:12" x14ac:dyDescent="0.3">
      <c r="A386" s="94" t="s">
        <v>1085</v>
      </c>
      <c r="B386" s="140"/>
      <c r="C386" s="140"/>
      <c r="D386" s="140"/>
      <c r="E386" s="140">
        <v>4</v>
      </c>
      <c r="F386" s="140">
        <v>6</v>
      </c>
      <c r="G386" s="140"/>
      <c r="H386" s="140"/>
      <c r="I386" s="140"/>
      <c r="J386" s="140"/>
      <c r="K386" s="142">
        <v>10</v>
      </c>
      <c r="L386"/>
    </row>
    <row r="387" spans="1:12" x14ac:dyDescent="0.3">
      <c r="A387" s="94" t="s">
        <v>1086</v>
      </c>
      <c r="B387" s="140"/>
      <c r="C387" s="140"/>
      <c r="D387" s="140">
        <v>5</v>
      </c>
      <c r="E387" s="140"/>
      <c r="F387" s="140">
        <v>4</v>
      </c>
      <c r="G387" s="140"/>
      <c r="H387" s="140"/>
      <c r="I387" s="140"/>
      <c r="J387" s="140"/>
      <c r="K387" s="142">
        <v>9</v>
      </c>
      <c r="L387"/>
    </row>
    <row r="388" spans="1:12" x14ac:dyDescent="0.3">
      <c r="A388" s="94" t="s">
        <v>1087</v>
      </c>
      <c r="B388" s="140"/>
      <c r="C388" s="140"/>
      <c r="D388" s="140"/>
      <c r="E388" s="140">
        <v>5</v>
      </c>
      <c r="F388" s="140">
        <v>2</v>
      </c>
      <c r="G388" s="140"/>
      <c r="H388" s="140"/>
      <c r="I388" s="140"/>
      <c r="J388" s="140"/>
      <c r="K388" s="142">
        <v>7</v>
      </c>
      <c r="L388"/>
    </row>
    <row r="389" spans="1:12" x14ac:dyDescent="0.3">
      <c r="A389" s="94" t="s">
        <v>1088</v>
      </c>
      <c r="B389" s="140"/>
      <c r="C389" s="140"/>
      <c r="D389" s="140">
        <v>4</v>
      </c>
      <c r="E389" s="140"/>
      <c r="F389" s="140">
        <v>3</v>
      </c>
      <c r="G389" s="140"/>
      <c r="H389" s="140"/>
      <c r="I389" s="140"/>
      <c r="J389" s="140"/>
      <c r="K389" s="142">
        <v>7</v>
      </c>
      <c r="L389"/>
    </row>
    <row r="390" spans="1:12" x14ac:dyDescent="0.3">
      <c r="A390" s="94" t="s">
        <v>1089</v>
      </c>
      <c r="B390" s="140"/>
      <c r="C390" s="140"/>
      <c r="D390" s="140"/>
      <c r="E390" s="140">
        <v>1</v>
      </c>
      <c r="F390" s="140">
        <v>2</v>
      </c>
      <c r="G390" s="140"/>
      <c r="H390" s="140"/>
      <c r="I390" s="140"/>
      <c r="J390" s="140"/>
      <c r="K390" s="142">
        <v>3</v>
      </c>
      <c r="L390"/>
    </row>
    <row r="391" spans="1:12" x14ac:dyDescent="0.3">
      <c r="A391" s="94" t="s">
        <v>1090</v>
      </c>
      <c r="B391" s="140"/>
      <c r="C391" s="140"/>
      <c r="D391" s="140"/>
      <c r="E391" s="140">
        <v>0</v>
      </c>
      <c r="F391" s="140">
        <v>2</v>
      </c>
      <c r="G391" s="140"/>
      <c r="H391" s="140"/>
      <c r="I391" s="140"/>
      <c r="J391" s="140"/>
      <c r="K391" s="142">
        <v>2</v>
      </c>
      <c r="L391"/>
    </row>
    <row r="392" spans="1:12" x14ac:dyDescent="0.3">
      <c r="A392" s="94" t="s">
        <v>1091</v>
      </c>
      <c r="B392" s="140"/>
      <c r="C392" s="140"/>
      <c r="D392" s="140"/>
      <c r="E392" s="140">
        <v>0</v>
      </c>
      <c r="F392" s="140">
        <v>2</v>
      </c>
      <c r="G392" s="140"/>
      <c r="H392" s="140"/>
      <c r="I392" s="140"/>
      <c r="J392" s="140"/>
      <c r="K392" s="142">
        <v>2</v>
      </c>
      <c r="L392"/>
    </row>
    <row r="393" spans="1:12" x14ac:dyDescent="0.3">
      <c r="A393" s="94" t="s">
        <v>1092</v>
      </c>
      <c r="B393" s="140"/>
      <c r="C393" s="140"/>
      <c r="D393" s="140">
        <v>2</v>
      </c>
      <c r="E393" s="140"/>
      <c r="F393" s="140">
        <v>0</v>
      </c>
      <c r="G393" s="140"/>
      <c r="H393" s="140"/>
      <c r="I393" s="140"/>
      <c r="J393" s="140"/>
      <c r="K393" s="142">
        <v>2</v>
      </c>
      <c r="L393"/>
    </row>
    <row r="394" spans="1:12" x14ac:dyDescent="0.3">
      <c r="A394" s="94" t="s">
        <v>1093</v>
      </c>
      <c r="B394" s="140"/>
      <c r="C394" s="140"/>
      <c r="D394" s="140">
        <v>0</v>
      </c>
      <c r="E394" s="140"/>
      <c r="F394" s="140">
        <v>0</v>
      </c>
      <c r="G394" s="140"/>
      <c r="H394" s="140"/>
      <c r="I394" s="140"/>
      <c r="J394" s="140"/>
      <c r="K394" s="142">
        <v>0</v>
      </c>
      <c r="L394"/>
    </row>
    <row r="395" spans="1:12" x14ac:dyDescent="0.3">
      <c r="A395" s="94" t="s">
        <v>1094</v>
      </c>
      <c r="B395" s="140"/>
      <c r="C395" s="140"/>
      <c r="D395" s="140"/>
      <c r="E395" s="140">
        <v>0</v>
      </c>
      <c r="F395" s="140">
        <v>0</v>
      </c>
      <c r="G395" s="140"/>
      <c r="H395" s="140"/>
      <c r="I395" s="140"/>
      <c r="J395" s="140"/>
      <c r="K395" s="142">
        <v>0</v>
      </c>
      <c r="L395"/>
    </row>
    <row r="396" spans="1:12" x14ac:dyDescent="0.3">
      <c r="A396" s="94" t="s">
        <v>1095</v>
      </c>
      <c r="B396" s="140"/>
      <c r="C396" s="140"/>
      <c r="D396" s="140">
        <v>0</v>
      </c>
      <c r="E396" s="140"/>
      <c r="F396" s="140">
        <v>0</v>
      </c>
      <c r="G396" s="140"/>
      <c r="H396" s="140"/>
      <c r="I396" s="140"/>
      <c r="J396" s="140"/>
      <c r="K396" s="142">
        <v>0</v>
      </c>
      <c r="L396"/>
    </row>
    <row r="397" spans="1:12" x14ac:dyDescent="0.3">
      <c r="A397" s="94" t="s">
        <v>1096</v>
      </c>
      <c r="B397" s="140"/>
      <c r="C397" s="140"/>
      <c r="D397" s="140">
        <v>0</v>
      </c>
      <c r="E397" s="140"/>
      <c r="F397" s="140">
        <v>0</v>
      </c>
      <c r="G397" s="140"/>
      <c r="H397" s="140"/>
      <c r="I397" s="140"/>
      <c r="J397" s="140"/>
      <c r="K397" s="142">
        <v>0</v>
      </c>
      <c r="L397"/>
    </row>
    <row r="398" spans="1:12" x14ac:dyDescent="0.3">
      <c r="A398" s="3" t="s">
        <v>536</v>
      </c>
      <c r="B398" s="140"/>
      <c r="C398" s="140"/>
      <c r="D398" s="140">
        <v>3</v>
      </c>
      <c r="E398" s="140">
        <v>14</v>
      </c>
      <c r="F398" s="140">
        <v>31</v>
      </c>
      <c r="G398" s="140">
        <v>3</v>
      </c>
      <c r="H398" s="140"/>
      <c r="I398" s="140"/>
      <c r="J398" s="140"/>
      <c r="K398" s="142">
        <v>51</v>
      </c>
      <c r="L398"/>
    </row>
    <row r="399" spans="1:12" x14ac:dyDescent="0.3">
      <c r="A399" s="94" t="s">
        <v>911</v>
      </c>
      <c r="B399" s="140"/>
      <c r="C399" s="140"/>
      <c r="D399" s="140"/>
      <c r="E399" s="140">
        <v>6</v>
      </c>
      <c r="F399" s="140">
        <v>10</v>
      </c>
      <c r="G399" s="140"/>
      <c r="H399" s="140"/>
      <c r="I399" s="140"/>
      <c r="J399" s="140"/>
      <c r="K399" s="142">
        <v>16</v>
      </c>
      <c r="L399"/>
    </row>
    <row r="400" spans="1:12" x14ac:dyDescent="0.3">
      <c r="A400" s="94" t="s">
        <v>1097</v>
      </c>
      <c r="B400" s="140"/>
      <c r="C400" s="140"/>
      <c r="D400" s="140"/>
      <c r="E400" s="140">
        <v>3</v>
      </c>
      <c r="F400" s="140">
        <v>8</v>
      </c>
      <c r="G400" s="140"/>
      <c r="H400" s="140"/>
      <c r="I400" s="140"/>
      <c r="J400" s="140"/>
      <c r="K400" s="142">
        <v>11</v>
      </c>
      <c r="L400"/>
    </row>
    <row r="401" spans="1:12" x14ac:dyDescent="0.3">
      <c r="A401" s="94" t="s">
        <v>1098</v>
      </c>
      <c r="B401" s="140"/>
      <c r="C401" s="140"/>
      <c r="D401" s="140">
        <v>3</v>
      </c>
      <c r="E401" s="140"/>
      <c r="F401" s="140">
        <v>4</v>
      </c>
      <c r="G401" s="140">
        <v>0</v>
      </c>
      <c r="H401" s="140"/>
      <c r="I401" s="140"/>
      <c r="J401" s="140"/>
      <c r="K401" s="142">
        <v>7</v>
      </c>
      <c r="L401"/>
    </row>
    <row r="402" spans="1:12" x14ac:dyDescent="0.3">
      <c r="A402" s="94" t="s">
        <v>915</v>
      </c>
      <c r="B402" s="140"/>
      <c r="C402" s="140"/>
      <c r="D402" s="140">
        <v>0</v>
      </c>
      <c r="E402" s="140"/>
      <c r="F402" s="140">
        <v>6</v>
      </c>
      <c r="G402" s="140"/>
      <c r="H402" s="140"/>
      <c r="I402" s="140"/>
      <c r="J402" s="140"/>
      <c r="K402" s="142">
        <v>6</v>
      </c>
      <c r="L402"/>
    </row>
    <row r="403" spans="1:12" x14ac:dyDescent="0.3">
      <c r="A403" s="94" t="s">
        <v>1099</v>
      </c>
      <c r="B403" s="140"/>
      <c r="C403" s="140"/>
      <c r="D403" s="140"/>
      <c r="E403" s="140">
        <v>5</v>
      </c>
      <c r="F403" s="140"/>
      <c r="G403" s="140"/>
      <c r="H403" s="140"/>
      <c r="I403" s="140"/>
      <c r="J403" s="140"/>
      <c r="K403" s="142">
        <v>5</v>
      </c>
      <c r="L403"/>
    </row>
    <row r="404" spans="1:12" x14ac:dyDescent="0.3">
      <c r="A404" s="94" t="s">
        <v>1100</v>
      </c>
      <c r="B404" s="140"/>
      <c r="C404" s="140"/>
      <c r="D404" s="140"/>
      <c r="E404" s="140"/>
      <c r="F404" s="140"/>
      <c r="G404" s="140">
        <v>3</v>
      </c>
      <c r="H404" s="140"/>
      <c r="I404" s="140"/>
      <c r="J404" s="140"/>
      <c r="K404" s="142">
        <v>3</v>
      </c>
      <c r="L404"/>
    </row>
    <row r="405" spans="1:12" x14ac:dyDescent="0.3">
      <c r="A405" s="94" t="s">
        <v>1101</v>
      </c>
      <c r="B405" s="140"/>
      <c r="C405" s="140"/>
      <c r="D405" s="140"/>
      <c r="E405" s="140"/>
      <c r="F405" s="140">
        <v>3</v>
      </c>
      <c r="G405" s="140"/>
      <c r="H405" s="140"/>
      <c r="I405" s="140"/>
      <c r="J405" s="140"/>
      <c r="K405" s="142">
        <v>3</v>
      </c>
      <c r="L405"/>
    </row>
    <row r="406" spans="1:12" x14ac:dyDescent="0.3">
      <c r="A406" s="3" t="s">
        <v>502</v>
      </c>
      <c r="B406" s="140"/>
      <c r="C406" s="140"/>
      <c r="D406" s="140">
        <v>3</v>
      </c>
      <c r="E406" s="140">
        <v>11</v>
      </c>
      <c r="F406" s="140">
        <v>21</v>
      </c>
      <c r="G406" s="140"/>
      <c r="H406" s="140"/>
      <c r="I406" s="140"/>
      <c r="J406" s="140">
        <v>16</v>
      </c>
      <c r="K406" s="142">
        <v>51</v>
      </c>
      <c r="L406"/>
    </row>
    <row r="407" spans="1:12" x14ac:dyDescent="0.3">
      <c r="A407" s="94" t="s">
        <v>1205</v>
      </c>
      <c r="B407" s="140"/>
      <c r="C407" s="140"/>
      <c r="D407" s="140"/>
      <c r="E407" s="140">
        <v>4</v>
      </c>
      <c r="F407" s="140">
        <v>6</v>
      </c>
      <c r="G407" s="140"/>
      <c r="H407" s="140"/>
      <c r="I407" s="140"/>
      <c r="J407" s="140">
        <v>10</v>
      </c>
      <c r="K407" s="142">
        <v>20</v>
      </c>
      <c r="L407"/>
    </row>
    <row r="408" spans="1:12" x14ac:dyDescent="0.3">
      <c r="A408" s="94" t="s">
        <v>1204</v>
      </c>
      <c r="B408" s="140"/>
      <c r="C408" s="140"/>
      <c r="D408" s="140"/>
      <c r="E408" s="140">
        <v>5</v>
      </c>
      <c r="F408" s="140">
        <v>8</v>
      </c>
      <c r="G408" s="140"/>
      <c r="H408" s="140"/>
      <c r="I408" s="140"/>
      <c r="J408" s="140">
        <v>6</v>
      </c>
      <c r="K408" s="142">
        <v>19</v>
      </c>
      <c r="L408"/>
    </row>
    <row r="409" spans="1:12" x14ac:dyDescent="0.3">
      <c r="A409" s="94" t="s">
        <v>1206</v>
      </c>
      <c r="B409" s="140"/>
      <c r="C409" s="140"/>
      <c r="D409" s="140">
        <v>3</v>
      </c>
      <c r="E409" s="140"/>
      <c r="F409" s="140">
        <v>3</v>
      </c>
      <c r="G409" s="140"/>
      <c r="H409" s="140"/>
      <c r="I409" s="140"/>
      <c r="J409" s="140"/>
      <c r="K409" s="142">
        <v>6</v>
      </c>
      <c r="L409"/>
    </row>
    <row r="410" spans="1:12" x14ac:dyDescent="0.3">
      <c r="A410" s="94" t="s">
        <v>1207</v>
      </c>
      <c r="B410" s="140"/>
      <c r="C410" s="140"/>
      <c r="D410" s="140"/>
      <c r="E410" s="140">
        <v>2</v>
      </c>
      <c r="F410" s="140">
        <v>4</v>
      </c>
      <c r="G410" s="140"/>
      <c r="H410" s="140"/>
      <c r="I410" s="140"/>
      <c r="J410" s="140"/>
      <c r="K410" s="142">
        <v>6</v>
      </c>
      <c r="L410"/>
    </row>
    <row r="411" spans="1:12" x14ac:dyDescent="0.3">
      <c r="A411" s="94" t="s">
        <v>1208</v>
      </c>
      <c r="B411" s="140"/>
      <c r="C411" s="140"/>
      <c r="D411" s="140"/>
      <c r="E411" s="140">
        <v>0</v>
      </c>
      <c r="F411" s="140">
        <v>0</v>
      </c>
      <c r="G411" s="140"/>
      <c r="H411" s="140"/>
      <c r="I411" s="140"/>
      <c r="J411" s="140"/>
      <c r="K411" s="142">
        <v>0</v>
      </c>
      <c r="L411"/>
    </row>
    <row r="412" spans="1:12" x14ac:dyDescent="0.3">
      <c r="A412" s="3" t="s">
        <v>541</v>
      </c>
      <c r="B412" s="140"/>
      <c r="C412" s="140"/>
      <c r="D412" s="140">
        <v>9</v>
      </c>
      <c r="E412" s="140">
        <v>14</v>
      </c>
      <c r="F412" s="140">
        <v>28</v>
      </c>
      <c r="G412" s="140"/>
      <c r="H412" s="140"/>
      <c r="I412" s="140"/>
      <c r="J412" s="140"/>
      <c r="K412" s="142">
        <v>51</v>
      </c>
      <c r="L412"/>
    </row>
    <row r="413" spans="1:12" x14ac:dyDescent="0.3">
      <c r="A413" s="94" t="s">
        <v>1102</v>
      </c>
      <c r="B413" s="140"/>
      <c r="C413" s="140"/>
      <c r="D413" s="140">
        <v>6</v>
      </c>
      <c r="E413" s="140"/>
      <c r="F413" s="140">
        <v>10</v>
      </c>
      <c r="G413" s="140"/>
      <c r="H413" s="140"/>
      <c r="I413" s="140"/>
      <c r="J413" s="140"/>
      <c r="K413" s="142">
        <v>16</v>
      </c>
      <c r="L413"/>
    </row>
    <row r="414" spans="1:12" x14ac:dyDescent="0.3">
      <c r="A414" s="94" t="s">
        <v>1103</v>
      </c>
      <c r="B414" s="140"/>
      <c r="C414" s="140"/>
      <c r="D414" s="140"/>
      <c r="E414" s="140">
        <v>6</v>
      </c>
      <c r="F414" s="140">
        <v>6</v>
      </c>
      <c r="G414" s="140"/>
      <c r="H414" s="140"/>
      <c r="I414" s="140"/>
      <c r="J414" s="140"/>
      <c r="K414" s="142">
        <v>12</v>
      </c>
      <c r="L414"/>
    </row>
    <row r="415" spans="1:12" x14ac:dyDescent="0.3">
      <c r="A415" s="94" t="s">
        <v>1104</v>
      </c>
      <c r="B415" s="140"/>
      <c r="C415" s="140"/>
      <c r="D415" s="140"/>
      <c r="E415" s="140">
        <v>5</v>
      </c>
      <c r="F415" s="140">
        <v>6</v>
      </c>
      <c r="G415" s="140"/>
      <c r="H415" s="140"/>
      <c r="I415" s="140"/>
      <c r="J415" s="140"/>
      <c r="K415" s="142">
        <v>11</v>
      </c>
      <c r="L415"/>
    </row>
    <row r="416" spans="1:12" x14ac:dyDescent="0.3">
      <c r="A416" s="94" t="s">
        <v>1105</v>
      </c>
      <c r="B416" s="140"/>
      <c r="C416" s="140"/>
      <c r="D416" s="140"/>
      <c r="E416" s="140">
        <v>3</v>
      </c>
      <c r="F416" s="140">
        <v>3</v>
      </c>
      <c r="G416" s="140"/>
      <c r="H416" s="140"/>
      <c r="I416" s="140"/>
      <c r="J416" s="140"/>
      <c r="K416" s="142">
        <v>6</v>
      </c>
      <c r="L416"/>
    </row>
    <row r="417" spans="1:12" x14ac:dyDescent="0.3">
      <c r="A417" s="94" t="s">
        <v>1106</v>
      </c>
      <c r="B417" s="140"/>
      <c r="C417" s="140"/>
      <c r="D417" s="140"/>
      <c r="E417" s="140"/>
      <c r="F417" s="140">
        <v>3</v>
      </c>
      <c r="G417" s="140"/>
      <c r="H417" s="140"/>
      <c r="I417" s="140"/>
      <c r="J417" s="140"/>
      <c r="K417" s="142">
        <v>3</v>
      </c>
      <c r="L417"/>
    </row>
    <row r="418" spans="1:12" x14ac:dyDescent="0.3">
      <c r="A418" s="94" t="s">
        <v>1093</v>
      </c>
      <c r="B418" s="140"/>
      <c r="C418" s="140"/>
      <c r="D418" s="140">
        <v>3</v>
      </c>
      <c r="E418" s="140"/>
      <c r="F418" s="140">
        <v>0</v>
      </c>
      <c r="G418" s="140"/>
      <c r="H418" s="140"/>
      <c r="I418" s="140"/>
      <c r="J418" s="140"/>
      <c r="K418" s="142">
        <v>3</v>
      </c>
      <c r="L418"/>
    </row>
    <row r="419" spans="1:12" x14ac:dyDescent="0.3">
      <c r="A419" s="94" t="s">
        <v>1107</v>
      </c>
      <c r="B419" s="140"/>
      <c r="C419" s="140"/>
      <c r="D419" s="140"/>
      <c r="E419" s="140"/>
      <c r="F419" s="140">
        <v>0</v>
      </c>
      <c r="G419" s="140"/>
      <c r="H419" s="140"/>
      <c r="I419" s="140"/>
      <c r="J419" s="140"/>
      <c r="K419" s="142">
        <v>0</v>
      </c>
      <c r="L419"/>
    </row>
    <row r="420" spans="1:12" x14ac:dyDescent="0.3">
      <c r="A420" s="94" t="s">
        <v>1089</v>
      </c>
      <c r="B420" s="140"/>
      <c r="C420" s="140"/>
      <c r="D420" s="140"/>
      <c r="E420" s="140"/>
      <c r="F420" s="140">
        <v>0</v>
      </c>
      <c r="G420" s="140"/>
      <c r="H420" s="140"/>
      <c r="I420" s="140"/>
      <c r="J420" s="140"/>
      <c r="K420" s="142">
        <v>0</v>
      </c>
      <c r="L420"/>
    </row>
    <row r="421" spans="1:12" x14ac:dyDescent="0.3">
      <c r="A421" s="94" t="s">
        <v>1108</v>
      </c>
      <c r="B421" s="140"/>
      <c r="C421" s="140"/>
      <c r="D421" s="140"/>
      <c r="E421" s="140"/>
      <c r="F421" s="140">
        <v>0</v>
      </c>
      <c r="G421" s="140"/>
      <c r="H421" s="140"/>
      <c r="I421" s="140"/>
      <c r="J421" s="140"/>
      <c r="K421" s="142">
        <v>0</v>
      </c>
      <c r="L421"/>
    </row>
    <row r="422" spans="1:12" x14ac:dyDescent="0.3">
      <c r="A422" s="3" t="s">
        <v>497</v>
      </c>
      <c r="B422" s="140"/>
      <c r="C422" s="140"/>
      <c r="D422" s="140">
        <v>21</v>
      </c>
      <c r="E422" s="140">
        <v>11</v>
      </c>
      <c r="F422" s="140">
        <v>18</v>
      </c>
      <c r="G422" s="140"/>
      <c r="H422" s="140"/>
      <c r="I422" s="140"/>
      <c r="J422" s="140"/>
      <c r="K422" s="142">
        <v>50</v>
      </c>
      <c r="L422"/>
    </row>
    <row r="423" spans="1:12" x14ac:dyDescent="0.3">
      <c r="A423" s="94" t="s">
        <v>1109</v>
      </c>
      <c r="B423" s="140"/>
      <c r="C423" s="140"/>
      <c r="D423" s="140"/>
      <c r="E423" s="140">
        <v>5</v>
      </c>
      <c r="F423" s="140">
        <v>8</v>
      </c>
      <c r="G423" s="140"/>
      <c r="H423" s="140"/>
      <c r="I423" s="140"/>
      <c r="J423" s="140"/>
      <c r="K423" s="142">
        <v>13</v>
      </c>
      <c r="L423"/>
    </row>
    <row r="424" spans="1:12" x14ac:dyDescent="0.3">
      <c r="A424" s="94" t="s">
        <v>1110</v>
      </c>
      <c r="B424" s="140"/>
      <c r="C424" s="140"/>
      <c r="D424" s="140">
        <v>8</v>
      </c>
      <c r="E424" s="140"/>
      <c r="F424" s="140">
        <v>4</v>
      </c>
      <c r="G424" s="140"/>
      <c r="H424" s="140"/>
      <c r="I424" s="140"/>
      <c r="J424" s="140"/>
      <c r="K424" s="142">
        <v>12</v>
      </c>
      <c r="L424"/>
    </row>
    <row r="425" spans="1:12" x14ac:dyDescent="0.3">
      <c r="A425" s="94" t="s">
        <v>1111</v>
      </c>
      <c r="B425" s="140"/>
      <c r="C425" s="140"/>
      <c r="D425" s="140"/>
      <c r="E425" s="140">
        <v>6</v>
      </c>
      <c r="F425" s="140">
        <v>6</v>
      </c>
      <c r="G425" s="140"/>
      <c r="H425" s="140"/>
      <c r="I425" s="140"/>
      <c r="J425" s="140"/>
      <c r="K425" s="142">
        <v>12</v>
      </c>
      <c r="L425"/>
    </row>
    <row r="426" spans="1:12" x14ac:dyDescent="0.3">
      <c r="A426" s="94" t="s">
        <v>1112</v>
      </c>
      <c r="B426" s="140"/>
      <c r="C426" s="140"/>
      <c r="D426" s="140">
        <v>6</v>
      </c>
      <c r="E426" s="140"/>
      <c r="F426" s="140">
        <v>0</v>
      </c>
      <c r="G426" s="140"/>
      <c r="H426" s="140"/>
      <c r="I426" s="140"/>
      <c r="J426" s="140"/>
      <c r="K426" s="142">
        <v>6</v>
      </c>
      <c r="L426"/>
    </row>
    <row r="427" spans="1:12" x14ac:dyDescent="0.3">
      <c r="A427" s="94" t="s">
        <v>1113</v>
      </c>
      <c r="B427" s="140"/>
      <c r="C427" s="140"/>
      <c r="D427" s="140">
        <v>4</v>
      </c>
      <c r="E427" s="140"/>
      <c r="F427" s="140">
        <v>0</v>
      </c>
      <c r="G427" s="140"/>
      <c r="H427" s="140"/>
      <c r="I427" s="140"/>
      <c r="J427" s="140"/>
      <c r="K427" s="142">
        <v>4</v>
      </c>
      <c r="L427"/>
    </row>
    <row r="428" spans="1:12" x14ac:dyDescent="0.3">
      <c r="A428" s="94" t="s">
        <v>1114</v>
      </c>
      <c r="B428" s="140"/>
      <c r="C428" s="140"/>
      <c r="D428" s="140">
        <v>3</v>
      </c>
      <c r="E428" s="140"/>
      <c r="F428" s="140">
        <v>0</v>
      </c>
      <c r="G428" s="140"/>
      <c r="H428" s="140"/>
      <c r="I428" s="140"/>
      <c r="J428" s="140"/>
      <c r="K428" s="142">
        <v>3</v>
      </c>
      <c r="L428"/>
    </row>
    <row r="429" spans="1:12" x14ac:dyDescent="0.3">
      <c r="A429" s="3" t="s">
        <v>520</v>
      </c>
      <c r="B429" s="140"/>
      <c r="C429" s="140"/>
      <c r="D429" s="140">
        <v>13</v>
      </c>
      <c r="E429" s="140">
        <v>11</v>
      </c>
      <c r="F429" s="140">
        <v>24</v>
      </c>
      <c r="G429" s="140"/>
      <c r="H429" s="140"/>
      <c r="I429" s="140"/>
      <c r="J429" s="140"/>
      <c r="K429" s="142">
        <v>48</v>
      </c>
      <c r="L429"/>
    </row>
    <row r="430" spans="1:12" x14ac:dyDescent="0.3">
      <c r="A430" s="94" t="s">
        <v>1115</v>
      </c>
      <c r="B430" s="140"/>
      <c r="C430" s="140"/>
      <c r="D430" s="140">
        <v>0</v>
      </c>
      <c r="E430" s="140"/>
      <c r="F430" s="140">
        <v>8</v>
      </c>
      <c r="G430" s="140"/>
      <c r="H430" s="140"/>
      <c r="I430" s="140"/>
      <c r="J430" s="140"/>
      <c r="K430" s="142">
        <v>8</v>
      </c>
      <c r="L430"/>
    </row>
    <row r="431" spans="1:12" x14ac:dyDescent="0.3">
      <c r="A431" s="94" t="s">
        <v>1116</v>
      </c>
      <c r="B431" s="140"/>
      <c r="C431" s="140"/>
      <c r="D431" s="140">
        <v>0</v>
      </c>
      <c r="E431" s="140"/>
      <c r="F431" s="140">
        <v>6</v>
      </c>
      <c r="G431" s="140"/>
      <c r="H431" s="140"/>
      <c r="I431" s="140"/>
      <c r="J431" s="140"/>
      <c r="K431" s="142">
        <v>6</v>
      </c>
      <c r="L431"/>
    </row>
    <row r="432" spans="1:12" x14ac:dyDescent="0.3">
      <c r="A432" s="94" t="s">
        <v>1117</v>
      </c>
      <c r="B432" s="140"/>
      <c r="C432" s="140"/>
      <c r="D432" s="140">
        <v>4</v>
      </c>
      <c r="E432" s="140"/>
      <c r="F432" s="140">
        <v>2</v>
      </c>
      <c r="G432" s="140"/>
      <c r="H432" s="140"/>
      <c r="I432" s="140"/>
      <c r="J432" s="140"/>
      <c r="K432" s="142">
        <v>6</v>
      </c>
      <c r="L432"/>
    </row>
    <row r="433" spans="1:12" x14ac:dyDescent="0.3">
      <c r="A433" s="94" t="s">
        <v>1118</v>
      </c>
      <c r="B433" s="140"/>
      <c r="C433" s="140"/>
      <c r="D433" s="140">
        <v>2</v>
      </c>
      <c r="E433" s="140"/>
      <c r="F433" s="140">
        <v>4</v>
      </c>
      <c r="G433" s="140"/>
      <c r="H433" s="140"/>
      <c r="I433" s="140"/>
      <c r="J433" s="140"/>
      <c r="K433" s="142">
        <v>6</v>
      </c>
      <c r="L433"/>
    </row>
    <row r="434" spans="1:12" x14ac:dyDescent="0.3">
      <c r="A434" s="94" t="s">
        <v>1119</v>
      </c>
      <c r="B434" s="140"/>
      <c r="C434" s="140"/>
      <c r="D434" s="140"/>
      <c r="E434" s="140">
        <v>5</v>
      </c>
      <c r="F434" s="140">
        <v>0</v>
      </c>
      <c r="G434" s="140"/>
      <c r="H434" s="140"/>
      <c r="I434" s="140"/>
      <c r="J434" s="140"/>
      <c r="K434" s="142">
        <v>5</v>
      </c>
      <c r="L434"/>
    </row>
    <row r="435" spans="1:12" x14ac:dyDescent="0.3">
      <c r="A435" s="94" t="s">
        <v>1120</v>
      </c>
      <c r="B435" s="140"/>
      <c r="C435" s="140"/>
      <c r="D435" s="140">
        <v>5</v>
      </c>
      <c r="E435" s="140"/>
      <c r="F435" s="140">
        <v>0</v>
      </c>
      <c r="G435" s="140"/>
      <c r="H435" s="140"/>
      <c r="I435" s="140"/>
      <c r="J435" s="140"/>
      <c r="K435" s="142">
        <v>5</v>
      </c>
      <c r="L435"/>
    </row>
    <row r="436" spans="1:12" x14ac:dyDescent="0.3">
      <c r="A436" s="94" t="s">
        <v>1121</v>
      </c>
      <c r="B436" s="140"/>
      <c r="C436" s="140"/>
      <c r="D436" s="140"/>
      <c r="E436" s="140">
        <v>4</v>
      </c>
      <c r="F436" s="140">
        <v>0</v>
      </c>
      <c r="G436" s="140"/>
      <c r="H436" s="140"/>
      <c r="I436" s="140"/>
      <c r="J436" s="140"/>
      <c r="K436" s="142">
        <v>4</v>
      </c>
      <c r="L436"/>
    </row>
    <row r="437" spans="1:12" x14ac:dyDescent="0.3">
      <c r="A437" s="94" t="s">
        <v>1122</v>
      </c>
      <c r="B437" s="140"/>
      <c r="C437" s="140"/>
      <c r="D437" s="140">
        <v>0</v>
      </c>
      <c r="E437" s="140"/>
      <c r="F437" s="140">
        <v>4</v>
      </c>
      <c r="G437" s="140"/>
      <c r="H437" s="140"/>
      <c r="I437" s="140"/>
      <c r="J437" s="140"/>
      <c r="K437" s="142">
        <v>4</v>
      </c>
      <c r="L437"/>
    </row>
    <row r="438" spans="1:12" x14ac:dyDescent="0.3">
      <c r="A438" s="94" t="s">
        <v>1123</v>
      </c>
      <c r="B438" s="140"/>
      <c r="C438" s="140"/>
      <c r="D438" s="140"/>
      <c r="E438" s="140">
        <v>2</v>
      </c>
      <c r="F438" s="140">
        <v>0</v>
      </c>
      <c r="G438" s="140"/>
      <c r="H438" s="140"/>
      <c r="I438" s="140"/>
      <c r="J438" s="140"/>
      <c r="K438" s="142">
        <v>2</v>
      </c>
      <c r="L438"/>
    </row>
    <row r="439" spans="1:12" x14ac:dyDescent="0.3">
      <c r="A439" s="94" t="s">
        <v>1124</v>
      </c>
      <c r="B439" s="140"/>
      <c r="C439" s="140"/>
      <c r="D439" s="140">
        <v>2</v>
      </c>
      <c r="E439" s="140"/>
      <c r="F439" s="140">
        <v>0</v>
      </c>
      <c r="G439" s="140"/>
      <c r="H439" s="140"/>
      <c r="I439" s="140"/>
      <c r="J439" s="140"/>
      <c r="K439" s="142">
        <v>2</v>
      </c>
      <c r="L439"/>
    </row>
    <row r="440" spans="1:12" x14ac:dyDescent="0.3">
      <c r="A440" s="94" t="s">
        <v>1125</v>
      </c>
      <c r="B440" s="140"/>
      <c r="C440" s="140"/>
      <c r="D440" s="140">
        <v>0</v>
      </c>
      <c r="E440" s="140"/>
      <c r="F440" s="140">
        <v>0</v>
      </c>
      <c r="G440" s="140"/>
      <c r="H440" s="140"/>
      <c r="I440" s="140"/>
      <c r="J440" s="140"/>
      <c r="K440" s="142">
        <v>0</v>
      </c>
      <c r="L440"/>
    </row>
    <row r="441" spans="1:12" x14ac:dyDescent="0.3">
      <c r="A441" s="94" t="s">
        <v>1126</v>
      </c>
      <c r="B441" s="140"/>
      <c r="C441" s="140"/>
      <c r="D441" s="140"/>
      <c r="E441" s="140">
        <v>0</v>
      </c>
      <c r="F441" s="140">
        <v>0</v>
      </c>
      <c r="G441" s="140"/>
      <c r="H441" s="140"/>
      <c r="I441" s="140"/>
      <c r="J441" s="140"/>
      <c r="K441" s="142">
        <v>0</v>
      </c>
      <c r="L441"/>
    </row>
    <row r="442" spans="1:12" x14ac:dyDescent="0.3">
      <c r="A442" s="94" t="s">
        <v>994</v>
      </c>
      <c r="B442" s="140"/>
      <c r="C442" s="140"/>
      <c r="D442" s="140"/>
      <c r="E442" s="140"/>
      <c r="F442" s="140">
        <v>0</v>
      </c>
      <c r="G442" s="140"/>
      <c r="H442" s="140"/>
      <c r="I442" s="140"/>
      <c r="J442" s="140"/>
      <c r="K442" s="142">
        <v>0</v>
      </c>
      <c r="L442"/>
    </row>
    <row r="443" spans="1:12" x14ac:dyDescent="0.3">
      <c r="A443" s="3" t="s">
        <v>508</v>
      </c>
      <c r="B443" s="140"/>
      <c r="C443" s="140"/>
      <c r="D443" s="140"/>
      <c r="E443" s="140">
        <v>14</v>
      </c>
      <c r="F443" s="140">
        <v>10</v>
      </c>
      <c r="G443" s="140"/>
      <c r="H443" s="140"/>
      <c r="I443" s="140"/>
      <c r="J443" s="140">
        <v>23</v>
      </c>
      <c r="K443" s="142">
        <v>47</v>
      </c>
      <c r="L443"/>
    </row>
    <row r="444" spans="1:12" x14ac:dyDescent="0.3">
      <c r="A444" s="94" t="s">
        <v>1238</v>
      </c>
      <c r="B444" s="140"/>
      <c r="C444" s="140"/>
      <c r="D444" s="140"/>
      <c r="E444" s="140">
        <v>5</v>
      </c>
      <c r="F444" s="140">
        <v>4</v>
      </c>
      <c r="G444" s="140"/>
      <c r="H444" s="140"/>
      <c r="I444" s="140"/>
      <c r="J444" s="140">
        <v>15</v>
      </c>
      <c r="K444" s="142">
        <v>24</v>
      </c>
      <c r="L444"/>
    </row>
    <row r="445" spans="1:12" x14ac:dyDescent="0.3">
      <c r="A445" s="94" t="s">
        <v>1237</v>
      </c>
      <c r="B445" s="140"/>
      <c r="C445" s="140"/>
      <c r="D445" s="140"/>
      <c r="E445" s="140">
        <v>6</v>
      </c>
      <c r="F445" s="140">
        <v>6</v>
      </c>
      <c r="G445" s="140"/>
      <c r="H445" s="140"/>
      <c r="I445" s="140"/>
      <c r="J445" s="140">
        <v>8</v>
      </c>
      <c r="K445" s="142">
        <v>20</v>
      </c>
      <c r="L445"/>
    </row>
    <row r="446" spans="1:12" x14ac:dyDescent="0.3">
      <c r="A446" s="94" t="s">
        <v>1239</v>
      </c>
      <c r="B446" s="140"/>
      <c r="C446" s="140"/>
      <c r="D446" s="140"/>
      <c r="E446" s="140">
        <v>3</v>
      </c>
      <c r="F446" s="140">
        <v>0</v>
      </c>
      <c r="G446" s="140"/>
      <c r="H446" s="140"/>
      <c r="I446" s="140"/>
      <c r="J446" s="140"/>
      <c r="K446" s="142">
        <v>3</v>
      </c>
      <c r="L446"/>
    </row>
    <row r="447" spans="1:12" x14ac:dyDescent="0.3">
      <c r="A447" s="3" t="s">
        <v>516</v>
      </c>
      <c r="B447" s="140"/>
      <c r="C447" s="140"/>
      <c r="D447" s="140">
        <v>3</v>
      </c>
      <c r="E447" s="140">
        <v>14</v>
      </c>
      <c r="F447" s="140">
        <v>28</v>
      </c>
      <c r="G447" s="140"/>
      <c r="H447" s="140"/>
      <c r="I447" s="140"/>
      <c r="J447" s="140"/>
      <c r="K447" s="142">
        <v>45</v>
      </c>
      <c r="L447"/>
    </row>
    <row r="448" spans="1:12" x14ac:dyDescent="0.3">
      <c r="A448" s="94" t="s">
        <v>1131</v>
      </c>
      <c r="B448" s="140"/>
      <c r="C448" s="140"/>
      <c r="D448" s="140"/>
      <c r="E448" s="140">
        <v>6</v>
      </c>
      <c r="F448" s="140">
        <v>8</v>
      </c>
      <c r="G448" s="140"/>
      <c r="H448" s="140"/>
      <c r="I448" s="140"/>
      <c r="J448" s="140"/>
      <c r="K448" s="142">
        <v>14</v>
      </c>
      <c r="L448"/>
    </row>
    <row r="449" spans="1:12" x14ac:dyDescent="0.3">
      <c r="A449" s="94" t="s">
        <v>1132</v>
      </c>
      <c r="B449" s="140"/>
      <c r="C449" s="140"/>
      <c r="D449" s="140">
        <v>3</v>
      </c>
      <c r="E449" s="140"/>
      <c r="F449" s="140">
        <v>10</v>
      </c>
      <c r="G449" s="140"/>
      <c r="H449" s="140"/>
      <c r="I449" s="140"/>
      <c r="J449" s="140"/>
      <c r="K449" s="142">
        <v>13</v>
      </c>
      <c r="L449"/>
    </row>
    <row r="450" spans="1:12" x14ac:dyDescent="0.3">
      <c r="A450" s="94" t="s">
        <v>1133</v>
      </c>
      <c r="B450" s="140"/>
      <c r="C450" s="140"/>
      <c r="D450" s="140"/>
      <c r="E450" s="140">
        <v>5</v>
      </c>
      <c r="F450" s="140">
        <v>4</v>
      </c>
      <c r="G450" s="140"/>
      <c r="H450" s="140"/>
      <c r="I450" s="140"/>
      <c r="J450" s="140"/>
      <c r="K450" s="142">
        <v>9</v>
      </c>
      <c r="L450"/>
    </row>
    <row r="451" spans="1:12" x14ac:dyDescent="0.3">
      <c r="A451" s="94" t="s">
        <v>1124</v>
      </c>
      <c r="B451" s="140"/>
      <c r="C451" s="140"/>
      <c r="D451" s="140">
        <v>0</v>
      </c>
      <c r="E451" s="140"/>
      <c r="F451" s="140">
        <v>6</v>
      </c>
      <c r="G451" s="140"/>
      <c r="H451" s="140"/>
      <c r="I451" s="140"/>
      <c r="J451" s="140"/>
      <c r="K451" s="142">
        <v>6</v>
      </c>
      <c r="L451"/>
    </row>
    <row r="452" spans="1:12" x14ac:dyDescent="0.3">
      <c r="A452" s="94" t="s">
        <v>1126</v>
      </c>
      <c r="B452" s="140"/>
      <c r="C452" s="140"/>
      <c r="D452" s="140"/>
      <c r="E452" s="140">
        <v>3</v>
      </c>
      <c r="F452" s="140">
        <v>0</v>
      </c>
      <c r="G452" s="140"/>
      <c r="H452" s="140"/>
      <c r="I452" s="140"/>
      <c r="J452" s="140"/>
      <c r="K452" s="142">
        <v>3</v>
      </c>
      <c r="L452"/>
    </row>
    <row r="453" spans="1:12" x14ac:dyDescent="0.3">
      <c r="A453" s="3" t="s">
        <v>556</v>
      </c>
      <c r="B453" s="140"/>
      <c r="C453" s="140"/>
      <c r="D453" s="140">
        <v>7</v>
      </c>
      <c r="E453" s="140">
        <v>14</v>
      </c>
      <c r="F453" s="140">
        <v>22</v>
      </c>
      <c r="G453" s="140"/>
      <c r="H453" s="140"/>
      <c r="I453" s="140"/>
      <c r="J453" s="140"/>
      <c r="K453" s="142">
        <v>43</v>
      </c>
      <c r="L453"/>
    </row>
    <row r="454" spans="1:12" x14ac:dyDescent="0.3">
      <c r="A454" s="94" t="s">
        <v>1134</v>
      </c>
      <c r="B454" s="140"/>
      <c r="C454" s="140"/>
      <c r="D454" s="140">
        <v>3</v>
      </c>
      <c r="E454" s="140"/>
      <c r="F454" s="140">
        <v>8</v>
      </c>
      <c r="G454" s="140"/>
      <c r="H454" s="140"/>
      <c r="I454" s="140"/>
      <c r="J454" s="140"/>
      <c r="K454" s="142">
        <v>11</v>
      </c>
      <c r="L454"/>
    </row>
    <row r="455" spans="1:12" x14ac:dyDescent="0.3">
      <c r="A455" s="94" t="s">
        <v>1135</v>
      </c>
      <c r="B455" s="140"/>
      <c r="C455" s="140"/>
      <c r="D455" s="140">
        <v>4</v>
      </c>
      <c r="E455" s="140"/>
      <c r="F455" s="140">
        <v>6</v>
      </c>
      <c r="G455" s="140"/>
      <c r="H455" s="140"/>
      <c r="I455" s="140"/>
      <c r="J455" s="140"/>
      <c r="K455" s="142">
        <v>10</v>
      </c>
      <c r="L455"/>
    </row>
    <row r="456" spans="1:12" x14ac:dyDescent="0.3">
      <c r="A456" s="94" t="s">
        <v>1136</v>
      </c>
      <c r="B456" s="140"/>
      <c r="C456" s="140"/>
      <c r="D456" s="140"/>
      <c r="E456" s="140">
        <v>3</v>
      </c>
      <c r="F456" s="140">
        <v>4</v>
      </c>
      <c r="G456" s="140"/>
      <c r="H456" s="140"/>
      <c r="I456" s="140"/>
      <c r="J456" s="140"/>
      <c r="K456" s="142">
        <v>7</v>
      </c>
      <c r="L456"/>
    </row>
    <row r="457" spans="1:12" x14ac:dyDescent="0.3">
      <c r="A457" s="94" t="s">
        <v>1137</v>
      </c>
      <c r="B457" s="140"/>
      <c r="C457" s="140"/>
      <c r="D457" s="140"/>
      <c r="E457" s="140">
        <v>6</v>
      </c>
      <c r="F457" s="140">
        <v>0</v>
      </c>
      <c r="G457" s="140"/>
      <c r="H457" s="140"/>
      <c r="I457" s="140"/>
      <c r="J457" s="140"/>
      <c r="K457" s="142">
        <v>6</v>
      </c>
      <c r="L457"/>
    </row>
    <row r="458" spans="1:12" x14ac:dyDescent="0.3">
      <c r="A458" s="94" t="s">
        <v>1138</v>
      </c>
      <c r="B458" s="140"/>
      <c r="C458" s="140"/>
      <c r="D458" s="140"/>
      <c r="E458" s="140">
        <v>5</v>
      </c>
      <c r="F458" s="140">
        <v>0</v>
      </c>
      <c r="G458" s="140"/>
      <c r="H458" s="140"/>
      <c r="I458" s="140"/>
      <c r="J458" s="140"/>
      <c r="K458" s="142">
        <v>5</v>
      </c>
      <c r="L458"/>
    </row>
    <row r="459" spans="1:12" x14ac:dyDescent="0.3">
      <c r="A459" s="94" t="s">
        <v>1139</v>
      </c>
      <c r="B459" s="140"/>
      <c r="C459" s="140"/>
      <c r="D459" s="140"/>
      <c r="E459" s="140"/>
      <c r="F459" s="140">
        <v>4</v>
      </c>
      <c r="G459" s="140"/>
      <c r="H459" s="140"/>
      <c r="I459" s="140"/>
      <c r="J459" s="140"/>
      <c r="K459" s="142">
        <v>4</v>
      </c>
      <c r="L459"/>
    </row>
    <row r="460" spans="1:12" x14ac:dyDescent="0.3">
      <c r="A460" s="94" t="s">
        <v>1086</v>
      </c>
      <c r="B460" s="140"/>
      <c r="C460" s="140"/>
      <c r="D460" s="140">
        <v>0</v>
      </c>
      <c r="E460" s="140"/>
      <c r="F460" s="140">
        <v>0</v>
      </c>
      <c r="G460" s="140"/>
      <c r="H460" s="140"/>
      <c r="I460" s="140"/>
      <c r="J460" s="140"/>
      <c r="K460" s="142">
        <v>0</v>
      </c>
      <c r="L460"/>
    </row>
    <row r="461" spans="1:12" x14ac:dyDescent="0.3">
      <c r="A461" s="3" t="s">
        <v>519</v>
      </c>
      <c r="B461" s="140"/>
      <c r="C461" s="140"/>
      <c r="D461" s="140">
        <v>14</v>
      </c>
      <c r="E461" s="140"/>
      <c r="F461" s="140">
        <v>28</v>
      </c>
      <c r="G461" s="140"/>
      <c r="H461" s="140"/>
      <c r="I461" s="140"/>
      <c r="J461" s="140"/>
      <c r="K461" s="142">
        <v>42</v>
      </c>
      <c r="L461"/>
    </row>
    <row r="462" spans="1:12" x14ac:dyDescent="0.3">
      <c r="A462" s="94" t="s">
        <v>1118</v>
      </c>
      <c r="B462" s="140"/>
      <c r="C462" s="140"/>
      <c r="D462" s="140">
        <v>6</v>
      </c>
      <c r="E462" s="140"/>
      <c r="F462" s="140">
        <v>10</v>
      </c>
      <c r="G462" s="140"/>
      <c r="H462" s="140"/>
      <c r="I462" s="140"/>
      <c r="J462" s="140"/>
      <c r="K462" s="142">
        <v>16</v>
      </c>
      <c r="L462"/>
    </row>
    <row r="463" spans="1:12" x14ac:dyDescent="0.3">
      <c r="A463" s="94" t="s">
        <v>1154</v>
      </c>
      <c r="B463" s="140"/>
      <c r="C463" s="140"/>
      <c r="D463" s="140">
        <v>3</v>
      </c>
      <c r="E463" s="140"/>
      <c r="F463" s="140">
        <v>8</v>
      </c>
      <c r="G463" s="140"/>
      <c r="H463" s="140"/>
      <c r="I463" s="140"/>
      <c r="J463" s="140"/>
      <c r="K463" s="142">
        <v>11</v>
      </c>
      <c r="L463"/>
    </row>
    <row r="464" spans="1:12" x14ac:dyDescent="0.3">
      <c r="A464" s="94" t="s">
        <v>1116</v>
      </c>
      <c r="B464" s="140"/>
      <c r="C464" s="140"/>
      <c r="D464" s="140">
        <v>5</v>
      </c>
      <c r="E464" s="140"/>
      <c r="F464" s="140">
        <v>4</v>
      </c>
      <c r="G464" s="140"/>
      <c r="H464" s="140"/>
      <c r="I464" s="140"/>
      <c r="J464" s="140"/>
      <c r="K464" s="142">
        <v>9</v>
      </c>
      <c r="L464"/>
    </row>
    <row r="465" spans="1:12" x14ac:dyDescent="0.3">
      <c r="A465" s="94" t="s">
        <v>1121</v>
      </c>
      <c r="B465" s="140"/>
      <c r="C465" s="140"/>
      <c r="D465" s="140"/>
      <c r="E465" s="140"/>
      <c r="F465" s="140">
        <v>6</v>
      </c>
      <c r="G465" s="140"/>
      <c r="H465" s="140"/>
      <c r="I465" s="140"/>
      <c r="J465" s="140"/>
      <c r="K465" s="142">
        <v>6</v>
      </c>
      <c r="L465"/>
    </row>
    <row r="466" spans="1:12" x14ac:dyDescent="0.3">
      <c r="A466" s="94" t="s">
        <v>1155</v>
      </c>
      <c r="B466" s="140"/>
      <c r="C466" s="140"/>
      <c r="D466" s="140"/>
      <c r="E466" s="140"/>
      <c r="F466" s="140">
        <v>0</v>
      </c>
      <c r="G466" s="140"/>
      <c r="H466" s="140"/>
      <c r="I466" s="140"/>
      <c r="J466" s="140"/>
      <c r="K466" s="142">
        <v>0</v>
      </c>
      <c r="L466"/>
    </row>
    <row r="467" spans="1:12" x14ac:dyDescent="0.3">
      <c r="A467" s="3" t="s">
        <v>549</v>
      </c>
      <c r="B467" s="140"/>
      <c r="C467" s="140"/>
      <c r="D467" s="140">
        <v>11</v>
      </c>
      <c r="E467" s="140">
        <v>11</v>
      </c>
      <c r="F467" s="140">
        <v>20</v>
      </c>
      <c r="G467" s="140"/>
      <c r="H467" s="140"/>
      <c r="I467" s="140"/>
      <c r="J467" s="140"/>
      <c r="K467" s="142">
        <v>42</v>
      </c>
      <c r="L467"/>
    </row>
    <row r="468" spans="1:12" x14ac:dyDescent="0.3">
      <c r="A468" s="94" t="s">
        <v>1140</v>
      </c>
      <c r="B468" s="140"/>
      <c r="C468" s="140"/>
      <c r="D468" s="140"/>
      <c r="E468" s="140">
        <v>4</v>
      </c>
      <c r="F468" s="140">
        <v>8</v>
      </c>
      <c r="G468" s="140"/>
      <c r="H468" s="140"/>
      <c r="I468" s="140"/>
      <c r="J468" s="140"/>
      <c r="K468" s="142">
        <v>12</v>
      </c>
      <c r="L468"/>
    </row>
    <row r="469" spans="1:12" x14ac:dyDescent="0.3">
      <c r="A469" s="94" t="s">
        <v>1141</v>
      </c>
      <c r="B469" s="140"/>
      <c r="C469" s="140"/>
      <c r="D469" s="140"/>
      <c r="E469" s="140">
        <v>5</v>
      </c>
      <c r="F469" s="140">
        <v>6</v>
      </c>
      <c r="G469" s="140"/>
      <c r="H469" s="140"/>
      <c r="I469" s="140"/>
      <c r="J469" s="140"/>
      <c r="K469" s="142">
        <v>11</v>
      </c>
      <c r="L469"/>
    </row>
    <row r="470" spans="1:12" x14ac:dyDescent="0.3">
      <c r="A470" s="94" t="s">
        <v>1142</v>
      </c>
      <c r="B470" s="140"/>
      <c r="C470" s="140"/>
      <c r="D470" s="140">
        <v>6</v>
      </c>
      <c r="E470" s="140"/>
      <c r="F470" s="140">
        <v>2</v>
      </c>
      <c r="G470" s="140"/>
      <c r="H470" s="140"/>
      <c r="I470" s="140"/>
      <c r="J470" s="140"/>
      <c r="K470" s="142">
        <v>8</v>
      </c>
      <c r="L470"/>
    </row>
    <row r="471" spans="1:12" x14ac:dyDescent="0.3">
      <c r="A471" s="94" t="s">
        <v>1143</v>
      </c>
      <c r="B471" s="140"/>
      <c r="C471" s="140"/>
      <c r="D471" s="140">
        <v>3</v>
      </c>
      <c r="E471" s="140"/>
      <c r="F471" s="140">
        <v>2</v>
      </c>
      <c r="G471" s="140"/>
      <c r="H471" s="140"/>
      <c r="I471" s="140"/>
      <c r="J471" s="140"/>
      <c r="K471" s="142">
        <v>5</v>
      </c>
      <c r="L471"/>
    </row>
    <row r="472" spans="1:12" x14ac:dyDescent="0.3">
      <c r="A472" s="94" t="s">
        <v>1144</v>
      </c>
      <c r="B472" s="140"/>
      <c r="C472" s="140"/>
      <c r="D472" s="140">
        <v>2</v>
      </c>
      <c r="E472" s="140"/>
      <c r="F472" s="140">
        <v>0</v>
      </c>
      <c r="G472" s="140"/>
      <c r="H472" s="140"/>
      <c r="I472" s="140"/>
      <c r="J472" s="140"/>
      <c r="K472" s="142">
        <v>2</v>
      </c>
      <c r="L472"/>
    </row>
    <row r="473" spans="1:12" x14ac:dyDescent="0.3">
      <c r="A473" s="94" t="s">
        <v>1060</v>
      </c>
      <c r="B473" s="140"/>
      <c r="C473" s="140"/>
      <c r="D473" s="140"/>
      <c r="E473" s="140">
        <v>0</v>
      </c>
      <c r="F473" s="140">
        <v>2</v>
      </c>
      <c r="G473" s="140"/>
      <c r="H473" s="140"/>
      <c r="I473" s="140"/>
      <c r="J473" s="140"/>
      <c r="K473" s="142">
        <v>2</v>
      </c>
      <c r="L473"/>
    </row>
    <row r="474" spans="1:12" x14ac:dyDescent="0.3">
      <c r="A474" s="94" t="s">
        <v>1145</v>
      </c>
      <c r="B474" s="140"/>
      <c r="C474" s="140"/>
      <c r="D474" s="140"/>
      <c r="E474" s="140">
        <v>2</v>
      </c>
      <c r="F474" s="140">
        <v>0</v>
      </c>
      <c r="G474" s="140"/>
      <c r="H474" s="140"/>
      <c r="I474" s="140"/>
      <c r="J474" s="140"/>
      <c r="K474" s="142">
        <v>2</v>
      </c>
      <c r="L474"/>
    </row>
    <row r="475" spans="1:12" x14ac:dyDescent="0.3">
      <c r="A475" s="94" t="s">
        <v>1146</v>
      </c>
      <c r="B475" s="140"/>
      <c r="C475" s="140"/>
      <c r="D475" s="140">
        <v>0</v>
      </c>
      <c r="E475" s="140"/>
      <c r="F475" s="140"/>
      <c r="G475" s="140"/>
      <c r="H475" s="140"/>
      <c r="I475" s="140"/>
      <c r="J475" s="140"/>
      <c r="K475" s="142">
        <v>0</v>
      </c>
      <c r="L475"/>
    </row>
    <row r="476" spans="1:12" x14ac:dyDescent="0.3">
      <c r="A476" s="94" t="s">
        <v>1147</v>
      </c>
      <c r="B476" s="140"/>
      <c r="C476" s="140"/>
      <c r="D476" s="140">
        <v>0</v>
      </c>
      <c r="E476" s="140"/>
      <c r="F476" s="140">
        <v>0</v>
      </c>
      <c r="G476" s="140"/>
      <c r="H476" s="140"/>
      <c r="I476" s="140"/>
      <c r="J476" s="140"/>
      <c r="K476" s="142">
        <v>0</v>
      </c>
      <c r="L476"/>
    </row>
    <row r="477" spans="1:12" x14ac:dyDescent="0.3">
      <c r="A477" s="94" t="s">
        <v>1148</v>
      </c>
      <c r="B477" s="140"/>
      <c r="C477" s="140"/>
      <c r="D477" s="140">
        <v>0</v>
      </c>
      <c r="E477" s="140"/>
      <c r="F477" s="140"/>
      <c r="G477" s="140"/>
      <c r="H477" s="140"/>
      <c r="I477" s="140"/>
      <c r="J477" s="140"/>
      <c r="K477" s="142">
        <v>0</v>
      </c>
      <c r="L477"/>
    </row>
    <row r="478" spans="1:12" x14ac:dyDescent="0.3">
      <c r="A478" s="94" t="s">
        <v>1149</v>
      </c>
      <c r="B478" s="140"/>
      <c r="C478" s="140"/>
      <c r="D478" s="140">
        <v>0</v>
      </c>
      <c r="E478" s="140"/>
      <c r="F478" s="140">
        <v>0</v>
      </c>
      <c r="G478" s="140"/>
      <c r="H478" s="140"/>
      <c r="I478" s="140"/>
      <c r="J478" s="140"/>
      <c r="K478" s="142">
        <v>0</v>
      </c>
      <c r="L478"/>
    </row>
    <row r="479" spans="1:12" x14ac:dyDescent="0.3">
      <c r="A479" s="3" t="s">
        <v>529</v>
      </c>
      <c r="B479" s="140"/>
      <c r="C479" s="140"/>
      <c r="D479" s="140">
        <v>3</v>
      </c>
      <c r="E479" s="140">
        <v>21</v>
      </c>
      <c r="F479" s="140">
        <v>18</v>
      </c>
      <c r="G479" s="140"/>
      <c r="H479" s="140"/>
      <c r="I479" s="140"/>
      <c r="J479" s="140"/>
      <c r="K479" s="142">
        <v>42</v>
      </c>
      <c r="L479"/>
    </row>
    <row r="480" spans="1:12" x14ac:dyDescent="0.3">
      <c r="A480" s="94" t="s">
        <v>1150</v>
      </c>
      <c r="B480" s="140"/>
      <c r="C480" s="140"/>
      <c r="D480" s="140"/>
      <c r="E480" s="140">
        <v>8</v>
      </c>
      <c r="F480" s="140">
        <v>8</v>
      </c>
      <c r="G480" s="140"/>
      <c r="H480" s="140"/>
      <c r="I480" s="140"/>
      <c r="J480" s="140"/>
      <c r="K480" s="142">
        <v>16</v>
      </c>
      <c r="L480"/>
    </row>
    <row r="481" spans="1:12" x14ac:dyDescent="0.3">
      <c r="A481" s="94" t="s">
        <v>1151</v>
      </c>
      <c r="B481" s="140"/>
      <c r="C481" s="140"/>
      <c r="D481" s="140"/>
      <c r="E481" s="140">
        <v>6</v>
      </c>
      <c r="F481" s="140">
        <v>6</v>
      </c>
      <c r="G481" s="140"/>
      <c r="H481" s="140"/>
      <c r="I481" s="140"/>
      <c r="J481" s="140"/>
      <c r="K481" s="142">
        <v>12</v>
      </c>
      <c r="L481"/>
    </row>
    <row r="482" spans="1:12" x14ac:dyDescent="0.3">
      <c r="A482" s="94" t="s">
        <v>1008</v>
      </c>
      <c r="B482" s="140"/>
      <c r="C482" s="140"/>
      <c r="D482" s="140"/>
      <c r="E482" s="140">
        <v>4</v>
      </c>
      <c r="F482" s="140">
        <v>4</v>
      </c>
      <c r="G482" s="140"/>
      <c r="H482" s="140"/>
      <c r="I482" s="140"/>
      <c r="J482" s="140"/>
      <c r="K482" s="142">
        <v>8</v>
      </c>
      <c r="L482"/>
    </row>
    <row r="483" spans="1:12" x14ac:dyDescent="0.3">
      <c r="A483" s="94" t="s">
        <v>1016</v>
      </c>
      <c r="B483" s="140"/>
      <c r="C483" s="140"/>
      <c r="D483" s="140">
        <v>3</v>
      </c>
      <c r="E483" s="140"/>
      <c r="F483" s="140">
        <v>0</v>
      </c>
      <c r="G483" s="140"/>
      <c r="H483" s="140"/>
      <c r="I483" s="140"/>
      <c r="J483" s="140"/>
      <c r="K483" s="142">
        <v>3</v>
      </c>
      <c r="L483"/>
    </row>
    <row r="484" spans="1:12" x14ac:dyDescent="0.3">
      <c r="A484" s="94" t="s">
        <v>1152</v>
      </c>
      <c r="B484" s="140"/>
      <c r="C484" s="140"/>
      <c r="D484" s="140"/>
      <c r="E484" s="140">
        <v>3</v>
      </c>
      <c r="F484" s="140">
        <v>0</v>
      </c>
      <c r="G484" s="140"/>
      <c r="H484" s="140"/>
      <c r="I484" s="140"/>
      <c r="J484" s="140"/>
      <c r="K484" s="142">
        <v>3</v>
      </c>
      <c r="L484"/>
    </row>
    <row r="485" spans="1:12" x14ac:dyDescent="0.3">
      <c r="A485" s="94" t="s">
        <v>1014</v>
      </c>
      <c r="B485" s="140"/>
      <c r="C485" s="140"/>
      <c r="D485" s="140"/>
      <c r="E485" s="140"/>
      <c r="F485" s="140">
        <v>0</v>
      </c>
      <c r="G485" s="140"/>
      <c r="H485" s="140"/>
      <c r="I485" s="140"/>
      <c r="J485" s="140"/>
      <c r="K485" s="142">
        <v>0</v>
      </c>
      <c r="L485"/>
    </row>
    <row r="486" spans="1:12" x14ac:dyDescent="0.3">
      <c r="A486" s="94" t="s">
        <v>1153</v>
      </c>
      <c r="B486" s="140"/>
      <c r="C486" s="140"/>
      <c r="D486" s="140"/>
      <c r="E486" s="140"/>
      <c r="F486" s="140">
        <v>0</v>
      </c>
      <c r="G486" s="140"/>
      <c r="H486" s="140"/>
      <c r="I486" s="140"/>
      <c r="J486" s="140"/>
      <c r="K486" s="142">
        <v>0</v>
      </c>
      <c r="L486"/>
    </row>
    <row r="487" spans="1:12" x14ac:dyDescent="0.3">
      <c r="A487" s="94" t="s">
        <v>1021</v>
      </c>
      <c r="B487" s="140"/>
      <c r="C487" s="140"/>
      <c r="D487" s="140">
        <v>0</v>
      </c>
      <c r="E487" s="140"/>
      <c r="F487" s="140"/>
      <c r="G487" s="140"/>
      <c r="H487" s="140"/>
      <c r="I487" s="140"/>
      <c r="J487" s="140"/>
      <c r="K487" s="142">
        <v>0</v>
      </c>
      <c r="L487"/>
    </row>
    <row r="488" spans="1:12" x14ac:dyDescent="0.3">
      <c r="A488" s="3" t="s">
        <v>532</v>
      </c>
      <c r="B488" s="140"/>
      <c r="C488" s="140"/>
      <c r="D488" s="140">
        <v>9</v>
      </c>
      <c r="E488" s="140">
        <v>14</v>
      </c>
      <c r="F488" s="140">
        <v>18</v>
      </c>
      <c r="G488" s="140"/>
      <c r="H488" s="140"/>
      <c r="I488" s="140"/>
      <c r="J488" s="140"/>
      <c r="K488" s="142">
        <v>41</v>
      </c>
      <c r="L488"/>
    </row>
    <row r="489" spans="1:12" x14ac:dyDescent="0.3">
      <c r="A489" s="94" t="s">
        <v>1156</v>
      </c>
      <c r="B489" s="140"/>
      <c r="C489" s="140"/>
      <c r="D489" s="140"/>
      <c r="E489" s="140">
        <v>5</v>
      </c>
      <c r="F489" s="140">
        <v>6</v>
      </c>
      <c r="G489" s="140"/>
      <c r="H489" s="140"/>
      <c r="I489" s="140"/>
      <c r="J489" s="140"/>
      <c r="K489" s="142">
        <v>11</v>
      </c>
      <c r="L489"/>
    </row>
    <row r="490" spans="1:12" x14ac:dyDescent="0.3">
      <c r="A490" s="94" t="s">
        <v>1018</v>
      </c>
      <c r="B490" s="140"/>
      <c r="C490" s="140"/>
      <c r="D490" s="140">
        <v>6</v>
      </c>
      <c r="E490" s="140"/>
      <c r="F490" s="140">
        <v>0</v>
      </c>
      <c r="G490" s="140"/>
      <c r="H490" s="140"/>
      <c r="I490" s="140"/>
      <c r="J490" s="140"/>
      <c r="K490" s="142">
        <v>6</v>
      </c>
      <c r="L490"/>
    </row>
    <row r="491" spans="1:12" x14ac:dyDescent="0.3">
      <c r="A491" s="94" t="s">
        <v>1157</v>
      </c>
      <c r="B491" s="140"/>
      <c r="C491" s="140"/>
      <c r="D491" s="140">
        <v>3</v>
      </c>
      <c r="E491" s="140"/>
      <c r="F491" s="140">
        <v>3</v>
      </c>
      <c r="G491" s="140"/>
      <c r="H491" s="140"/>
      <c r="I491" s="140"/>
      <c r="J491" s="140"/>
      <c r="K491" s="142">
        <v>6</v>
      </c>
      <c r="L491"/>
    </row>
    <row r="492" spans="1:12" x14ac:dyDescent="0.3">
      <c r="A492" s="94" t="s">
        <v>1158</v>
      </c>
      <c r="B492" s="140"/>
      <c r="C492" s="140"/>
      <c r="D492" s="140">
        <v>0</v>
      </c>
      <c r="E492" s="140"/>
      <c r="F492" s="140">
        <v>6</v>
      </c>
      <c r="G492" s="140"/>
      <c r="H492" s="140"/>
      <c r="I492" s="140"/>
      <c r="J492" s="140"/>
      <c r="K492" s="142">
        <v>6</v>
      </c>
      <c r="L492"/>
    </row>
    <row r="493" spans="1:12" x14ac:dyDescent="0.3">
      <c r="A493" s="94" t="s">
        <v>1159</v>
      </c>
      <c r="B493" s="140"/>
      <c r="C493" s="140"/>
      <c r="D493" s="140"/>
      <c r="E493" s="140">
        <v>6</v>
      </c>
      <c r="F493" s="140">
        <v>0</v>
      </c>
      <c r="G493" s="140"/>
      <c r="H493" s="140"/>
      <c r="I493" s="140"/>
      <c r="J493" s="140"/>
      <c r="K493" s="142">
        <v>6</v>
      </c>
      <c r="L493"/>
    </row>
    <row r="494" spans="1:12" x14ac:dyDescent="0.3">
      <c r="A494" s="94" t="s">
        <v>1160</v>
      </c>
      <c r="B494" s="140"/>
      <c r="C494" s="140"/>
      <c r="D494" s="140"/>
      <c r="E494" s="140"/>
      <c r="F494" s="140">
        <v>3</v>
      </c>
      <c r="G494" s="140"/>
      <c r="H494" s="140"/>
      <c r="I494" s="140"/>
      <c r="J494" s="140"/>
      <c r="K494" s="142">
        <v>3</v>
      </c>
      <c r="L494"/>
    </row>
    <row r="495" spans="1:12" x14ac:dyDescent="0.3">
      <c r="A495" s="94" t="s">
        <v>1161</v>
      </c>
      <c r="B495" s="140"/>
      <c r="C495" s="140"/>
      <c r="D495" s="140"/>
      <c r="E495" s="140">
        <v>3</v>
      </c>
      <c r="F495" s="140">
        <v>0</v>
      </c>
      <c r="G495" s="140"/>
      <c r="H495" s="140"/>
      <c r="I495" s="140"/>
      <c r="J495" s="140"/>
      <c r="K495" s="142">
        <v>3</v>
      </c>
      <c r="L495"/>
    </row>
    <row r="496" spans="1:12" x14ac:dyDescent="0.3">
      <c r="A496" s="94" t="s">
        <v>1162</v>
      </c>
      <c r="B496" s="140"/>
      <c r="C496" s="140"/>
      <c r="D496" s="140">
        <v>0</v>
      </c>
      <c r="E496" s="140"/>
      <c r="F496" s="140">
        <v>0</v>
      </c>
      <c r="G496" s="140"/>
      <c r="H496" s="140"/>
      <c r="I496" s="140"/>
      <c r="J496" s="140"/>
      <c r="K496" s="142">
        <v>0</v>
      </c>
      <c r="L496"/>
    </row>
    <row r="497" spans="1:12" x14ac:dyDescent="0.3">
      <c r="A497" s="94" t="s">
        <v>1163</v>
      </c>
      <c r="B497" s="140"/>
      <c r="C497" s="140"/>
      <c r="D497" s="140">
        <v>0</v>
      </c>
      <c r="E497" s="140"/>
      <c r="F497" s="140">
        <v>0</v>
      </c>
      <c r="G497" s="140"/>
      <c r="H497" s="140"/>
      <c r="I497" s="140"/>
      <c r="J497" s="140"/>
      <c r="K497" s="142">
        <v>0</v>
      </c>
      <c r="L497"/>
    </row>
    <row r="498" spans="1:12" x14ac:dyDescent="0.3">
      <c r="A498" s="3" t="s">
        <v>547</v>
      </c>
      <c r="B498" s="140"/>
      <c r="C498" s="140"/>
      <c r="D498" s="140">
        <v>21</v>
      </c>
      <c r="E498" s="140">
        <v>3</v>
      </c>
      <c r="F498" s="140">
        <v>16</v>
      </c>
      <c r="G498" s="140"/>
      <c r="H498" s="140"/>
      <c r="I498" s="140"/>
      <c r="J498" s="140"/>
      <c r="K498" s="142">
        <v>40</v>
      </c>
      <c r="L498"/>
    </row>
    <row r="499" spans="1:12" x14ac:dyDescent="0.3">
      <c r="A499" s="94" t="s">
        <v>1164</v>
      </c>
      <c r="B499" s="140"/>
      <c r="C499" s="140"/>
      <c r="D499" s="140">
        <v>8</v>
      </c>
      <c r="E499" s="140"/>
      <c r="F499" s="140">
        <v>8</v>
      </c>
      <c r="G499" s="140"/>
      <c r="H499" s="140"/>
      <c r="I499" s="140"/>
      <c r="J499" s="140"/>
      <c r="K499" s="142">
        <v>16</v>
      </c>
      <c r="L499"/>
    </row>
    <row r="500" spans="1:12" x14ac:dyDescent="0.3">
      <c r="A500" s="94" t="s">
        <v>1090</v>
      </c>
      <c r="B500" s="140"/>
      <c r="C500" s="140"/>
      <c r="D500" s="140"/>
      <c r="E500" s="140">
        <v>3</v>
      </c>
      <c r="F500" s="140">
        <v>4</v>
      </c>
      <c r="G500" s="140"/>
      <c r="H500" s="140"/>
      <c r="I500" s="140"/>
      <c r="J500" s="140"/>
      <c r="K500" s="142">
        <v>7</v>
      </c>
      <c r="L500"/>
    </row>
    <row r="501" spans="1:12" x14ac:dyDescent="0.3">
      <c r="A501" s="94" t="s">
        <v>1165</v>
      </c>
      <c r="B501" s="140"/>
      <c r="C501" s="140"/>
      <c r="D501" s="140">
        <v>6</v>
      </c>
      <c r="E501" s="140"/>
      <c r="F501" s="140">
        <v>0</v>
      </c>
      <c r="G501" s="140"/>
      <c r="H501" s="140"/>
      <c r="I501" s="140"/>
      <c r="J501" s="140"/>
      <c r="K501" s="142">
        <v>6</v>
      </c>
      <c r="L501"/>
    </row>
    <row r="502" spans="1:12" x14ac:dyDescent="0.3">
      <c r="A502" s="94" t="s">
        <v>1166</v>
      </c>
      <c r="B502" s="140"/>
      <c r="C502" s="140"/>
      <c r="D502" s="140">
        <v>4</v>
      </c>
      <c r="E502" s="140"/>
      <c r="F502" s="140">
        <v>0</v>
      </c>
      <c r="G502" s="140"/>
      <c r="H502" s="140"/>
      <c r="I502" s="140"/>
      <c r="J502" s="140"/>
      <c r="K502" s="142">
        <v>4</v>
      </c>
      <c r="L502"/>
    </row>
    <row r="503" spans="1:12" x14ac:dyDescent="0.3">
      <c r="A503" s="94" t="s">
        <v>1167</v>
      </c>
      <c r="B503" s="140"/>
      <c r="C503" s="140"/>
      <c r="D503" s="140"/>
      <c r="E503" s="140">
        <v>0</v>
      </c>
      <c r="F503" s="140">
        <v>4</v>
      </c>
      <c r="G503" s="140"/>
      <c r="H503" s="140"/>
      <c r="I503" s="140"/>
      <c r="J503" s="140"/>
      <c r="K503" s="142">
        <v>4</v>
      </c>
      <c r="L503"/>
    </row>
    <row r="504" spans="1:12" x14ac:dyDescent="0.3">
      <c r="A504" s="94" t="s">
        <v>1168</v>
      </c>
      <c r="B504" s="140"/>
      <c r="C504" s="140"/>
      <c r="D504" s="140">
        <v>3</v>
      </c>
      <c r="E504" s="140"/>
      <c r="F504" s="140"/>
      <c r="G504" s="140"/>
      <c r="H504" s="140"/>
      <c r="I504" s="140"/>
      <c r="J504" s="140"/>
      <c r="K504" s="142">
        <v>3</v>
      </c>
      <c r="L504"/>
    </row>
    <row r="505" spans="1:12" x14ac:dyDescent="0.3">
      <c r="A505" s="94" t="s">
        <v>1169</v>
      </c>
      <c r="B505" s="140"/>
      <c r="C505" s="140"/>
      <c r="D505" s="140"/>
      <c r="E505" s="140"/>
      <c r="F505" s="140">
        <v>0</v>
      </c>
      <c r="G505" s="140"/>
      <c r="H505" s="140"/>
      <c r="I505" s="140"/>
      <c r="J505" s="140"/>
      <c r="K505" s="142">
        <v>0</v>
      </c>
      <c r="L505"/>
    </row>
    <row r="506" spans="1:12" x14ac:dyDescent="0.3">
      <c r="A506" s="3" t="s">
        <v>501</v>
      </c>
      <c r="B506" s="140"/>
      <c r="C506" s="140"/>
      <c r="D506" s="140">
        <v>8</v>
      </c>
      <c r="E506" s="140">
        <v>14</v>
      </c>
      <c r="F506" s="140">
        <v>18</v>
      </c>
      <c r="G506" s="140"/>
      <c r="H506" s="140"/>
      <c r="I506" s="140"/>
      <c r="J506" s="140"/>
      <c r="K506" s="142">
        <v>40</v>
      </c>
      <c r="L506"/>
    </row>
    <row r="507" spans="1:12" x14ac:dyDescent="0.3">
      <c r="A507" s="94" t="s">
        <v>1170</v>
      </c>
      <c r="B507" s="140"/>
      <c r="C507" s="140"/>
      <c r="D507" s="140"/>
      <c r="E507" s="140">
        <v>6</v>
      </c>
      <c r="F507" s="140">
        <v>6</v>
      </c>
      <c r="G507" s="140"/>
      <c r="H507" s="140"/>
      <c r="I507" s="140"/>
      <c r="J507" s="140"/>
      <c r="K507" s="142">
        <v>12</v>
      </c>
      <c r="L507"/>
    </row>
    <row r="508" spans="1:12" x14ac:dyDescent="0.3">
      <c r="A508" s="94" t="s">
        <v>1171</v>
      </c>
      <c r="B508" s="140"/>
      <c r="C508" s="140"/>
      <c r="D508" s="140">
        <v>3</v>
      </c>
      <c r="E508" s="140"/>
      <c r="F508" s="140">
        <v>8</v>
      </c>
      <c r="G508" s="140"/>
      <c r="H508" s="140"/>
      <c r="I508" s="140"/>
      <c r="J508" s="140"/>
      <c r="K508" s="142">
        <v>11</v>
      </c>
      <c r="L508"/>
    </row>
    <row r="509" spans="1:12" x14ac:dyDescent="0.3">
      <c r="A509" s="94" t="s">
        <v>1172</v>
      </c>
      <c r="B509" s="140"/>
      <c r="C509" s="140"/>
      <c r="D509" s="140"/>
      <c r="E509" s="140">
        <v>3</v>
      </c>
      <c r="F509" s="140">
        <v>4</v>
      </c>
      <c r="G509" s="140"/>
      <c r="H509" s="140"/>
      <c r="I509" s="140"/>
      <c r="J509" s="140"/>
      <c r="K509" s="142">
        <v>7</v>
      </c>
      <c r="L509"/>
    </row>
    <row r="510" spans="1:12" x14ac:dyDescent="0.3">
      <c r="A510" s="94" t="s">
        <v>1173</v>
      </c>
      <c r="B510" s="140"/>
      <c r="C510" s="140"/>
      <c r="D510" s="140">
        <v>5</v>
      </c>
      <c r="E510" s="140"/>
      <c r="F510" s="140">
        <v>0</v>
      </c>
      <c r="G510" s="140"/>
      <c r="H510" s="140"/>
      <c r="I510" s="140"/>
      <c r="J510" s="140"/>
      <c r="K510" s="142">
        <v>5</v>
      </c>
      <c r="L510"/>
    </row>
    <row r="511" spans="1:12" x14ac:dyDescent="0.3">
      <c r="A511" s="94" t="s">
        <v>1174</v>
      </c>
      <c r="B511" s="140"/>
      <c r="C511" s="140"/>
      <c r="D511" s="140"/>
      <c r="E511" s="140">
        <v>5</v>
      </c>
      <c r="F511" s="140">
        <v>0</v>
      </c>
      <c r="G511" s="140"/>
      <c r="H511" s="140"/>
      <c r="I511" s="140"/>
      <c r="J511" s="140"/>
      <c r="K511" s="142">
        <v>5</v>
      </c>
      <c r="L511"/>
    </row>
    <row r="512" spans="1:12" x14ac:dyDescent="0.3">
      <c r="A512" s="94" t="s">
        <v>1175</v>
      </c>
      <c r="B512" s="140"/>
      <c r="C512" s="140"/>
      <c r="D512" s="140"/>
      <c r="E512" s="140"/>
      <c r="F512" s="140">
        <v>0</v>
      </c>
      <c r="G512" s="140"/>
      <c r="H512" s="140"/>
      <c r="I512" s="140"/>
      <c r="J512" s="140"/>
      <c r="K512" s="142">
        <v>0</v>
      </c>
      <c r="L512"/>
    </row>
    <row r="513" spans="1:12" x14ac:dyDescent="0.3">
      <c r="A513" s="3" t="s">
        <v>535</v>
      </c>
      <c r="B513" s="140"/>
      <c r="C513" s="140"/>
      <c r="D513" s="140">
        <v>21</v>
      </c>
      <c r="E513" s="140">
        <v>14</v>
      </c>
      <c r="F513" s="140">
        <v>4</v>
      </c>
      <c r="G513" s="140"/>
      <c r="H513" s="140"/>
      <c r="I513" s="140"/>
      <c r="J513" s="140"/>
      <c r="K513" s="142">
        <v>39</v>
      </c>
      <c r="L513"/>
    </row>
    <row r="514" spans="1:12" x14ac:dyDescent="0.3">
      <c r="A514" s="94" t="s">
        <v>1176</v>
      </c>
      <c r="B514" s="140"/>
      <c r="C514" s="140"/>
      <c r="D514" s="140">
        <v>8</v>
      </c>
      <c r="E514" s="140"/>
      <c r="F514" s="140">
        <v>0</v>
      </c>
      <c r="G514" s="140"/>
      <c r="H514" s="140"/>
      <c r="I514" s="140"/>
      <c r="J514" s="140"/>
      <c r="K514" s="142">
        <v>8</v>
      </c>
      <c r="L514"/>
    </row>
    <row r="515" spans="1:12" x14ac:dyDescent="0.3">
      <c r="A515" s="94" t="s">
        <v>1177</v>
      </c>
      <c r="B515" s="140"/>
      <c r="C515" s="140"/>
      <c r="D515" s="140"/>
      <c r="E515" s="140">
        <v>3</v>
      </c>
      <c r="F515" s="140">
        <v>4</v>
      </c>
      <c r="G515" s="140"/>
      <c r="H515" s="140"/>
      <c r="I515" s="140"/>
      <c r="J515" s="140"/>
      <c r="K515" s="142">
        <v>7</v>
      </c>
      <c r="L515"/>
    </row>
    <row r="516" spans="1:12" x14ac:dyDescent="0.3">
      <c r="A516" s="94" t="s">
        <v>1178</v>
      </c>
      <c r="B516" s="140"/>
      <c r="C516" s="140"/>
      <c r="D516" s="140"/>
      <c r="E516" s="140">
        <v>6</v>
      </c>
      <c r="F516" s="140"/>
      <c r="G516" s="140"/>
      <c r="H516" s="140"/>
      <c r="I516" s="140"/>
      <c r="J516" s="140"/>
      <c r="K516" s="142">
        <v>6</v>
      </c>
      <c r="L516"/>
    </row>
    <row r="517" spans="1:12" x14ac:dyDescent="0.3">
      <c r="A517" s="94" t="s">
        <v>1179</v>
      </c>
      <c r="B517" s="140"/>
      <c r="C517" s="140"/>
      <c r="D517" s="140">
        <v>6</v>
      </c>
      <c r="E517" s="140"/>
      <c r="F517" s="140">
        <v>0</v>
      </c>
      <c r="G517" s="140"/>
      <c r="H517" s="140"/>
      <c r="I517" s="140"/>
      <c r="J517" s="140"/>
      <c r="K517" s="142">
        <v>6</v>
      </c>
      <c r="L517"/>
    </row>
    <row r="518" spans="1:12" x14ac:dyDescent="0.3">
      <c r="A518" s="94" t="s">
        <v>1180</v>
      </c>
      <c r="B518" s="140"/>
      <c r="C518" s="140"/>
      <c r="D518" s="140"/>
      <c r="E518" s="140">
        <v>5</v>
      </c>
      <c r="F518" s="140">
        <v>0</v>
      </c>
      <c r="G518" s="140"/>
      <c r="H518" s="140"/>
      <c r="I518" s="140"/>
      <c r="J518" s="140"/>
      <c r="K518" s="142">
        <v>5</v>
      </c>
      <c r="L518"/>
    </row>
    <row r="519" spans="1:12" x14ac:dyDescent="0.3">
      <c r="A519" s="94" t="s">
        <v>1181</v>
      </c>
      <c r="B519" s="140"/>
      <c r="C519" s="140"/>
      <c r="D519" s="140">
        <v>4</v>
      </c>
      <c r="E519" s="140"/>
      <c r="F519" s="140">
        <v>0</v>
      </c>
      <c r="G519" s="140"/>
      <c r="H519" s="140"/>
      <c r="I519" s="140"/>
      <c r="J519" s="140"/>
      <c r="K519" s="142">
        <v>4</v>
      </c>
      <c r="L519"/>
    </row>
    <row r="520" spans="1:12" x14ac:dyDescent="0.3">
      <c r="A520" s="94" t="s">
        <v>1182</v>
      </c>
      <c r="B520" s="140"/>
      <c r="C520" s="140"/>
      <c r="D520" s="140">
        <v>3</v>
      </c>
      <c r="E520" s="140"/>
      <c r="F520" s="140">
        <v>0</v>
      </c>
      <c r="G520" s="140"/>
      <c r="H520" s="140"/>
      <c r="I520" s="140"/>
      <c r="J520" s="140"/>
      <c r="K520" s="142">
        <v>3</v>
      </c>
      <c r="L520"/>
    </row>
    <row r="521" spans="1:12" x14ac:dyDescent="0.3">
      <c r="A521" s="94" t="s">
        <v>1183</v>
      </c>
      <c r="B521" s="140"/>
      <c r="C521" s="140"/>
      <c r="D521" s="140"/>
      <c r="E521" s="140"/>
      <c r="F521" s="140">
        <v>0</v>
      </c>
      <c r="G521" s="140"/>
      <c r="H521" s="140"/>
      <c r="I521" s="140"/>
      <c r="J521" s="140"/>
      <c r="K521" s="142">
        <v>0</v>
      </c>
      <c r="L521"/>
    </row>
    <row r="522" spans="1:12" x14ac:dyDescent="0.3">
      <c r="A522" s="94" t="s">
        <v>1184</v>
      </c>
      <c r="B522" s="140"/>
      <c r="C522" s="140"/>
      <c r="D522" s="140"/>
      <c r="E522" s="140"/>
      <c r="F522" s="140">
        <v>0</v>
      </c>
      <c r="G522" s="140"/>
      <c r="H522" s="140"/>
      <c r="I522" s="140"/>
      <c r="J522" s="140"/>
      <c r="K522" s="142">
        <v>0</v>
      </c>
      <c r="L522"/>
    </row>
    <row r="523" spans="1:12" x14ac:dyDescent="0.3">
      <c r="A523" s="3" t="s">
        <v>504</v>
      </c>
      <c r="B523" s="140"/>
      <c r="C523" s="140"/>
      <c r="D523" s="140">
        <v>7</v>
      </c>
      <c r="E523" s="140">
        <v>3</v>
      </c>
      <c r="F523" s="140">
        <v>28</v>
      </c>
      <c r="G523" s="140"/>
      <c r="H523" s="140"/>
      <c r="I523" s="140"/>
      <c r="J523" s="140"/>
      <c r="K523" s="142">
        <v>38</v>
      </c>
      <c r="L523"/>
    </row>
    <row r="524" spans="1:12" x14ac:dyDescent="0.3">
      <c r="A524" s="94" t="s">
        <v>1185</v>
      </c>
      <c r="B524" s="140"/>
      <c r="C524" s="140"/>
      <c r="D524" s="140"/>
      <c r="E524" s="140">
        <v>3</v>
      </c>
      <c r="F524" s="140">
        <v>10</v>
      </c>
      <c r="G524" s="140"/>
      <c r="H524" s="140"/>
      <c r="I524" s="140"/>
      <c r="J524" s="140"/>
      <c r="K524" s="142">
        <v>13</v>
      </c>
      <c r="L524"/>
    </row>
    <row r="525" spans="1:12" x14ac:dyDescent="0.3">
      <c r="A525" s="94" t="s">
        <v>1071</v>
      </c>
      <c r="B525" s="140"/>
      <c r="C525" s="140"/>
      <c r="D525" s="140">
        <v>4</v>
      </c>
      <c r="E525" s="140"/>
      <c r="F525" s="140">
        <v>8</v>
      </c>
      <c r="G525" s="140"/>
      <c r="H525" s="140"/>
      <c r="I525" s="140"/>
      <c r="J525" s="140"/>
      <c r="K525" s="142">
        <v>12</v>
      </c>
      <c r="L525"/>
    </row>
    <row r="526" spans="1:12" x14ac:dyDescent="0.3">
      <c r="A526" s="94" t="s">
        <v>1186</v>
      </c>
      <c r="B526" s="140"/>
      <c r="C526" s="140"/>
      <c r="D526" s="140">
        <v>3</v>
      </c>
      <c r="E526" s="140"/>
      <c r="F526" s="140">
        <v>6</v>
      </c>
      <c r="G526" s="140"/>
      <c r="H526" s="140"/>
      <c r="I526" s="140"/>
      <c r="J526" s="140"/>
      <c r="K526" s="142">
        <v>9</v>
      </c>
      <c r="L526"/>
    </row>
    <row r="527" spans="1:12" x14ac:dyDescent="0.3">
      <c r="A527" s="94" t="s">
        <v>1187</v>
      </c>
      <c r="B527" s="140"/>
      <c r="C527" s="140"/>
      <c r="D527" s="140">
        <v>0</v>
      </c>
      <c r="E527" s="140"/>
      <c r="F527" s="140">
        <v>4</v>
      </c>
      <c r="G527" s="140"/>
      <c r="H527" s="140"/>
      <c r="I527" s="140"/>
      <c r="J527" s="140"/>
      <c r="K527" s="142">
        <v>4</v>
      </c>
      <c r="L527"/>
    </row>
    <row r="528" spans="1:12" x14ac:dyDescent="0.3">
      <c r="A528" s="94" t="s">
        <v>1188</v>
      </c>
      <c r="B528" s="140"/>
      <c r="C528" s="140"/>
      <c r="D528" s="140"/>
      <c r="E528" s="140">
        <v>0</v>
      </c>
      <c r="F528" s="140">
        <v>0</v>
      </c>
      <c r="G528" s="140"/>
      <c r="H528" s="140"/>
      <c r="I528" s="140"/>
      <c r="J528" s="140"/>
      <c r="K528" s="142">
        <v>0</v>
      </c>
      <c r="L528"/>
    </row>
    <row r="529" spans="1:12" x14ac:dyDescent="0.3">
      <c r="A529" s="3" t="s">
        <v>785</v>
      </c>
      <c r="B529" s="140"/>
      <c r="C529" s="140"/>
      <c r="D529" s="140"/>
      <c r="E529" s="140"/>
      <c r="F529" s="140"/>
      <c r="G529" s="140">
        <v>17</v>
      </c>
      <c r="H529" s="140">
        <v>3</v>
      </c>
      <c r="I529" s="140">
        <v>17</v>
      </c>
      <c r="J529" s="140"/>
      <c r="K529" s="142">
        <v>37</v>
      </c>
      <c r="L529"/>
    </row>
    <row r="530" spans="1:12" x14ac:dyDescent="0.3">
      <c r="A530" s="94" t="s">
        <v>1176</v>
      </c>
      <c r="B530" s="140"/>
      <c r="C530" s="140"/>
      <c r="D530" s="140"/>
      <c r="E530" s="140"/>
      <c r="F530" s="140"/>
      <c r="G530" s="140">
        <v>6</v>
      </c>
      <c r="H530" s="140"/>
      <c r="I530" s="140">
        <v>6</v>
      </c>
      <c r="J530" s="140"/>
      <c r="K530" s="142">
        <v>12</v>
      </c>
      <c r="L530"/>
    </row>
    <row r="531" spans="1:12" x14ac:dyDescent="0.3">
      <c r="A531" s="94" t="s">
        <v>1181</v>
      </c>
      <c r="B531" s="140"/>
      <c r="C531" s="140"/>
      <c r="D531" s="140"/>
      <c r="E531" s="140"/>
      <c r="F531" s="140"/>
      <c r="G531" s="140">
        <v>5</v>
      </c>
      <c r="H531" s="140"/>
      <c r="I531" s="140">
        <v>5</v>
      </c>
      <c r="J531" s="140"/>
      <c r="K531" s="142">
        <v>10</v>
      </c>
      <c r="L531"/>
    </row>
    <row r="532" spans="1:12" x14ac:dyDescent="0.3">
      <c r="A532" s="94" t="s">
        <v>1192</v>
      </c>
      <c r="B532" s="140"/>
      <c r="C532" s="140"/>
      <c r="D532" s="140"/>
      <c r="E532" s="140"/>
      <c r="F532" s="140"/>
      <c r="G532" s="140">
        <v>0</v>
      </c>
      <c r="H532" s="140"/>
      <c r="I532" s="140">
        <v>3</v>
      </c>
      <c r="J532" s="140"/>
      <c r="K532" s="142">
        <v>3</v>
      </c>
      <c r="L532"/>
    </row>
    <row r="533" spans="1:12" x14ac:dyDescent="0.3">
      <c r="A533" s="94" t="s">
        <v>1048</v>
      </c>
      <c r="B533" s="140"/>
      <c r="C533" s="140"/>
      <c r="D533" s="140"/>
      <c r="E533" s="140"/>
      <c r="F533" s="140"/>
      <c r="G533" s="140">
        <v>3</v>
      </c>
      <c r="H533" s="140"/>
      <c r="I533" s="140"/>
      <c r="J533" s="140"/>
      <c r="K533" s="142">
        <v>3</v>
      </c>
      <c r="L533"/>
    </row>
    <row r="534" spans="1:12" x14ac:dyDescent="0.3">
      <c r="A534" s="94" t="s">
        <v>1193</v>
      </c>
      <c r="B534" s="140"/>
      <c r="C534" s="140"/>
      <c r="D534" s="140"/>
      <c r="E534" s="140"/>
      <c r="F534" s="140"/>
      <c r="G534" s="140">
        <v>3</v>
      </c>
      <c r="H534" s="140"/>
      <c r="I534" s="140">
        <v>0</v>
      </c>
      <c r="J534" s="140"/>
      <c r="K534" s="142">
        <v>3</v>
      </c>
      <c r="L534"/>
    </row>
    <row r="535" spans="1:12" x14ac:dyDescent="0.3">
      <c r="A535" s="94" t="s">
        <v>1179</v>
      </c>
      <c r="B535" s="140"/>
      <c r="C535" s="140"/>
      <c r="D535" s="140"/>
      <c r="E535" s="140"/>
      <c r="F535" s="140"/>
      <c r="G535" s="140">
        <v>0</v>
      </c>
      <c r="H535" s="140"/>
      <c r="I535" s="140">
        <v>3</v>
      </c>
      <c r="J535" s="140"/>
      <c r="K535" s="142">
        <v>3</v>
      </c>
      <c r="L535"/>
    </row>
    <row r="536" spans="1:12" x14ac:dyDescent="0.3">
      <c r="A536" s="94" t="s">
        <v>1177</v>
      </c>
      <c r="B536" s="140"/>
      <c r="C536" s="140"/>
      <c r="D536" s="140"/>
      <c r="E536" s="140"/>
      <c r="F536" s="140"/>
      <c r="G536" s="140"/>
      <c r="H536" s="140">
        <v>3</v>
      </c>
      <c r="I536" s="140">
        <v>0</v>
      </c>
      <c r="J536" s="140"/>
      <c r="K536" s="142">
        <v>3</v>
      </c>
      <c r="L536"/>
    </row>
    <row r="537" spans="1:12" x14ac:dyDescent="0.3">
      <c r="A537" s="94" t="s">
        <v>1183</v>
      </c>
      <c r="B537" s="140"/>
      <c r="C537" s="140"/>
      <c r="D537" s="140"/>
      <c r="E537" s="140"/>
      <c r="F537" s="140"/>
      <c r="G537" s="140">
        <v>0</v>
      </c>
      <c r="H537" s="140"/>
      <c r="I537" s="140">
        <v>0</v>
      </c>
      <c r="J537" s="140"/>
      <c r="K537" s="142">
        <v>0</v>
      </c>
      <c r="L537"/>
    </row>
    <row r="538" spans="1:12" x14ac:dyDescent="0.3">
      <c r="A538" s="94" t="s">
        <v>1178</v>
      </c>
      <c r="B538" s="140"/>
      <c r="C538" s="140"/>
      <c r="D538" s="140"/>
      <c r="E538" s="140"/>
      <c r="F538" s="140"/>
      <c r="G538" s="140"/>
      <c r="H538" s="140">
        <v>0</v>
      </c>
      <c r="I538" s="140"/>
      <c r="J538" s="140"/>
      <c r="K538" s="142">
        <v>0</v>
      </c>
      <c r="L538"/>
    </row>
    <row r="539" spans="1:12" x14ac:dyDescent="0.3">
      <c r="A539" s="94" t="s">
        <v>1182</v>
      </c>
      <c r="B539" s="140"/>
      <c r="C539" s="140"/>
      <c r="D539" s="140"/>
      <c r="E539" s="140"/>
      <c r="F539" s="140"/>
      <c r="G539" s="140">
        <v>0</v>
      </c>
      <c r="H539" s="140"/>
      <c r="I539" s="140">
        <v>0</v>
      </c>
      <c r="J539" s="140"/>
      <c r="K539" s="142">
        <v>0</v>
      </c>
      <c r="L539"/>
    </row>
    <row r="540" spans="1:12" x14ac:dyDescent="0.3">
      <c r="A540" s="3" t="s">
        <v>783</v>
      </c>
      <c r="B540" s="140"/>
      <c r="C540" s="140"/>
      <c r="D540" s="140"/>
      <c r="E540" s="140"/>
      <c r="F540" s="140"/>
      <c r="G540" s="140">
        <v>3</v>
      </c>
      <c r="H540" s="140">
        <v>17</v>
      </c>
      <c r="I540" s="140">
        <v>17</v>
      </c>
      <c r="J540" s="140"/>
      <c r="K540" s="142">
        <v>37</v>
      </c>
      <c r="L540"/>
    </row>
    <row r="541" spans="1:12" x14ac:dyDescent="0.3">
      <c r="A541" s="94" t="s">
        <v>897</v>
      </c>
      <c r="B541" s="140"/>
      <c r="C541" s="140"/>
      <c r="D541" s="140"/>
      <c r="E541" s="140"/>
      <c r="F541" s="140"/>
      <c r="G541" s="140"/>
      <c r="H541" s="140">
        <v>5</v>
      </c>
      <c r="I541" s="140">
        <v>5</v>
      </c>
      <c r="J541" s="140"/>
      <c r="K541" s="142">
        <v>10</v>
      </c>
      <c r="L541"/>
    </row>
    <row r="542" spans="1:12" x14ac:dyDescent="0.3">
      <c r="A542" s="94" t="s">
        <v>1189</v>
      </c>
      <c r="B542" s="140"/>
      <c r="C542" s="140"/>
      <c r="D542" s="140"/>
      <c r="E542" s="140"/>
      <c r="F542" s="140"/>
      <c r="G542" s="140"/>
      <c r="H542" s="140">
        <v>6</v>
      </c>
      <c r="I542" s="140">
        <v>3</v>
      </c>
      <c r="J542" s="140"/>
      <c r="K542" s="142">
        <v>9</v>
      </c>
      <c r="L542"/>
    </row>
    <row r="543" spans="1:12" x14ac:dyDescent="0.3">
      <c r="A543" s="94" t="s">
        <v>1190</v>
      </c>
      <c r="B543" s="140"/>
      <c r="C543" s="140"/>
      <c r="D543" s="140"/>
      <c r="E543" s="140"/>
      <c r="F543" s="140"/>
      <c r="G543" s="140"/>
      <c r="H543" s="140">
        <v>0</v>
      </c>
      <c r="I543" s="140">
        <v>6</v>
      </c>
      <c r="J543" s="140"/>
      <c r="K543" s="142">
        <v>6</v>
      </c>
      <c r="L543"/>
    </row>
    <row r="544" spans="1:12" x14ac:dyDescent="0.3">
      <c r="A544" s="94" t="s">
        <v>884</v>
      </c>
      <c r="B544" s="140"/>
      <c r="C544" s="140"/>
      <c r="D544" s="140"/>
      <c r="E544" s="140"/>
      <c r="F544" s="140"/>
      <c r="G544" s="140"/>
      <c r="H544" s="140">
        <v>3</v>
      </c>
      <c r="I544" s="140">
        <v>0</v>
      </c>
      <c r="J544" s="140"/>
      <c r="K544" s="142">
        <v>3</v>
      </c>
      <c r="L544"/>
    </row>
    <row r="545" spans="1:12" x14ac:dyDescent="0.3">
      <c r="A545" s="94" t="s">
        <v>1191</v>
      </c>
      <c r="B545" s="140"/>
      <c r="C545" s="140"/>
      <c r="D545" s="140"/>
      <c r="E545" s="140"/>
      <c r="F545" s="140"/>
      <c r="G545" s="140">
        <v>3</v>
      </c>
      <c r="H545" s="140"/>
      <c r="I545" s="140">
        <v>0</v>
      </c>
      <c r="J545" s="140"/>
      <c r="K545" s="142">
        <v>3</v>
      </c>
      <c r="L545"/>
    </row>
    <row r="546" spans="1:12" x14ac:dyDescent="0.3">
      <c r="A546" s="94" t="s">
        <v>901</v>
      </c>
      <c r="B546" s="140"/>
      <c r="C546" s="140"/>
      <c r="D546" s="140"/>
      <c r="E546" s="140"/>
      <c r="F546" s="140"/>
      <c r="G546" s="140"/>
      <c r="H546" s="140">
        <v>3</v>
      </c>
      <c r="I546" s="140">
        <v>0</v>
      </c>
      <c r="J546" s="140"/>
      <c r="K546" s="142">
        <v>3</v>
      </c>
      <c r="L546"/>
    </row>
    <row r="547" spans="1:12" x14ac:dyDescent="0.3">
      <c r="A547" s="94" t="s">
        <v>929</v>
      </c>
      <c r="B547" s="140"/>
      <c r="C547" s="140"/>
      <c r="D547" s="140"/>
      <c r="E547" s="140"/>
      <c r="F547" s="140"/>
      <c r="G547" s="140"/>
      <c r="H547" s="140">
        <v>0</v>
      </c>
      <c r="I547" s="140">
        <v>3</v>
      </c>
      <c r="J547" s="140"/>
      <c r="K547" s="142">
        <v>3</v>
      </c>
      <c r="L547"/>
    </row>
    <row r="548" spans="1:12" x14ac:dyDescent="0.3">
      <c r="A548" s="94" t="s">
        <v>879</v>
      </c>
      <c r="B548" s="140"/>
      <c r="C548" s="140"/>
      <c r="D548" s="140"/>
      <c r="E548" s="140"/>
      <c r="F548" s="140"/>
      <c r="G548" s="140"/>
      <c r="H548" s="140">
        <v>0</v>
      </c>
      <c r="I548" s="140"/>
      <c r="J548" s="140"/>
      <c r="K548" s="142">
        <v>0</v>
      </c>
      <c r="L548"/>
    </row>
    <row r="549" spans="1:12" x14ac:dyDescent="0.3">
      <c r="A549" s="94" t="s">
        <v>935</v>
      </c>
      <c r="B549" s="140"/>
      <c r="C549" s="140"/>
      <c r="D549" s="140"/>
      <c r="E549" s="140"/>
      <c r="F549" s="140"/>
      <c r="G549" s="140">
        <v>0</v>
      </c>
      <c r="H549" s="140"/>
      <c r="I549" s="140">
        <v>0</v>
      </c>
      <c r="J549" s="140"/>
      <c r="K549" s="142">
        <v>0</v>
      </c>
      <c r="L549"/>
    </row>
    <row r="550" spans="1:12" x14ac:dyDescent="0.3">
      <c r="A550" s="3" t="s">
        <v>521</v>
      </c>
      <c r="B550" s="140"/>
      <c r="C550" s="140"/>
      <c r="D550" s="140">
        <v>14</v>
      </c>
      <c r="E550" s="140"/>
      <c r="F550" s="140">
        <v>18</v>
      </c>
      <c r="G550" s="140"/>
      <c r="H550" s="140">
        <v>4</v>
      </c>
      <c r="I550" s="140"/>
      <c r="J550" s="140"/>
      <c r="K550" s="142">
        <v>36</v>
      </c>
      <c r="L550"/>
    </row>
    <row r="551" spans="1:12" x14ac:dyDescent="0.3">
      <c r="A551" s="94" t="s">
        <v>883</v>
      </c>
      <c r="B551" s="140"/>
      <c r="C551" s="140"/>
      <c r="D551" s="140">
        <v>6</v>
      </c>
      <c r="E551" s="140"/>
      <c r="F551" s="140">
        <v>8</v>
      </c>
      <c r="G551" s="140"/>
      <c r="H551" s="140"/>
      <c r="I551" s="140"/>
      <c r="J551" s="140"/>
      <c r="K551" s="142">
        <v>14</v>
      </c>
      <c r="L551"/>
    </row>
    <row r="552" spans="1:12" x14ac:dyDescent="0.3">
      <c r="A552" s="94" t="s">
        <v>1194</v>
      </c>
      <c r="B552" s="140"/>
      <c r="C552" s="140"/>
      <c r="D552" s="140">
        <v>5</v>
      </c>
      <c r="E552" s="140"/>
      <c r="F552" s="140">
        <v>6</v>
      </c>
      <c r="G552" s="140"/>
      <c r="H552" s="140"/>
      <c r="I552" s="140"/>
      <c r="J552" s="140"/>
      <c r="K552" s="142">
        <v>11</v>
      </c>
      <c r="L552"/>
    </row>
    <row r="553" spans="1:12" x14ac:dyDescent="0.3">
      <c r="A553" s="94" t="s">
        <v>1195</v>
      </c>
      <c r="B553" s="140"/>
      <c r="C553" s="140"/>
      <c r="D553" s="140"/>
      <c r="E553" s="140"/>
      <c r="F553" s="140"/>
      <c r="G553" s="140"/>
      <c r="H553" s="140">
        <v>4</v>
      </c>
      <c r="I553" s="140"/>
      <c r="J553" s="140"/>
      <c r="K553" s="142">
        <v>4</v>
      </c>
      <c r="L553"/>
    </row>
    <row r="554" spans="1:12" x14ac:dyDescent="0.3">
      <c r="A554" s="94" t="s">
        <v>1196</v>
      </c>
      <c r="B554" s="140"/>
      <c r="C554" s="140"/>
      <c r="D554" s="140">
        <v>0</v>
      </c>
      <c r="E554" s="140"/>
      <c r="F554" s="140">
        <v>4</v>
      </c>
      <c r="G554" s="140"/>
      <c r="H554" s="140"/>
      <c r="I554" s="140"/>
      <c r="J554" s="140"/>
      <c r="K554" s="142">
        <v>4</v>
      </c>
      <c r="L554"/>
    </row>
    <row r="555" spans="1:12" x14ac:dyDescent="0.3">
      <c r="A555" s="94" t="s">
        <v>1197</v>
      </c>
      <c r="B555" s="140"/>
      <c r="C555" s="140"/>
      <c r="D555" s="140">
        <v>3</v>
      </c>
      <c r="E555" s="140"/>
      <c r="F555" s="140"/>
      <c r="G555" s="140"/>
      <c r="H555" s="140"/>
      <c r="I555" s="140"/>
      <c r="J555" s="140"/>
      <c r="K555" s="142">
        <v>3</v>
      </c>
      <c r="L555"/>
    </row>
    <row r="556" spans="1:12" x14ac:dyDescent="0.3">
      <c r="A556" s="94" t="s">
        <v>1198</v>
      </c>
      <c r="B556" s="140"/>
      <c r="C556" s="140"/>
      <c r="D556" s="140"/>
      <c r="E556" s="140"/>
      <c r="F556" s="140"/>
      <c r="G556" s="140"/>
      <c r="H556" s="140">
        <v>0</v>
      </c>
      <c r="I556" s="140"/>
      <c r="J556" s="140"/>
      <c r="K556" s="142">
        <v>0</v>
      </c>
      <c r="L556"/>
    </row>
    <row r="557" spans="1:12" x14ac:dyDescent="0.3">
      <c r="A557" s="94" t="s">
        <v>890</v>
      </c>
      <c r="B557" s="140"/>
      <c r="C557" s="140"/>
      <c r="D557" s="140">
        <v>0</v>
      </c>
      <c r="E557" s="140"/>
      <c r="F557" s="140"/>
      <c r="G557" s="140"/>
      <c r="H557" s="140"/>
      <c r="I557" s="140"/>
      <c r="J557" s="140"/>
      <c r="K557" s="142">
        <v>0</v>
      </c>
      <c r="L557"/>
    </row>
    <row r="558" spans="1:12" x14ac:dyDescent="0.3">
      <c r="A558" s="94" t="s">
        <v>1199</v>
      </c>
      <c r="B558" s="140"/>
      <c r="C558" s="140"/>
      <c r="D558" s="140">
        <v>0</v>
      </c>
      <c r="E558" s="140"/>
      <c r="F558" s="140">
        <v>0</v>
      </c>
      <c r="G558" s="140"/>
      <c r="H558" s="140"/>
      <c r="I558" s="140"/>
      <c r="J558" s="140"/>
      <c r="K558" s="142">
        <v>0</v>
      </c>
      <c r="L558"/>
    </row>
    <row r="559" spans="1:12" x14ac:dyDescent="0.3">
      <c r="A559" s="94" t="s">
        <v>888</v>
      </c>
      <c r="B559" s="140"/>
      <c r="C559" s="140"/>
      <c r="D559" s="140">
        <v>0</v>
      </c>
      <c r="E559" s="140"/>
      <c r="F559" s="140"/>
      <c r="G559" s="140"/>
      <c r="H559" s="140"/>
      <c r="I559" s="140"/>
      <c r="J559" s="140"/>
      <c r="K559" s="142">
        <v>0</v>
      </c>
      <c r="L559"/>
    </row>
    <row r="560" spans="1:12" x14ac:dyDescent="0.3">
      <c r="A560" s="3" t="s">
        <v>551</v>
      </c>
      <c r="B560" s="140"/>
      <c r="C560" s="140"/>
      <c r="D560" s="140">
        <v>8</v>
      </c>
      <c r="E560" s="140"/>
      <c r="F560" s="140">
        <v>14</v>
      </c>
      <c r="G560" s="140">
        <v>9</v>
      </c>
      <c r="H560" s="140"/>
      <c r="I560" s="140">
        <v>5</v>
      </c>
      <c r="J560" s="140"/>
      <c r="K560" s="142">
        <v>36</v>
      </c>
      <c r="L560"/>
    </row>
    <row r="561" spans="1:12" x14ac:dyDescent="0.3">
      <c r="A561" s="94" t="s">
        <v>1200</v>
      </c>
      <c r="B561" s="140"/>
      <c r="C561" s="140"/>
      <c r="D561" s="140"/>
      <c r="E561" s="140"/>
      <c r="F561" s="140">
        <v>8</v>
      </c>
      <c r="G561" s="140">
        <v>6</v>
      </c>
      <c r="H561" s="140"/>
      <c r="I561" s="140">
        <v>2</v>
      </c>
      <c r="J561" s="140"/>
      <c r="K561" s="142">
        <v>16</v>
      </c>
      <c r="L561"/>
    </row>
    <row r="562" spans="1:12" x14ac:dyDescent="0.3">
      <c r="A562" s="94" t="s">
        <v>1201</v>
      </c>
      <c r="B562" s="140"/>
      <c r="C562" s="140"/>
      <c r="D562" s="140">
        <v>3</v>
      </c>
      <c r="E562" s="140"/>
      <c r="F562" s="140">
        <v>6</v>
      </c>
      <c r="G562" s="140">
        <v>3</v>
      </c>
      <c r="H562" s="140"/>
      <c r="I562" s="140">
        <v>3</v>
      </c>
      <c r="J562" s="140"/>
      <c r="K562" s="142">
        <v>15</v>
      </c>
      <c r="L562"/>
    </row>
    <row r="563" spans="1:12" x14ac:dyDescent="0.3">
      <c r="A563" s="94" t="s">
        <v>974</v>
      </c>
      <c r="B563" s="140"/>
      <c r="C563" s="140"/>
      <c r="D563" s="140">
        <v>5</v>
      </c>
      <c r="E563" s="140"/>
      <c r="F563" s="140"/>
      <c r="G563" s="140"/>
      <c r="H563" s="140"/>
      <c r="I563" s="140"/>
      <c r="J563" s="140"/>
      <c r="K563" s="142">
        <v>5</v>
      </c>
      <c r="L563"/>
    </row>
    <row r="564" spans="1:12" x14ac:dyDescent="0.3">
      <c r="A564" s="94" t="s">
        <v>1202</v>
      </c>
      <c r="B564" s="140"/>
      <c r="C564" s="140"/>
      <c r="D564" s="140"/>
      <c r="E564" s="140"/>
      <c r="F564" s="140">
        <v>0</v>
      </c>
      <c r="G564" s="140"/>
      <c r="H564" s="140"/>
      <c r="I564" s="140"/>
      <c r="J564" s="140"/>
      <c r="K564" s="142">
        <v>0</v>
      </c>
      <c r="L564"/>
    </row>
    <row r="565" spans="1:12" x14ac:dyDescent="0.3">
      <c r="A565" s="94" t="s">
        <v>1203</v>
      </c>
      <c r="B565" s="140"/>
      <c r="C565" s="140"/>
      <c r="D565" s="140"/>
      <c r="E565" s="140"/>
      <c r="F565" s="140">
        <v>0</v>
      </c>
      <c r="G565" s="140"/>
      <c r="H565" s="140"/>
      <c r="I565" s="140"/>
      <c r="J565" s="140"/>
      <c r="K565" s="142">
        <v>0</v>
      </c>
      <c r="L565"/>
    </row>
    <row r="566" spans="1:12" x14ac:dyDescent="0.3">
      <c r="A566" s="94" t="s">
        <v>1144</v>
      </c>
      <c r="B566" s="140"/>
      <c r="C566" s="140"/>
      <c r="D566" s="140"/>
      <c r="E566" s="140"/>
      <c r="F566" s="140">
        <v>0</v>
      </c>
      <c r="G566" s="140"/>
      <c r="H566" s="140"/>
      <c r="I566" s="140"/>
      <c r="J566" s="140"/>
      <c r="K566" s="142">
        <v>0</v>
      </c>
      <c r="L566"/>
    </row>
    <row r="567" spans="1:12" x14ac:dyDescent="0.3">
      <c r="A567" s="3" t="s">
        <v>498</v>
      </c>
      <c r="B567" s="140"/>
      <c r="C567" s="140"/>
      <c r="D567" s="140"/>
      <c r="E567" s="140">
        <v>14</v>
      </c>
      <c r="F567" s="140">
        <v>12</v>
      </c>
      <c r="G567" s="140"/>
      <c r="H567" s="140"/>
      <c r="I567" s="140"/>
      <c r="J567" s="140">
        <v>8</v>
      </c>
      <c r="K567" s="142">
        <v>34</v>
      </c>
      <c r="L567"/>
    </row>
    <row r="568" spans="1:12" x14ac:dyDescent="0.3">
      <c r="A568" s="94" t="s">
        <v>1232</v>
      </c>
      <c r="B568" s="140"/>
      <c r="C568" s="140"/>
      <c r="D568" s="140"/>
      <c r="E568" s="140">
        <v>6</v>
      </c>
      <c r="F568" s="140">
        <v>8</v>
      </c>
      <c r="G568" s="140"/>
      <c r="H568" s="140"/>
      <c r="I568" s="140"/>
      <c r="J568" s="140">
        <v>8</v>
      </c>
      <c r="K568" s="142">
        <v>22</v>
      </c>
      <c r="L568"/>
    </row>
    <row r="569" spans="1:12" x14ac:dyDescent="0.3">
      <c r="A569" s="94" t="s">
        <v>1233</v>
      </c>
      <c r="B569" s="140"/>
      <c r="C569" s="140"/>
      <c r="D569" s="140"/>
      <c r="E569" s="140">
        <v>3</v>
      </c>
      <c r="F569" s="140">
        <v>4</v>
      </c>
      <c r="G569" s="140"/>
      <c r="H569" s="140"/>
      <c r="I569" s="140"/>
      <c r="J569" s="140"/>
      <c r="K569" s="142">
        <v>7</v>
      </c>
      <c r="L569"/>
    </row>
    <row r="570" spans="1:12" x14ac:dyDescent="0.3">
      <c r="A570" s="94" t="s">
        <v>1234</v>
      </c>
      <c r="B570" s="140"/>
      <c r="C570" s="140"/>
      <c r="D570" s="140"/>
      <c r="E570" s="140">
        <v>5</v>
      </c>
      <c r="F570" s="140">
        <v>0</v>
      </c>
      <c r="G570" s="140"/>
      <c r="H570" s="140"/>
      <c r="I570" s="140"/>
      <c r="J570" s="140"/>
      <c r="K570" s="142">
        <v>5</v>
      </c>
      <c r="L570"/>
    </row>
    <row r="571" spans="1:12" x14ac:dyDescent="0.3">
      <c r="A571" s="94" t="s">
        <v>1235</v>
      </c>
      <c r="B571" s="140"/>
      <c r="C571" s="140"/>
      <c r="D571" s="140"/>
      <c r="E571" s="140"/>
      <c r="F571" s="140">
        <v>0</v>
      </c>
      <c r="G571" s="140"/>
      <c r="H571" s="140"/>
      <c r="I571" s="140"/>
      <c r="J571" s="140"/>
      <c r="K571" s="142">
        <v>0</v>
      </c>
      <c r="L571"/>
    </row>
    <row r="572" spans="1:12" x14ac:dyDescent="0.3">
      <c r="A572" s="94" t="s">
        <v>1236</v>
      </c>
      <c r="B572" s="140"/>
      <c r="C572" s="140"/>
      <c r="D572" s="140"/>
      <c r="E572" s="140"/>
      <c r="F572" s="140">
        <v>0</v>
      </c>
      <c r="G572" s="140"/>
      <c r="H572" s="140"/>
      <c r="I572" s="140"/>
      <c r="J572" s="140"/>
      <c r="K572" s="142">
        <v>0</v>
      </c>
      <c r="L572"/>
    </row>
    <row r="573" spans="1:12" x14ac:dyDescent="0.3">
      <c r="A573" s="3" t="s">
        <v>506</v>
      </c>
      <c r="B573" s="140"/>
      <c r="C573" s="140"/>
      <c r="D573" s="140">
        <v>9</v>
      </c>
      <c r="E573" s="140">
        <v>3</v>
      </c>
      <c r="F573" s="140">
        <v>21</v>
      </c>
      <c r="G573" s="140"/>
      <c r="H573" s="140"/>
      <c r="I573" s="140"/>
      <c r="J573" s="140"/>
      <c r="K573" s="142">
        <v>33</v>
      </c>
      <c r="L573"/>
    </row>
    <row r="574" spans="1:12" x14ac:dyDescent="0.3">
      <c r="A574" s="94" t="s">
        <v>1069</v>
      </c>
      <c r="B574" s="140"/>
      <c r="C574" s="140"/>
      <c r="D574" s="140">
        <v>3</v>
      </c>
      <c r="E574" s="140"/>
      <c r="F574" s="140">
        <v>8</v>
      </c>
      <c r="G574" s="140"/>
      <c r="H574" s="140"/>
      <c r="I574" s="140"/>
      <c r="J574" s="140"/>
      <c r="K574" s="142">
        <v>11</v>
      </c>
      <c r="L574"/>
    </row>
    <row r="575" spans="1:12" x14ac:dyDescent="0.3">
      <c r="A575" s="94" t="s">
        <v>1072</v>
      </c>
      <c r="B575" s="140"/>
      <c r="C575" s="140"/>
      <c r="D575" s="140"/>
      <c r="E575" s="140">
        <v>3</v>
      </c>
      <c r="F575" s="140">
        <v>6</v>
      </c>
      <c r="G575" s="140"/>
      <c r="H575" s="140"/>
      <c r="I575" s="140"/>
      <c r="J575" s="140"/>
      <c r="K575" s="142">
        <v>9</v>
      </c>
      <c r="L575"/>
    </row>
    <row r="576" spans="1:12" x14ac:dyDescent="0.3">
      <c r="A576" s="94" t="s">
        <v>713</v>
      </c>
      <c r="B576" s="140"/>
      <c r="C576" s="140"/>
      <c r="D576" s="140">
        <v>6</v>
      </c>
      <c r="E576" s="140"/>
      <c r="F576" s="140"/>
      <c r="G576" s="140"/>
      <c r="H576" s="140"/>
      <c r="I576" s="140"/>
      <c r="J576" s="140"/>
      <c r="K576" s="142">
        <v>6</v>
      </c>
      <c r="L576"/>
    </row>
    <row r="577" spans="1:12" x14ac:dyDescent="0.3">
      <c r="A577" s="94" t="s">
        <v>1209</v>
      </c>
      <c r="B577" s="140"/>
      <c r="C577" s="140"/>
      <c r="D577" s="140"/>
      <c r="E577" s="140"/>
      <c r="F577" s="140">
        <v>4</v>
      </c>
      <c r="G577" s="140"/>
      <c r="H577" s="140"/>
      <c r="I577" s="140"/>
      <c r="J577" s="140"/>
      <c r="K577" s="142">
        <v>4</v>
      </c>
      <c r="L577"/>
    </row>
    <row r="578" spans="1:12" x14ac:dyDescent="0.3">
      <c r="A578" s="94" t="s">
        <v>1210</v>
      </c>
      <c r="B578" s="140"/>
      <c r="C578" s="140"/>
      <c r="D578" s="140"/>
      <c r="E578" s="140">
        <v>0</v>
      </c>
      <c r="F578" s="140">
        <v>3</v>
      </c>
      <c r="G578" s="140"/>
      <c r="H578" s="140"/>
      <c r="I578" s="140"/>
      <c r="J578" s="140"/>
      <c r="K578" s="142">
        <v>3</v>
      </c>
      <c r="L578"/>
    </row>
    <row r="579" spans="1:12" x14ac:dyDescent="0.3">
      <c r="A579" s="3" t="s">
        <v>542</v>
      </c>
      <c r="B579" s="140"/>
      <c r="C579" s="140"/>
      <c r="D579" s="140">
        <v>0</v>
      </c>
      <c r="E579" s="140">
        <v>21</v>
      </c>
      <c r="F579" s="140">
        <v>12</v>
      </c>
      <c r="G579" s="140"/>
      <c r="H579" s="140"/>
      <c r="I579" s="140"/>
      <c r="J579" s="140"/>
      <c r="K579" s="142">
        <v>33</v>
      </c>
      <c r="L579"/>
    </row>
    <row r="580" spans="1:12" x14ac:dyDescent="0.3">
      <c r="A580" s="94" t="s">
        <v>1084</v>
      </c>
      <c r="B580" s="140"/>
      <c r="C580" s="140"/>
      <c r="D580" s="140"/>
      <c r="E580" s="140">
        <v>8</v>
      </c>
      <c r="F580" s="140">
        <v>8</v>
      </c>
      <c r="G580" s="140"/>
      <c r="H580" s="140"/>
      <c r="I580" s="140"/>
      <c r="J580" s="140"/>
      <c r="K580" s="142">
        <v>16</v>
      </c>
      <c r="L580"/>
    </row>
    <row r="581" spans="1:12" x14ac:dyDescent="0.3">
      <c r="A581" s="94" t="s">
        <v>1211</v>
      </c>
      <c r="B581" s="140"/>
      <c r="C581" s="140"/>
      <c r="D581" s="140"/>
      <c r="E581" s="140">
        <v>6</v>
      </c>
      <c r="F581" s="140">
        <v>4</v>
      </c>
      <c r="G581" s="140"/>
      <c r="H581" s="140"/>
      <c r="I581" s="140"/>
      <c r="J581" s="140"/>
      <c r="K581" s="142">
        <v>10</v>
      </c>
      <c r="L581"/>
    </row>
    <row r="582" spans="1:12" x14ac:dyDescent="0.3">
      <c r="A582" s="94" t="s">
        <v>1212</v>
      </c>
      <c r="B582" s="140"/>
      <c r="C582" s="140"/>
      <c r="D582" s="140"/>
      <c r="E582" s="140">
        <v>4</v>
      </c>
      <c r="F582" s="140"/>
      <c r="G582" s="140"/>
      <c r="H582" s="140"/>
      <c r="I582" s="140"/>
      <c r="J582" s="140"/>
      <c r="K582" s="142">
        <v>4</v>
      </c>
      <c r="L582"/>
    </row>
    <row r="583" spans="1:12" x14ac:dyDescent="0.3">
      <c r="A583" s="94" t="s">
        <v>1213</v>
      </c>
      <c r="B583" s="140"/>
      <c r="C583" s="140"/>
      <c r="D583" s="140"/>
      <c r="E583" s="140">
        <v>3</v>
      </c>
      <c r="F583" s="140">
        <v>0</v>
      </c>
      <c r="G583" s="140"/>
      <c r="H583" s="140"/>
      <c r="I583" s="140"/>
      <c r="J583" s="140"/>
      <c r="K583" s="142">
        <v>3</v>
      </c>
      <c r="L583"/>
    </row>
    <row r="584" spans="1:12" x14ac:dyDescent="0.3">
      <c r="A584" s="94" t="s">
        <v>1214</v>
      </c>
      <c r="B584" s="140"/>
      <c r="C584" s="140"/>
      <c r="D584" s="140">
        <v>0</v>
      </c>
      <c r="E584" s="140"/>
      <c r="F584" s="140"/>
      <c r="G584" s="140"/>
      <c r="H584" s="140"/>
      <c r="I584" s="140"/>
      <c r="J584" s="140"/>
      <c r="K584" s="142">
        <v>0</v>
      </c>
      <c r="L584"/>
    </row>
    <row r="585" spans="1:12" x14ac:dyDescent="0.3">
      <c r="A585" s="3" t="s">
        <v>499</v>
      </c>
      <c r="B585" s="140"/>
      <c r="C585" s="140"/>
      <c r="D585" s="140"/>
      <c r="E585" s="140">
        <v>14</v>
      </c>
      <c r="F585" s="140">
        <v>18</v>
      </c>
      <c r="G585" s="140"/>
      <c r="H585" s="140"/>
      <c r="I585" s="140"/>
      <c r="J585" s="140"/>
      <c r="K585" s="142">
        <v>32</v>
      </c>
      <c r="L585"/>
    </row>
    <row r="586" spans="1:12" x14ac:dyDescent="0.3">
      <c r="A586" s="94" t="s">
        <v>1215</v>
      </c>
      <c r="B586" s="140"/>
      <c r="C586" s="140"/>
      <c r="D586" s="140"/>
      <c r="E586" s="140">
        <v>6</v>
      </c>
      <c r="F586" s="140">
        <v>8</v>
      </c>
      <c r="G586" s="140"/>
      <c r="H586" s="140"/>
      <c r="I586" s="140"/>
      <c r="J586" s="140"/>
      <c r="K586" s="142">
        <v>14</v>
      </c>
      <c r="L586"/>
    </row>
    <row r="587" spans="1:12" x14ac:dyDescent="0.3">
      <c r="A587" s="94" t="s">
        <v>1216</v>
      </c>
      <c r="B587" s="140"/>
      <c r="C587" s="140"/>
      <c r="D587" s="140"/>
      <c r="E587" s="140">
        <v>5</v>
      </c>
      <c r="F587" s="140">
        <v>6</v>
      </c>
      <c r="G587" s="140"/>
      <c r="H587" s="140"/>
      <c r="I587" s="140"/>
      <c r="J587" s="140"/>
      <c r="K587" s="142">
        <v>11</v>
      </c>
      <c r="L587"/>
    </row>
    <row r="588" spans="1:12" x14ac:dyDescent="0.3">
      <c r="A588" s="94" t="s">
        <v>717</v>
      </c>
      <c r="B588" s="140"/>
      <c r="C588" s="140"/>
      <c r="D588" s="140"/>
      <c r="E588" s="140"/>
      <c r="F588" s="140">
        <v>4</v>
      </c>
      <c r="G588" s="140"/>
      <c r="H588" s="140"/>
      <c r="I588" s="140"/>
      <c r="J588" s="140"/>
      <c r="K588" s="142">
        <v>4</v>
      </c>
      <c r="L588"/>
    </row>
    <row r="589" spans="1:12" x14ac:dyDescent="0.3">
      <c r="A589" s="94" t="s">
        <v>1217</v>
      </c>
      <c r="B589" s="140"/>
      <c r="C589" s="140"/>
      <c r="D589" s="140"/>
      <c r="E589" s="140">
        <v>3</v>
      </c>
      <c r="F589" s="140">
        <v>0</v>
      </c>
      <c r="G589" s="140"/>
      <c r="H589" s="140"/>
      <c r="I589" s="140"/>
      <c r="J589" s="140"/>
      <c r="K589" s="142">
        <v>3</v>
      </c>
      <c r="L589"/>
    </row>
    <row r="590" spans="1:12" x14ac:dyDescent="0.3">
      <c r="A590" s="94" t="s">
        <v>1218</v>
      </c>
      <c r="B590" s="140"/>
      <c r="C590" s="140"/>
      <c r="D590" s="140"/>
      <c r="E590" s="140"/>
      <c r="F590" s="140">
        <v>0</v>
      </c>
      <c r="G590" s="140"/>
      <c r="H590" s="140"/>
      <c r="I590" s="140"/>
      <c r="J590" s="140"/>
      <c r="K590" s="142">
        <v>0</v>
      </c>
      <c r="L590"/>
    </row>
    <row r="591" spans="1:12" x14ac:dyDescent="0.3">
      <c r="A591" s="94" t="s">
        <v>1219</v>
      </c>
      <c r="B591" s="140"/>
      <c r="C591" s="140"/>
      <c r="D591" s="140"/>
      <c r="E591" s="140"/>
      <c r="F591" s="140">
        <v>0</v>
      </c>
      <c r="G591" s="140"/>
      <c r="H591" s="140"/>
      <c r="I591" s="140"/>
      <c r="J591" s="140"/>
      <c r="K591" s="142">
        <v>0</v>
      </c>
      <c r="L591"/>
    </row>
    <row r="592" spans="1:12" x14ac:dyDescent="0.3">
      <c r="A592" s="94" t="s">
        <v>1220</v>
      </c>
      <c r="B592" s="140"/>
      <c r="C592" s="140"/>
      <c r="D592" s="140"/>
      <c r="E592" s="140"/>
      <c r="F592" s="140">
        <v>0</v>
      </c>
      <c r="G592" s="140"/>
      <c r="H592" s="140"/>
      <c r="I592" s="140"/>
      <c r="J592" s="140"/>
      <c r="K592" s="142">
        <v>0</v>
      </c>
      <c r="L592"/>
    </row>
    <row r="593" spans="1:12" x14ac:dyDescent="0.3">
      <c r="A593" s="3" t="s">
        <v>544</v>
      </c>
      <c r="B593" s="140"/>
      <c r="C593" s="140"/>
      <c r="D593" s="140">
        <v>0</v>
      </c>
      <c r="E593" s="140">
        <v>14</v>
      </c>
      <c r="F593" s="140">
        <v>17</v>
      </c>
      <c r="G593" s="140"/>
      <c r="H593" s="140"/>
      <c r="I593" s="140"/>
      <c r="J593" s="140"/>
      <c r="K593" s="142">
        <v>31</v>
      </c>
      <c r="L593"/>
    </row>
    <row r="594" spans="1:12" x14ac:dyDescent="0.3">
      <c r="A594" s="94" t="s">
        <v>1221</v>
      </c>
      <c r="B594" s="140"/>
      <c r="C594" s="140"/>
      <c r="D594" s="140"/>
      <c r="E594" s="140">
        <v>6</v>
      </c>
      <c r="F594" s="140">
        <v>10</v>
      </c>
      <c r="G594" s="140"/>
      <c r="H594" s="140"/>
      <c r="I594" s="140"/>
      <c r="J594" s="140"/>
      <c r="K594" s="142">
        <v>16</v>
      </c>
      <c r="L594"/>
    </row>
    <row r="595" spans="1:12" x14ac:dyDescent="0.3">
      <c r="A595" s="94" t="s">
        <v>1094</v>
      </c>
      <c r="B595" s="140"/>
      <c r="C595" s="140"/>
      <c r="D595" s="140"/>
      <c r="E595" s="140">
        <v>5</v>
      </c>
      <c r="F595" s="140">
        <v>4</v>
      </c>
      <c r="G595" s="140"/>
      <c r="H595" s="140"/>
      <c r="I595" s="140"/>
      <c r="J595" s="140"/>
      <c r="K595" s="142">
        <v>9</v>
      </c>
      <c r="L595"/>
    </row>
    <row r="596" spans="1:12" x14ac:dyDescent="0.3">
      <c r="A596" s="94" t="s">
        <v>1222</v>
      </c>
      <c r="B596" s="140"/>
      <c r="C596" s="140"/>
      <c r="D596" s="140"/>
      <c r="E596" s="140">
        <v>3</v>
      </c>
      <c r="F596" s="140"/>
      <c r="G596" s="140"/>
      <c r="H596" s="140"/>
      <c r="I596" s="140"/>
      <c r="J596" s="140"/>
      <c r="K596" s="142">
        <v>3</v>
      </c>
      <c r="L596"/>
    </row>
    <row r="597" spans="1:12" x14ac:dyDescent="0.3">
      <c r="A597" s="94" t="s">
        <v>1223</v>
      </c>
      <c r="B597" s="140"/>
      <c r="C597" s="140"/>
      <c r="D597" s="140">
        <v>0</v>
      </c>
      <c r="E597" s="140"/>
      <c r="F597" s="140">
        <v>3</v>
      </c>
      <c r="G597" s="140"/>
      <c r="H597" s="140"/>
      <c r="I597" s="140"/>
      <c r="J597" s="140"/>
      <c r="K597" s="142">
        <v>3</v>
      </c>
      <c r="L597"/>
    </row>
    <row r="598" spans="1:12" x14ac:dyDescent="0.3">
      <c r="A598" s="3" t="s">
        <v>555</v>
      </c>
      <c r="B598" s="140"/>
      <c r="C598" s="140"/>
      <c r="D598" s="140">
        <v>9</v>
      </c>
      <c r="E598" s="140">
        <v>3</v>
      </c>
      <c r="F598" s="140">
        <v>17</v>
      </c>
      <c r="G598" s="140"/>
      <c r="H598" s="140"/>
      <c r="I598" s="140"/>
      <c r="J598" s="140"/>
      <c r="K598" s="142">
        <v>29</v>
      </c>
      <c r="L598"/>
    </row>
    <row r="599" spans="1:12" x14ac:dyDescent="0.3">
      <c r="A599" s="94" t="s">
        <v>1224</v>
      </c>
      <c r="B599" s="140"/>
      <c r="C599" s="140"/>
      <c r="D599" s="140">
        <v>6</v>
      </c>
      <c r="E599" s="140"/>
      <c r="F599" s="140">
        <v>8</v>
      </c>
      <c r="G599" s="140"/>
      <c r="H599" s="140"/>
      <c r="I599" s="140"/>
      <c r="J599" s="140"/>
      <c r="K599" s="142">
        <v>14</v>
      </c>
      <c r="L599"/>
    </row>
    <row r="600" spans="1:12" x14ac:dyDescent="0.3">
      <c r="A600" s="94" t="s">
        <v>1225</v>
      </c>
      <c r="B600" s="140"/>
      <c r="C600" s="140"/>
      <c r="D600" s="140"/>
      <c r="E600" s="140">
        <v>3</v>
      </c>
      <c r="F600" s="140">
        <v>6</v>
      </c>
      <c r="G600" s="140"/>
      <c r="H600" s="140"/>
      <c r="I600" s="140"/>
      <c r="J600" s="140"/>
      <c r="K600" s="142">
        <v>9</v>
      </c>
      <c r="L600"/>
    </row>
    <row r="601" spans="1:12" x14ac:dyDescent="0.3">
      <c r="A601" s="94" t="s">
        <v>1226</v>
      </c>
      <c r="B601" s="140"/>
      <c r="C601" s="140"/>
      <c r="D601" s="140">
        <v>3</v>
      </c>
      <c r="E601" s="140"/>
      <c r="F601" s="140">
        <v>0</v>
      </c>
      <c r="G601" s="140"/>
      <c r="H601" s="140"/>
      <c r="I601" s="140"/>
      <c r="J601" s="140"/>
      <c r="K601" s="142">
        <v>3</v>
      </c>
      <c r="L601"/>
    </row>
    <row r="602" spans="1:12" x14ac:dyDescent="0.3">
      <c r="A602" s="94" t="s">
        <v>1227</v>
      </c>
      <c r="B602" s="140"/>
      <c r="C602" s="140"/>
      <c r="D602" s="140">
        <v>0</v>
      </c>
      <c r="E602" s="140"/>
      <c r="F602" s="140">
        <v>3</v>
      </c>
      <c r="G602" s="140"/>
      <c r="H602" s="140"/>
      <c r="I602" s="140"/>
      <c r="J602" s="140"/>
      <c r="K602" s="142">
        <v>3</v>
      </c>
      <c r="L602"/>
    </row>
    <row r="603" spans="1:12" x14ac:dyDescent="0.3">
      <c r="A603" s="94" t="s">
        <v>1228</v>
      </c>
      <c r="B603" s="140"/>
      <c r="C603" s="140"/>
      <c r="D603" s="140">
        <v>0</v>
      </c>
      <c r="E603" s="140"/>
      <c r="F603" s="140">
        <v>0</v>
      </c>
      <c r="G603" s="140"/>
      <c r="H603" s="140"/>
      <c r="I603" s="140"/>
      <c r="J603" s="140"/>
      <c r="K603" s="142">
        <v>0</v>
      </c>
      <c r="L603"/>
    </row>
    <row r="604" spans="1:12" x14ac:dyDescent="0.3">
      <c r="A604" s="94" t="s">
        <v>1229</v>
      </c>
      <c r="B604" s="140"/>
      <c r="C604" s="140"/>
      <c r="D604" s="140">
        <v>0</v>
      </c>
      <c r="E604" s="140"/>
      <c r="F604" s="140">
        <v>0</v>
      </c>
      <c r="G604" s="140"/>
      <c r="H604" s="140"/>
      <c r="I604" s="140"/>
      <c r="J604" s="140"/>
      <c r="K604" s="142">
        <v>0</v>
      </c>
      <c r="L604"/>
    </row>
    <row r="605" spans="1:12" x14ac:dyDescent="0.3">
      <c r="A605" s="3" t="s">
        <v>500</v>
      </c>
      <c r="B605" s="140"/>
      <c r="C605" s="140"/>
      <c r="D605" s="140"/>
      <c r="E605" s="140">
        <v>7</v>
      </c>
      <c r="F605" s="140">
        <v>14</v>
      </c>
      <c r="G605" s="140"/>
      <c r="H605" s="140"/>
      <c r="I605" s="140"/>
      <c r="J605" s="140">
        <v>8</v>
      </c>
      <c r="K605" s="142">
        <v>29</v>
      </c>
      <c r="L605"/>
    </row>
    <row r="606" spans="1:12" x14ac:dyDescent="0.3">
      <c r="A606" s="94" t="s">
        <v>1204</v>
      </c>
      <c r="B606" s="140"/>
      <c r="C606" s="140"/>
      <c r="D606" s="140"/>
      <c r="E606" s="140">
        <v>4</v>
      </c>
      <c r="F606" s="140">
        <v>6</v>
      </c>
      <c r="G606" s="140"/>
      <c r="H606" s="140"/>
      <c r="I606" s="140"/>
      <c r="J606" s="140">
        <v>8</v>
      </c>
      <c r="K606" s="142">
        <v>18</v>
      </c>
      <c r="L606"/>
    </row>
    <row r="607" spans="1:12" x14ac:dyDescent="0.3">
      <c r="A607" s="94" t="s">
        <v>1244</v>
      </c>
      <c r="B607" s="140"/>
      <c r="C607" s="140"/>
      <c r="D607" s="140"/>
      <c r="E607" s="140">
        <v>3</v>
      </c>
      <c r="F607" s="140">
        <v>8</v>
      </c>
      <c r="G607" s="140"/>
      <c r="H607" s="140"/>
      <c r="I607" s="140"/>
      <c r="J607" s="140"/>
      <c r="K607" s="142">
        <v>11</v>
      </c>
      <c r="L607"/>
    </row>
    <row r="608" spans="1:12" x14ac:dyDescent="0.3">
      <c r="A608" s="3" t="s">
        <v>495</v>
      </c>
      <c r="B608" s="140"/>
      <c r="C608" s="140">
        <v>28</v>
      </c>
      <c r="D608" s="140"/>
      <c r="E608" s="140"/>
      <c r="F608" s="140"/>
      <c r="G608" s="140"/>
      <c r="H608" s="140"/>
      <c r="I608" s="140"/>
      <c r="J608" s="140"/>
      <c r="K608" s="142">
        <v>28</v>
      </c>
      <c r="L608"/>
    </row>
    <row r="609" spans="1:12" x14ac:dyDescent="0.3">
      <c r="A609" s="94" t="s">
        <v>560</v>
      </c>
      <c r="B609" s="140"/>
      <c r="C609" s="140">
        <v>10</v>
      </c>
      <c r="D609" s="140"/>
      <c r="E609" s="140"/>
      <c r="F609" s="140"/>
      <c r="G609" s="140"/>
      <c r="H609" s="140"/>
      <c r="I609" s="140"/>
      <c r="J609" s="140"/>
      <c r="K609" s="142">
        <v>10</v>
      </c>
      <c r="L609"/>
    </row>
    <row r="610" spans="1:12" x14ac:dyDescent="0.3">
      <c r="A610" s="94" t="s">
        <v>707</v>
      </c>
      <c r="B610" s="140"/>
      <c r="C610" s="140">
        <v>8</v>
      </c>
      <c r="D610" s="140"/>
      <c r="E610" s="140"/>
      <c r="F610" s="140"/>
      <c r="G610" s="140"/>
      <c r="H610" s="140"/>
      <c r="I610" s="140"/>
      <c r="J610" s="140"/>
      <c r="K610" s="142">
        <v>8</v>
      </c>
      <c r="L610"/>
    </row>
    <row r="611" spans="1:12" x14ac:dyDescent="0.3">
      <c r="A611" s="94" t="s">
        <v>558</v>
      </c>
      <c r="B611" s="140"/>
      <c r="C611" s="140">
        <v>4</v>
      </c>
      <c r="D611" s="140"/>
      <c r="E611" s="140"/>
      <c r="F611" s="140"/>
      <c r="G611" s="140"/>
      <c r="H611" s="140"/>
      <c r="I611" s="140"/>
      <c r="J611" s="140"/>
      <c r="K611" s="142">
        <v>4</v>
      </c>
      <c r="L611"/>
    </row>
    <row r="612" spans="1:12" x14ac:dyDescent="0.3">
      <c r="A612" s="94" t="s">
        <v>749</v>
      </c>
      <c r="B612" s="140"/>
      <c r="C612" s="140">
        <v>3</v>
      </c>
      <c r="D612" s="140"/>
      <c r="E612" s="140"/>
      <c r="F612" s="140"/>
      <c r="G612" s="140"/>
      <c r="H612" s="140"/>
      <c r="I612" s="140"/>
      <c r="J612" s="140"/>
      <c r="K612" s="142">
        <v>3</v>
      </c>
      <c r="L612"/>
    </row>
    <row r="613" spans="1:12" x14ac:dyDescent="0.3">
      <c r="A613" s="94" t="s">
        <v>714</v>
      </c>
      <c r="B613" s="140"/>
      <c r="C613" s="140">
        <v>3</v>
      </c>
      <c r="D613" s="140"/>
      <c r="E613" s="140"/>
      <c r="F613" s="140"/>
      <c r="G613" s="140"/>
      <c r="H613" s="140"/>
      <c r="I613" s="140"/>
      <c r="J613" s="140"/>
      <c r="K613" s="142">
        <v>3</v>
      </c>
      <c r="L613"/>
    </row>
    <row r="614" spans="1:12" x14ac:dyDescent="0.3">
      <c r="A614" s="94" t="s">
        <v>750</v>
      </c>
      <c r="B614" s="140"/>
      <c r="C614" s="140">
        <v>0</v>
      </c>
      <c r="D614" s="140"/>
      <c r="E614" s="140"/>
      <c r="F614" s="140"/>
      <c r="G614" s="140"/>
      <c r="H614" s="140"/>
      <c r="I614" s="140"/>
      <c r="J614" s="140"/>
      <c r="K614" s="142">
        <v>0</v>
      </c>
      <c r="L614"/>
    </row>
    <row r="615" spans="1:12" x14ac:dyDescent="0.3">
      <c r="A615" s="94" t="s">
        <v>559</v>
      </c>
      <c r="B615" s="140"/>
      <c r="C615" s="140">
        <v>0</v>
      </c>
      <c r="D615" s="140"/>
      <c r="E615" s="140"/>
      <c r="F615" s="140"/>
      <c r="G615" s="140"/>
      <c r="H615" s="140"/>
      <c r="I615" s="140"/>
      <c r="J615" s="140"/>
      <c r="K615" s="142">
        <v>0</v>
      </c>
      <c r="L615"/>
    </row>
    <row r="616" spans="1:12" x14ac:dyDescent="0.3">
      <c r="A616" s="3" t="s">
        <v>488</v>
      </c>
      <c r="B616" s="140"/>
      <c r="C616" s="140">
        <v>27</v>
      </c>
      <c r="D616" s="140"/>
      <c r="E616" s="140"/>
      <c r="F616" s="140"/>
      <c r="G616" s="140"/>
      <c r="H616" s="140"/>
      <c r="I616" s="140"/>
      <c r="J616" s="140"/>
      <c r="K616" s="142">
        <v>27</v>
      </c>
      <c r="L616"/>
    </row>
    <row r="617" spans="1:12" x14ac:dyDescent="0.3">
      <c r="A617" s="94" t="s">
        <v>752</v>
      </c>
      <c r="B617" s="140"/>
      <c r="C617" s="140">
        <v>12</v>
      </c>
      <c r="D617" s="140"/>
      <c r="E617" s="140"/>
      <c r="F617" s="140"/>
      <c r="G617" s="140"/>
      <c r="H617" s="140"/>
      <c r="I617" s="140"/>
      <c r="J617" s="140"/>
      <c r="K617" s="142">
        <v>12</v>
      </c>
      <c r="L617"/>
    </row>
    <row r="618" spans="1:12" x14ac:dyDescent="0.3">
      <c r="A618" s="94" t="s">
        <v>753</v>
      </c>
      <c r="B618" s="140"/>
      <c r="C618" s="140">
        <v>9</v>
      </c>
      <c r="D618" s="140"/>
      <c r="E618" s="140"/>
      <c r="F618" s="140"/>
      <c r="G618" s="140"/>
      <c r="H618" s="140"/>
      <c r="I618" s="140"/>
      <c r="J618" s="140"/>
      <c r="K618" s="142">
        <v>9</v>
      </c>
      <c r="L618"/>
    </row>
    <row r="619" spans="1:12" x14ac:dyDescent="0.3">
      <c r="A619" s="94" t="s">
        <v>754</v>
      </c>
      <c r="B619" s="140"/>
      <c r="C619" s="140">
        <v>6</v>
      </c>
      <c r="D619" s="140"/>
      <c r="E619" s="140"/>
      <c r="F619" s="140"/>
      <c r="G619" s="140"/>
      <c r="H619" s="140"/>
      <c r="I619" s="140"/>
      <c r="J619" s="140"/>
      <c r="K619" s="142">
        <v>6</v>
      </c>
      <c r="L619"/>
    </row>
    <row r="620" spans="1:12" x14ac:dyDescent="0.3">
      <c r="A620" s="3" t="s">
        <v>546</v>
      </c>
      <c r="B620" s="140"/>
      <c r="C620" s="140"/>
      <c r="D620" s="140">
        <v>3</v>
      </c>
      <c r="E620" s="140">
        <v>3</v>
      </c>
      <c r="F620" s="140">
        <v>14</v>
      </c>
      <c r="G620" s="140">
        <v>3</v>
      </c>
      <c r="H620" s="140"/>
      <c r="I620" s="140">
        <v>3</v>
      </c>
      <c r="J620" s="140"/>
      <c r="K620" s="142">
        <v>26</v>
      </c>
      <c r="L620"/>
    </row>
    <row r="621" spans="1:12" x14ac:dyDescent="0.3">
      <c r="A621" s="94" t="s">
        <v>1149</v>
      </c>
      <c r="B621" s="140"/>
      <c r="C621" s="140"/>
      <c r="D621" s="140">
        <v>3</v>
      </c>
      <c r="E621" s="140"/>
      <c r="F621" s="140">
        <v>8</v>
      </c>
      <c r="G621" s="140">
        <v>3</v>
      </c>
      <c r="H621" s="140"/>
      <c r="I621" s="140">
        <v>3</v>
      </c>
      <c r="J621" s="140"/>
      <c r="K621" s="142">
        <v>17</v>
      </c>
      <c r="L621"/>
    </row>
    <row r="622" spans="1:12" x14ac:dyDescent="0.3">
      <c r="A622" s="94" t="s">
        <v>1142</v>
      </c>
      <c r="B622" s="140"/>
      <c r="C622" s="140"/>
      <c r="D622" s="140">
        <v>0</v>
      </c>
      <c r="E622" s="140"/>
      <c r="F622" s="140">
        <v>6</v>
      </c>
      <c r="G622" s="140"/>
      <c r="H622" s="140"/>
      <c r="I622" s="140"/>
      <c r="J622" s="140"/>
      <c r="K622" s="142">
        <v>6</v>
      </c>
      <c r="L622"/>
    </row>
    <row r="623" spans="1:12" x14ac:dyDescent="0.3">
      <c r="A623" s="94" t="s">
        <v>1230</v>
      </c>
      <c r="B623" s="140"/>
      <c r="C623" s="140"/>
      <c r="D623" s="140"/>
      <c r="E623" s="140">
        <v>3</v>
      </c>
      <c r="F623" s="140">
        <v>0</v>
      </c>
      <c r="G623" s="140"/>
      <c r="H623" s="140"/>
      <c r="I623" s="140"/>
      <c r="J623" s="140"/>
      <c r="K623" s="142">
        <v>3</v>
      </c>
      <c r="L623"/>
    </row>
    <row r="624" spans="1:12" x14ac:dyDescent="0.3">
      <c r="A624" s="94" t="s">
        <v>1231</v>
      </c>
      <c r="B624" s="140"/>
      <c r="C624" s="140"/>
      <c r="D624" s="140"/>
      <c r="E624" s="140"/>
      <c r="F624" s="140"/>
      <c r="G624" s="140">
        <v>0</v>
      </c>
      <c r="H624" s="140"/>
      <c r="I624" s="140">
        <v>0</v>
      </c>
      <c r="J624" s="140"/>
      <c r="K624" s="142">
        <v>0</v>
      </c>
      <c r="L624"/>
    </row>
    <row r="625" spans="1:12" x14ac:dyDescent="0.3">
      <c r="A625" s="3" t="s">
        <v>494</v>
      </c>
      <c r="B625" s="140"/>
      <c r="C625" s="140">
        <v>24.000000060000001</v>
      </c>
      <c r="D625" s="140"/>
      <c r="E625" s="140"/>
      <c r="F625" s="140"/>
      <c r="G625" s="140"/>
      <c r="H625" s="140"/>
      <c r="I625" s="140"/>
      <c r="J625" s="140"/>
      <c r="K625" s="142">
        <v>24.000000060000001</v>
      </c>
      <c r="L625"/>
    </row>
    <row r="626" spans="1:12" x14ac:dyDescent="0.3">
      <c r="A626" s="94" t="s">
        <v>565</v>
      </c>
      <c r="B626" s="140"/>
      <c r="C626" s="140">
        <v>8.0000000100000008</v>
      </c>
      <c r="D626" s="140"/>
      <c r="E626" s="140"/>
      <c r="F626" s="140"/>
      <c r="G626" s="140"/>
      <c r="H626" s="140"/>
      <c r="I626" s="140"/>
      <c r="J626" s="140"/>
      <c r="K626" s="142">
        <v>8.0000000100000008</v>
      </c>
      <c r="L626"/>
    </row>
    <row r="627" spans="1:12" x14ac:dyDescent="0.3">
      <c r="A627" s="94" t="s">
        <v>564</v>
      </c>
      <c r="B627" s="140"/>
      <c r="C627" s="140">
        <v>4.0000000099999999</v>
      </c>
      <c r="D627" s="140"/>
      <c r="E627" s="140"/>
      <c r="F627" s="140"/>
      <c r="G627" s="140"/>
      <c r="H627" s="140"/>
      <c r="I627" s="140"/>
      <c r="J627" s="140"/>
      <c r="K627" s="142">
        <v>4.0000000099999999</v>
      </c>
      <c r="L627"/>
    </row>
    <row r="628" spans="1:12" x14ac:dyDescent="0.3">
      <c r="A628" s="94" t="s">
        <v>566</v>
      </c>
      <c r="B628" s="140"/>
      <c r="C628" s="140">
        <v>3.0000000099999999</v>
      </c>
      <c r="D628" s="140"/>
      <c r="E628" s="140"/>
      <c r="F628" s="140"/>
      <c r="G628" s="140"/>
      <c r="H628" s="140"/>
      <c r="I628" s="140"/>
      <c r="J628" s="140"/>
      <c r="K628" s="142">
        <v>3.0000000099999999</v>
      </c>
      <c r="L628"/>
    </row>
    <row r="629" spans="1:12" x14ac:dyDescent="0.3">
      <c r="A629" s="94" t="s">
        <v>561</v>
      </c>
      <c r="B629" s="140"/>
      <c r="C629" s="140">
        <v>3.0000000099999999</v>
      </c>
      <c r="D629" s="140"/>
      <c r="E629" s="140"/>
      <c r="F629" s="140"/>
      <c r="G629" s="140"/>
      <c r="H629" s="140"/>
      <c r="I629" s="140"/>
      <c r="J629" s="140"/>
      <c r="K629" s="142">
        <v>3.0000000099999999</v>
      </c>
      <c r="L629"/>
    </row>
    <row r="630" spans="1:12" x14ac:dyDescent="0.3">
      <c r="A630" s="94" t="s">
        <v>712</v>
      </c>
      <c r="B630" s="140"/>
      <c r="C630" s="140">
        <v>3.0000000099999999</v>
      </c>
      <c r="D630" s="140"/>
      <c r="E630" s="140"/>
      <c r="F630" s="140"/>
      <c r="G630" s="140"/>
      <c r="H630" s="140"/>
      <c r="I630" s="140"/>
      <c r="J630" s="140"/>
      <c r="K630" s="142">
        <v>3.0000000099999999</v>
      </c>
      <c r="L630"/>
    </row>
    <row r="631" spans="1:12" x14ac:dyDescent="0.3">
      <c r="A631" s="94" t="s">
        <v>562</v>
      </c>
      <c r="B631" s="140"/>
      <c r="C631" s="140">
        <v>3.0000000099999999</v>
      </c>
      <c r="D631" s="140"/>
      <c r="E631" s="140"/>
      <c r="F631" s="140"/>
      <c r="G631" s="140"/>
      <c r="H631" s="140"/>
      <c r="I631" s="140"/>
      <c r="J631" s="140"/>
      <c r="K631" s="142">
        <v>3.0000000099999999</v>
      </c>
      <c r="L631"/>
    </row>
    <row r="632" spans="1:12" x14ac:dyDescent="0.3">
      <c r="A632" s="94" t="s">
        <v>718</v>
      </c>
      <c r="B632" s="140"/>
      <c r="C632" s="140">
        <v>0</v>
      </c>
      <c r="D632" s="140"/>
      <c r="E632" s="140"/>
      <c r="F632" s="140"/>
      <c r="G632" s="140"/>
      <c r="H632" s="140"/>
      <c r="I632" s="140"/>
      <c r="J632" s="140"/>
      <c r="K632" s="142">
        <v>0</v>
      </c>
      <c r="L632"/>
    </row>
    <row r="633" spans="1:12" x14ac:dyDescent="0.3">
      <c r="A633" s="94" t="s">
        <v>756</v>
      </c>
      <c r="B633" s="140"/>
      <c r="C633" s="140">
        <v>0</v>
      </c>
      <c r="D633" s="140"/>
      <c r="E633" s="140"/>
      <c r="F633" s="140"/>
      <c r="G633" s="140"/>
      <c r="H633" s="140"/>
      <c r="I633" s="140"/>
      <c r="J633" s="140"/>
      <c r="K633" s="142">
        <v>0</v>
      </c>
      <c r="L633"/>
    </row>
    <row r="634" spans="1:12" x14ac:dyDescent="0.3">
      <c r="A634" s="94" t="s">
        <v>757</v>
      </c>
      <c r="B634" s="140"/>
      <c r="C634" s="140">
        <v>0</v>
      </c>
      <c r="D634" s="140"/>
      <c r="E634" s="140"/>
      <c r="F634" s="140"/>
      <c r="G634" s="140"/>
      <c r="H634" s="140"/>
      <c r="I634" s="140"/>
      <c r="J634" s="140"/>
      <c r="K634" s="142">
        <v>0</v>
      </c>
      <c r="L634"/>
    </row>
    <row r="635" spans="1:12" x14ac:dyDescent="0.3">
      <c r="A635" s="94" t="s">
        <v>568</v>
      </c>
      <c r="B635" s="140"/>
      <c r="C635" s="140">
        <v>0</v>
      </c>
      <c r="D635" s="140"/>
      <c r="E635" s="140"/>
      <c r="F635" s="140"/>
      <c r="G635" s="140"/>
      <c r="H635" s="140"/>
      <c r="I635" s="140"/>
      <c r="J635" s="140"/>
      <c r="K635" s="142">
        <v>0</v>
      </c>
      <c r="L635"/>
    </row>
    <row r="636" spans="1:12" x14ac:dyDescent="0.3">
      <c r="A636" s="94" t="s">
        <v>563</v>
      </c>
      <c r="B636" s="140"/>
      <c r="C636" s="140">
        <v>0</v>
      </c>
      <c r="D636" s="140"/>
      <c r="E636" s="140"/>
      <c r="F636" s="140"/>
      <c r="G636" s="140"/>
      <c r="H636" s="140"/>
      <c r="I636" s="140"/>
      <c r="J636" s="140"/>
      <c r="K636" s="142">
        <v>0</v>
      </c>
      <c r="L636"/>
    </row>
    <row r="637" spans="1:12" x14ac:dyDescent="0.3">
      <c r="A637" s="3" t="s">
        <v>489</v>
      </c>
      <c r="B637" s="140"/>
      <c r="C637" s="140">
        <v>6</v>
      </c>
      <c r="D637" s="140"/>
      <c r="E637" s="140"/>
      <c r="F637" s="140"/>
      <c r="G637" s="140"/>
      <c r="H637" s="140"/>
      <c r="I637" s="140"/>
      <c r="J637" s="140">
        <v>15</v>
      </c>
      <c r="K637" s="142">
        <v>21</v>
      </c>
      <c r="L637"/>
    </row>
    <row r="638" spans="1:12" x14ac:dyDescent="0.3">
      <c r="A638" s="94" t="s">
        <v>656</v>
      </c>
      <c r="B638" s="140"/>
      <c r="C638" s="140">
        <v>6</v>
      </c>
      <c r="D638" s="140"/>
      <c r="E638" s="140"/>
      <c r="F638" s="140"/>
      <c r="G638" s="140"/>
      <c r="H638" s="140"/>
      <c r="I638" s="140"/>
      <c r="J638" s="140">
        <v>15</v>
      </c>
      <c r="K638" s="142">
        <v>21</v>
      </c>
      <c r="L638"/>
    </row>
    <row r="639" spans="1:12" x14ac:dyDescent="0.3">
      <c r="A639" s="94" t="s">
        <v>574</v>
      </c>
      <c r="B639" s="140"/>
      <c r="C639" s="140">
        <v>0</v>
      </c>
      <c r="D639" s="140"/>
      <c r="E639" s="140"/>
      <c r="F639" s="140"/>
      <c r="G639" s="140"/>
      <c r="H639" s="140"/>
      <c r="I639" s="140"/>
      <c r="J639" s="140"/>
      <c r="K639" s="142">
        <v>0</v>
      </c>
      <c r="L639"/>
    </row>
    <row r="640" spans="1:12" x14ac:dyDescent="0.3">
      <c r="A640" s="3" t="s">
        <v>784</v>
      </c>
      <c r="B640" s="140"/>
      <c r="C640" s="140"/>
      <c r="D640" s="140"/>
      <c r="E640" s="140"/>
      <c r="F640" s="140"/>
      <c r="G640" s="140">
        <v>3</v>
      </c>
      <c r="H640" s="140">
        <v>3</v>
      </c>
      <c r="I640" s="140">
        <v>14</v>
      </c>
      <c r="J640" s="140"/>
      <c r="K640" s="142">
        <v>20</v>
      </c>
      <c r="L640"/>
    </row>
    <row r="641" spans="1:12" x14ac:dyDescent="0.3">
      <c r="A641" s="94" t="s">
        <v>1041</v>
      </c>
      <c r="B641" s="140"/>
      <c r="C641" s="140"/>
      <c r="D641" s="140"/>
      <c r="E641" s="140"/>
      <c r="F641" s="140"/>
      <c r="G641" s="140"/>
      <c r="H641" s="140">
        <v>3</v>
      </c>
      <c r="I641" s="140">
        <v>6</v>
      </c>
      <c r="J641" s="140"/>
      <c r="K641" s="142">
        <v>9</v>
      </c>
      <c r="L641"/>
    </row>
    <row r="642" spans="1:12" x14ac:dyDescent="0.3">
      <c r="A642" s="94" t="s">
        <v>1157</v>
      </c>
      <c r="B642" s="140"/>
      <c r="C642" s="140"/>
      <c r="D642" s="140"/>
      <c r="E642" s="140"/>
      <c r="F642" s="140"/>
      <c r="G642" s="140">
        <v>3</v>
      </c>
      <c r="H642" s="140"/>
      <c r="I642" s="140">
        <v>3</v>
      </c>
      <c r="J642" s="140"/>
      <c r="K642" s="142">
        <v>6</v>
      </c>
      <c r="L642"/>
    </row>
    <row r="643" spans="1:12" x14ac:dyDescent="0.3">
      <c r="A643" s="94" t="s">
        <v>1042</v>
      </c>
      <c r="B643" s="140"/>
      <c r="C643" s="140"/>
      <c r="D643" s="140"/>
      <c r="E643" s="140"/>
      <c r="F643" s="140"/>
      <c r="G643" s="140"/>
      <c r="H643" s="140">
        <v>0</v>
      </c>
      <c r="I643" s="140">
        <v>5</v>
      </c>
      <c r="J643" s="140"/>
      <c r="K643" s="142">
        <v>5</v>
      </c>
      <c r="L643"/>
    </row>
    <row r="644" spans="1:12" x14ac:dyDescent="0.3">
      <c r="A644" s="94" t="s">
        <v>1049</v>
      </c>
      <c r="B644" s="140"/>
      <c r="C644" s="140"/>
      <c r="D644" s="140"/>
      <c r="E644" s="140"/>
      <c r="F644" s="140"/>
      <c r="G644" s="140">
        <v>0</v>
      </c>
      <c r="H644" s="140"/>
      <c r="I644" s="140">
        <v>0</v>
      </c>
      <c r="J644" s="140"/>
      <c r="K644" s="142">
        <v>0</v>
      </c>
      <c r="L644"/>
    </row>
    <row r="645" spans="1:12" x14ac:dyDescent="0.3">
      <c r="A645" s="3" t="s">
        <v>782</v>
      </c>
      <c r="B645" s="140"/>
      <c r="C645" s="140"/>
      <c r="D645" s="140"/>
      <c r="E645" s="140"/>
      <c r="F645" s="140"/>
      <c r="G645" s="140">
        <v>7</v>
      </c>
      <c r="H645" s="140"/>
      <c r="I645" s="140">
        <v>13</v>
      </c>
      <c r="J645" s="140"/>
      <c r="K645" s="142">
        <v>20</v>
      </c>
      <c r="L645"/>
    </row>
    <row r="646" spans="1:12" x14ac:dyDescent="0.3">
      <c r="A646" s="94" t="s">
        <v>898</v>
      </c>
      <c r="B646" s="140"/>
      <c r="C646" s="140"/>
      <c r="D646" s="140"/>
      <c r="E646" s="140"/>
      <c r="F646" s="140"/>
      <c r="G646" s="140">
        <v>4</v>
      </c>
      <c r="H646" s="140"/>
      <c r="I646" s="140">
        <v>6</v>
      </c>
      <c r="J646" s="140"/>
      <c r="K646" s="142">
        <v>10</v>
      </c>
      <c r="L646"/>
    </row>
    <row r="647" spans="1:12" x14ac:dyDescent="0.3">
      <c r="A647" s="94" t="s">
        <v>1198</v>
      </c>
      <c r="B647" s="140"/>
      <c r="C647" s="140"/>
      <c r="D647" s="140"/>
      <c r="E647" s="140"/>
      <c r="F647" s="140"/>
      <c r="G647" s="140"/>
      <c r="H647" s="140"/>
      <c r="I647" s="140">
        <v>5</v>
      </c>
      <c r="J647" s="140"/>
      <c r="K647" s="142">
        <v>5</v>
      </c>
      <c r="L647"/>
    </row>
    <row r="648" spans="1:12" x14ac:dyDescent="0.3">
      <c r="A648" s="94" t="s">
        <v>1245</v>
      </c>
      <c r="B648" s="140"/>
      <c r="C648" s="140"/>
      <c r="D648" s="140"/>
      <c r="E648" s="140"/>
      <c r="F648" s="140"/>
      <c r="G648" s="140">
        <v>3</v>
      </c>
      <c r="H648" s="140"/>
      <c r="I648" s="140"/>
      <c r="J648" s="140"/>
      <c r="K648" s="142">
        <v>3</v>
      </c>
      <c r="L648"/>
    </row>
    <row r="649" spans="1:12" x14ac:dyDescent="0.3">
      <c r="A649" s="94" t="s">
        <v>1195</v>
      </c>
      <c r="B649" s="140"/>
      <c r="C649" s="140"/>
      <c r="D649" s="140"/>
      <c r="E649" s="140"/>
      <c r="F649" s="140"/>
      <c r="G649" s="140"/>
      <c r="H649" s="140"/>
      <c r="I649" s="140">
        <v>2</v>
      </c>
      <c r="J649" s="140"/>
      <c r="K649" s="142">
        <v>2</v>
      </c>
      <c r="L649"/>
    </row>
    <row r="650" spans="1:12" x14ac:dyDescent="0.3">
      <c r="A650" s="94" t="s">
        <v>890</v>
      </c>
      <c r="B650" s="140"/>
      <c r="C650" s="140"/>
      <c r="D650" s="140"/>
      <c r="E650" s="140"/>
      <c r="F650" s="140"/>
      <c r="G650" s="140">
        <v>0</v>
      </c>
      <c r="H650" s="140"/>
      <c r="I650" s="140"/>
      <c r="J650" s="140"/>
      <c r="K650" s="142">
        <v>0</v>
      </c>
      <c r="L650"/>
    </row>
    <row r="651" spans="1:12" x14ac:dyDescent="0.3">
      <c r="A651" s="3" t="s">
        <v>534</v>
      </c>
      <c r="B651" s="140"/>
      <c r="C651" s="140"/>
      <c r="D651" s="140"/>
      <c r="E651" s="140"/>
      <c r="F651" s="140"/>
      <c r="G651" s="140">
        <v>10</v>
      </c>
      <c r="H651" s="140"/>
      <c r="I651" s="140">
        <v>8</v>
      </c>
      <c r="J651" s="140"/>
      <c r="K651" s="142">
        <v>18</v>
      </c>
      <c r="L651"/>
    </row>
    <row r="652" spans="1:12" x14ac:dyDescent="0.3">
      <c r="A652" s="94" t="s">
        <v>1034</v>
      </c>
      <c r="B652" s="140"/>
      <c r="C652" s="140"/>
      <c r="D652" s="140"/>
      <c r="E652" s="140"/>
      <c r="F652" s="140"/>
      <c r="G652" s="140">
        <v>4</v>
      </c>
      <c r="H652" s="140"/>
      <c r="I652" s="140">
        <v>4</v>
      </c>
      <c r="J652" s="140"/>
      <c r="K652" s="142">
        <v>8</v>
      </c>
      <c r="L652"/>
    </row>
    <row r="653" spans="1:12" x14ac:dyDescent="0.3">
      <c r="A653" s="94" t="s">
        <v>1246</v>
      </c>
      <c r="B653" s="140"/>
      <c r="C653" s="140"/>
      <c r="D653" s="140"/>
      <c r="E653" s="140"/>
      <c r="F653" s="140"/>
      <c r="G653" s="140">
        <v>6</v>
      </c>
      <c r="H653" s="140"/>
      <c r="I653" s="140"/>
      <c r="J653" s="140"/>
      <c r="K653" s="142">
        <v>6</v>
      </c>
      <c r="L653"/>
    </row>
    <row r="654" spans="1:12" x14ac:dyDescent="0.3">
      <c r="A654" s="94" t="s">
        <v>1038</v>
      </c>
      <c r="B654" s="140"/>
      <c r="C654" s="140"/>
      <c r="D654" s="140"/>
      <c r="E654" s="140"/>
      <c r="F654" s="140"/>
      <c r="G654" s="140">
        <v>0</v>
      </c>
      <c r="H654" s="140"/>
      <c r="I654" s="140">
        <v>2</v>
      </c>
      <c r="J654" s="140"/>
      <c r="K654" s="142">
        <v>2</v>
      </c>
      <c r="L654"/>
    </row>
    <row r="655" spans="1:12" x14ac:dyDescent="0.3">
      <c r="A655" s="94" t="s">
        <v>1163</v>
      </c>
      <c r="B655" s="140"/>
      <c r="C655" s="140"/>
      <c r="D655" s="140"/>
      <c r="E655" s="140"/>
      <c r="F655" s="140"/>
      <c r="G655" s="140">
        <v>0</v>
      </c>
      <c r="H655" s="140"/>
      <c r="I655" s="140">
        <v>2</v>
      </c>
      <c r="J655" s="140"/>
      <c r="K655" s="142">
        <v>2</v>
      </c>
      <c r="L655"/>
    </row>
    <row r="656" spans="1:12" x14ac:dyDescent="0.3">
      <c r="A656" s="94" t="s">
        <v>1247</v>
      </c>
      <c r="B656" s="140"/>
      <c r="C656" s="140"/>
      <c r="D656" s="140"/>
      <c r="E656" s="140"/>
      <c r="F656" s="140"/>
      <c r="G656" s="140">
        <v>0</v>
      </c>
      <c r="H656" s="140"/>
      <c r="I656" s="140">
        <v>0</v>
      </c>
      <c r="J656" s="140"/>
      <c r="K656" s="142">
        <v>0</v>
      </c>
      <c r="L656"/>
    </row>
    <row r="657" spans="1:12" x14ac:dyDescent="0.3">
      <c r="A657" s="94" t="s">
        <v>1162</v>
      </c>
      <c r="B657" s="140"/>
      <c r="C657" s="140"/>
      <c r="D657" s="140"/>
      <c r="E657" s="140"/>
      <c r="F657" s="140"/>
      <c r="G657" s="140">
        <v>0</v>
      </c>
      <c r="H657" s="140"/>
      <c r="I657" s="140"/>
      <c r="J657" s="140"/>
      <c r="K657" s="142">
        <v>0</v>
      </c>
      <c r="L657"/>
    </row>
    <row r="658" spans="1:12" x14ac:dyDescent="0.3">
      <c r="A658" s="94" t="s">
        <v>1248</v>
      </c>
      <c r="B658" s="140"/>
      <c r="C658" s="140"/>
      <c r="D658" s="140"/>
      <c r="E658" s="140"/>
      <c r="F658" s="140"/>
      <c r="G658" s="140">
        <v>0</v>
      </c>
      <c r="H658" s="140"/>
      <c r="I658" s="140">
        <v>0</v>
      </c>
      <c r="J658" s="140"/>
      <c r="K658" s="142">
        <v>0</v>
      </c>
      <c r="L658"/>
    </row>
    <row r="659" spans="1:12" x14ac:dyDescent="0.3">
      <c r="A659" s="3" t="s">
        <v>545</v>
      </c>
      <c r="B659" s="140"/>
      <c r="C659" s="140"/>
      <c r="D659" s="140"/>
      <c r="E659" s="140">
        <v>7</v>
      </c>
      <c r="F659" s="140">
        <v>10</v>
      </c>
      <c r="G659" s="140"/>
      <c r="H659" s="140"/>
      <c r="I659" s="140"/>
      <c r="J659" s="140"/>
      <c r="K659" s="142">
        <v>17</v>
      </c>
      <c r="L659"/>
    </row>
    <row r="660" spans="1:12" x14ac:dyDescent="0.3">
      <c r="A660" s="94" t="s">
        <v>1249</v>
      </c>
      <c r="B660" s="140"/>
      <c r="C660" s="140"/>
      <c r="D660" s="140"/>
      <c r="E660" s="140">
        <v>3</v>
      </c>
      <c r="F660" s="140">
        <v>6</v>
      </c>
      <c r="G660" s="140"/>
      <c r="H660" s="140"/>
      <c r="I660" s="140"/>
      <c r="J660" s="140"/>
      <c r="K660" s="142">
        <v>9</v>
      </c>
      <c r="L660"/>
    </row>
    <row r="661" spans="1:12" x14ac:dyDescent="0.3">
      <c r="A661" s="94" t="s">
        <v>1250</v>
      </c>
      <c r="B661" s="140"/>
      <c r="C661" s="140"/>
      <c r="D661" s="140"/>
      <c r="E661" s="140">
        <v>4</v>
      </c>
      <c r="F661" s="140">
        <v>4</v>
      </c>
      <c r="G661" s="140"/>
      <c r="H661" s="140"/>
      <c r="I661" s="140"/>
      <c r="J661" s="140"/>
      <c r="K661" s="142">
        <v>8</v>
      </c>
      <c r="L661"/>
    </row>
    <row r="662" spans="1:12" x14ac:dyDescent="0.3">
      <c r="A662" s="94" t="s">
        <v>1091</v>
      </c>
      <c r="B662" s="140"/>
      <c r="C662" s="140"/>
      <c r="D662" s="140"/>
      <c r="E662" s="140">
        <v>0</v>
      </c>
      <c r="F662" s="140">
        <v>0</v>
      </c>
      <c r="G662" s="140"/>
      <c r="H662" s="140"/>
      <c r="I662" s="140"/>
      <c r="J662" s="140"/>
      <c r="K662" s="142">
        <v>0</v>
      </c>
      <c r="L662"/>
    </row>
    <row r="663" spans="1:12" x14ac:dyDescent="0.3">
      <c r="A663" s="3" t="s">
        <v>484</v>
      </c>
      <c r="B663" s="140"/>
      <c r="C663" s="140">
        <v>16</v>
      </c>
      <c r="D663" s="140"/>
      <c r="E663" s="140"/>
      <c r="F663" s="140"/>
      <c r="G663" s="140"/>
      <c r="H663" s="140"/>
      <c r="I663" s="140"/>
      <c r="J663" s="140"/>
      <c r="K663" s="142">
        <v>16</v>
      </c>
      <c r="L663"/>
    </row>
    <row r="664" spans="1:12" x14ac:dyDescent="0.3">
      <c r="A664" s="94" t="s">
        <v>577</v>
      </c>
      <c r="B664" s="140"/>
      <c r="C664" s="140">
        <v>10</v>
      </c>
      <c r="D664" s="140"/>
      <c r="E664" s="140"/>
      <c r="F664" s="140"/>
      <c r="G664" s="140"/>
      <c r="H664" s="140"/>
      <c r="I664" s="140"/>
      <c r="J664" s="140"/>
      <c r="K664" s="142">
        <v>10</v>
      </c>
      <c r="L664"/>
    </row>
    <row r="665" spans="1:12" x14ac:dyDescent="0.3">
      <c r="A665" s="94" t="s">
        <v>570</v>
      </c>
      <c r="B665" s="140"/>
      <c r="C665" s="140">
        <v>6</v>
      </c>
      <c r="D665" s="140"/>
      <c r="E665" s="140"/>
      <c r="F665" s="140"/>
      <c r="G665" s="140"/>
      <c r="H665" s="140"/>
      <c r="I665" s="140"/>
      <c r="J665" s="140"/>
      <c r="K665" s="142">
        <v>6</v>
      </c>
      <c r="L665"/>
    </row>
    <row r="666" spans="1:12" x14ac:dyDescent="0.3">
      <c r="A666" s="94" t="s">
        <v>759</v>
      </c>
      <c r="B666" s="140"/>
      <c r="C666" s="140">
        <v>0</v>
      </c>
      <c r="D666" s="140"/>
      <c r="E666" s="140"/>
      <c r="F666" s="140"/>
      <c r="G666" s="140"/>
      <c r="H666" s="140"/>
      <c r="I666" s="140"/>
      <c r="J666" s="140"/>
      <c r="K666" s="142">
        <v>0</v>
      </c>
      <c r="L666"/>
    </row>
    <row r="667" spans="1:12" x14ac:dyDescent="0.3">
      <c r="A667" s="3" t="s">
        <v>781</v>
      </c>
      <c r="B667" s="140"/>
      <c r="C667" s="140"/>
      <c r="D667" s="140">
        <v>3</v>
      </c>
      <c r="E667" s="140"/>
      <c r="F667" s="140">
        <v>10</v>
      </c>
      <c r="G667" s="140"/>
      <c r="H667" s="140"/>
      <c r="I667" s="140">
        <v>3</v>
      </c>
      <c r="J667" s="140"/>
      <c r="K667" s="142">
        <v>16</v>
      </c>
      <c r="L667"/>
    </row>
    <row r="668" spans="1:12" x14ac:dyDescent="0.3">
      <c r="A668" s="94" t="s">
        <v>1100</v>
      </c>
      <c r="B668" s="140"/>
      <c r="C668" s="140"/>
      <c r="D668" s="140">
        <v>3</v>
      </c>
      <c r="E668" s="140"/>
      <c r="F668" s="140">
        <v>6</v>
      </c>
      <c r="G668" s="140"/>
      <c r="H668" s="140"/>
      <c r="I668" s="140">
        <v>3</v>
      </c>
      <c r="J668" s="140"/>
      <c r="K668" s="142">
        <v>12</v>
      </c>
      <c r="L668"/>
    </row>
    <row r="669" spans="1:12" x14ac:dyDescent="0.3">
      <c r="A669" s="94" t="s">
        <v>1099</v>
      </c>
      <c r="B669" s="140"/>
      <c r="C669" s="140"/>
      <c r="D669" s="140"/>
      <c r="E669" s="140"/>
      <c r="F669" s="140">
        <v>4</v>
      </c>
      <c r="G669" s="140"/>
      <c r="H669" s="140"/>
      <c r="I669" s="140">
        <v>0</v>
      </c>
      <c r="J669" s="140"/>
      <c r="K669" s="142">
        <v>4</v>
      </c>
      <c r="L669"/>
    </row>
    <row r="670" spans="1:12" x14ac:dyDescent="0.3">
      <c r="A670" s="94" t="s">
        <v>1251</v>
      </c>
      <c r="B670" s="140"/>
      <c r="C670" s="140"/>
      <c r="D670" s="140">
        <v>0</v>
      </c>
      <c r="E670" s="140"/>
      <c r="F670" s="140">
        <v>0</v>
      </c>
      <c r="G670" s="140"/>
      <c r="H670" s="140"/>
      <c r="I670" s="140"/>
      <c r="J670" s="140"/>
      <c r="K670" s="142">
        <v>0</v>
      </c>
      <c r="L670"/>
    </row>
    <row r="671" spans="1:12" x14ac:dyDescent="0.3">
      <c r="A671" s="3" t="s">
        <v>485</v>
      </c>
      <c r="B671" s="140"/>
      <c r="C671" s="140">
        <v>16</v>
      </c>
      <c r="D671" s="140"/>
      <c r="E671" s="140"/>
      <c r="F671" s="140"/>
      <c r="G671" s="140"/>
      <c r="H671" s="140"/>
      <c r="I671" s="140"/>
      <c r="J671" s="140"/>
      <c r="K671" s="142">
        <v>16</v>
      </c>
      <c r="L671"/>
    </row>
    <row r="672" spans="1:12" x14ac:dyDescent="0.3">
      <c r="A672" s="94" t="s">
        <v>558</v>
      </c>
      <c r="B672" s="140"/>
      <c r="C672" s="140">
        <v>10</v>
      </c>
      <c r="D672" s="140"/>
      <c r="E672" s="140"/>
      <c r="F672" s="140"/>
      <c r="G672" s="140"/>
      <c r="H672" s="140"/>
      <c r="I672" s="140"/>
      <c r="J672" s="140"/>
      <c r="K672" s="142">
        <v>10</v>
      </c>
      <c r="L672"/>
    </row>
    <row r="673" spans="1:12" x14ac:dyDescent="0.3">
      <c r="A673" s="94" t="s">
        <v>715</v>
      </c>
      <c r="B673" s="140"/>
      <c r="C673" s="140">
        <v>6</v>
      </c>
      <c r="D673" s="140"/>
      <c r="E673" s="140"/>
      <c r="F673" s="140"/>
      <c r="G673" s="140"/>
      <c r="H673" s="140"/>
      <c r="I673" s="140"/>
      <c r="J673" s="140"/>
      <c r="K673" s="142">
        <v>6</v>
      </c>
      <c r="L673"/>
    </row>
    <row r="674" spans="1:12" x14ac:dyDescent="0.3">
      <c r="A674" s="94" t="s">
        <v>758</v>
      </c>
      <c r="B674" s="140"/>
      <c r="C674" s="140">
        <v>0</v>
      </c>
      <c r="D674" s="140"/>
      <c r="E674" s="140"/>
      <c r="F674" s="140"/>
      <c r="G674" s="140"/>
      <c r="H674" s="140"/>
      <c r="I674" s="140"/>
      <c r="J674" s="140"/>
      <c r="K674" s="142">
        <v>0</v>
      </c>
      <c r="L674"/>
    </row>
    <row r="675" spans="1:12" x14ac:dyDescent="0.3">
      <c r="A675" s="3" t="s">
        <v>543</v>
      </c>
      <c r="B675" s="140"/>
      <c r="C675" s="140"/>
      <c r="D675" s="140">
        <v>5</v>
      </c>
      <c r="E675" s="140"/>
      <c r="F675" s="140">
        <v>4</v>
      </c>
      <c r="G675" s="140">
        <v>3</v>
      </c>
      <c r="H675" s="140"/>
      <c r="I675" s="140">
        <v>3</v>
      </c>
      <c r="J675" s="140"/>
      <c r="K675" s="142">
        <v>15</v>
      </c>
      <c r="L675"/>
    </row>
    <row r="676" spans="1:12" x14ac:dyDescent="0.3">
      <c r="A676" s="94" t="s">
        <v>1252</v>
      </c>
      <c r="B676" s="140"/>
      <c r="C676" s="140"/>
      <c r="D676" s="140">
        <v>2</v>
      </c>
      <c r="E676" s="140"/>
      <c r="F676" s="140">
        <v>4</v>
      </c>
      <c r="G676" s="140">
        <v>3</v>
      </c>
      <c r="H676" s="140"/>
      <c r="I676" s="140">
        <v>3</v>
      </c>
      <c r="J676" s="140"/>
      <c r="K676" s="142">
        <v>12</v>
      </c>
      <c r="L676"/>
    </row>
    <row r="677" spans="1:12" x14ac:dyDescent="0.3">
      <c r="A677" s="94" t="s">
        <v>922</v>
      </c>
      <c r="B677" s="140"/>
      <c r="C677" s="140"/>
      <c r="D677" s="140">
        <v>3</v>
      </c>
      <c r="E677" s="140"/>
      <c r="F677" s="140">
        <v>0</v>
      </c>
      <c r="G677" s="140"/>
      <c r="H677" s="140"/>
      <c r="I677" s="140"/>
      <c r="J677" s="140"/>
      <c r="K677" s="142">
        <v>3</v>
      </c>
      <c r="L677"/>
    </row>
    <row r="678" spans="1:12" x14ac:dyDescent="0.3">
      <c r="A678" s="94" t="s">
        <v>910</v>
      </c>
      <c r="B678" s="140"/>
      <c r="C678" s="140"/>
      <c r="D678" s="140"/>
      <c r="E678" s="140"/>
      <c r="F678" s="140"/>
      <c r="G678" s="140">
        <v>0</v>
      </c>
      <c r="H678" s="140"/>
      <c r="I678" s="140">
        <v>0</v>
      </c>
      <c r="J678" s="140"/>
      <c r="K678" s="142">
        <v>0</v>
      </c>
      <c r="L678"/>
    </row>
    <row r="679" spans="1:12" x14ac:dyDescent="0.3">
      <c r="A679" s="3" t="s">
        <v>99</v>
      </c>
      <c r="B679" s="140"/>
      <c r="C679" s="140">
        <v>14</v>
      </c>
      <c r="D679" s="140"/>
      <c r="E679" s="140"/>
      <c r="F679" s="140"/>
      <c r="G679" s="140"/>
      <c r="H679" s="140"/>
      <c r="I679" s="140"/>
      <c r="J679" s="140"/>
      <c r="K679" s="142">
        <v>14</v>
      </c>
      <c r="L679"/>
    </row>
    <row r="680" spans="1:12" x14ac:dyDescent="0.3">
      <c r="A680" s="94" t="s">
        <v>580</v>
      </c>
      <c r="B680" s="140"/>
      <c r="C680" s="140">
        <v>6</v>
      </c>
      <c r="D680" s="140"/>
      <c r="E680" s="140"/>
      <c r="F680" s="140"/>
      <c r="G680" s="140"/>
      <c r="H680" s="140"/>
      <c r="I680" s="140"/>
      <c r="J680" s="140"/>
      <c r="K680" s="142">
        <v>6</v>
      </c>
      <c r="L680"/>
    </row>
    <row r="681" spans="1:12" x14ac:dyDescent="0.3">
      <c r="A681" s="94" t="s">
        <v>633</v>
      </c>
      <c r="B681" s="140"/>
      <c r="C681" s="140">
        <v>5</v>
      </c>
      <c r="D681" s="140"/>
      <c r="E681" s="140"/>
      <c r="F681" s="140"/>
      <c r="G681" s="140"/>
      <c r="H681" s="140"/>
      <c r="I681" s="140"/>
      <c r="J681" s="140"/>
      <c r="K681" s="142">
        <v>5</v>
      </c>
      <c r="L681"/>
    </row>
    <row r="682" spans="1:12" x14ac:dyDescent="0.3">
      <c r="A682" s="94" t="s">
        <v>579</v>
      </c>
      <c r="B682" s="140"/>
      <c r="C682" s="140">
        <v>3</v>
      </c>
      <c r="D682" s="140"/>
      <c r="E682" s="140"/>
      <c r="F682" s="140"/>
      <c r="G682" s="140"/>
      <c r="H682" s="140"/>
      <c r="I682" s="140"/>
      <c r="J682" s="140"/>
      <c r="K682" s="142">
        <v>3</v>
      </c>
      <c r="L682"/>
    </row>
    <row r="683" spans="1:12" x14ac:dyDescent="0.3">
      <c r="A683" s="3" t="s">
        <v>496</v>
      </c>
      <c r="B683" s="140"/>
      <c r="C683" s="140"/>
      <c r="D683" s="140"/>
      <c r="E683" s="140">
        <v>3</v>
      </c>
      <c r="F683" s="140">
        <v>10</v>
      </c>
      <c r="G683" s="140"/>
      <c r="H683" s="140"/>
      <c r="I683" s="140"/>
      <c r="J683" s="140"/>
      <c r="K683" s="142">
        <v>13</v>
      </c>
      <c r="L683"/>
    </row>
    <row r="684" spans="1:12" x14ac:dyDescent="0.3">
      <c r="A684" s="94" t="s">
        <v>1253</v>
      </c>
      <c r="B684" s="140"/>
      <c r="C684" s="140"/>
      <c r="D684" s="140"/>
      <c r="E684" s="140">
        <v>3</v>
      </c>
      <c r="F684" s="140">
        <v>6</v>
      </c>
      <c r="G684" s="140"/>
      <c r="H684" s="140"/>
      <c r="I684" s="140"/>
      <c r="J684" s="140"/>
      <c r="K684" s="142">
        <v>9</v>
      </c>
      <c r="L684"/>
    </row>
    <row r="685" spans="1:12" x14ac:dyDescent="0.3">
      <c r="A685" s="94" t="s">
        <v>1254</v>
      </c>
      <c r="B685" s="140"/>
      <c r="C685" s="140"/>
      <c r="D685" s="140"/>
      <c r="E685" s="140">
        <v>0</v>
      </c>
      <c r="F685" s="140">
        <v>4</v>
      </c>
      <c r="G685" s="140"/>
      <c r="H685" s="140"/>
      <c r="I685" s="140"/>
      <c r="J685" s="140"/>
      <c r="K685" s="142">
        <v>4</v>
      </c>
      <c r="L685"/>
    </row>
    <row r="686" spans="1:12" x14ac:dyDescent="0.3">
      <c r="A686" s="94" t="s">
        <v>1255</v>
      </c>
      <c r="B686" s="140"/>
      <c r="C686" s="140"/>
      <c r="D686" s="140"/>
      <c r="E686" s="140"/>
      <c r="F686" s="140">
        <v>0</v>
      </c>
      <c r="G686" s="140"/>
      <c r="H686" s="140"/>
      <c r="I686" s="140"/>
      <c r="J686" s="140"/>
      <c r="K686" s="142">
        <v>0</v>
      </c>
      <c r="L686"/>
    </row>
    <row r="687" spans="1:12" x14ac:dyDescent="0.3">
      <c r="A687" s="3" t="s">
        <v>739</v>
      </c>
      <c r="B687" s="140"/>
      <c r="C687" s="140">
        <v>10</v>
      </c>
      <c r="D687" s="140"/>
      <c r="E687" s="140"/>
      <c r="F687" s="140"/>
      <c r="G687" s="140"/>
      <c r="H687" s="140"/>
      <c r="I687" s="140"/>
      <c r="J687" s="140"/>
      <c r="K687" s="142">
        <v>10</v>
      </c>
      <c r="L687"/>
    </row>
    <row r="688" spans="1:12" x14ac:dyDescent="0.3">
      <c r="A688" s="94" t="s">
        <v>576</v>
      </c>
      <c r="B688" s="140"/>
      <c r="C688" s="140">
        <v>6</v>
      </c>
      <c r="D688" s="140"/>
      <c r="E688" s="140"/>
      <c r="F688" s="140"/>
      <c r="G688" s="140"/>
      <c r="H688" s="140"/>
      <c r="I688" s="140"/>
      <c r="J688" s="140"/>
      <c r="K688" s="142">
        <v>6</v>
      </c>
      <c r="L688"/>
    </row>
    <row r="689" spans="1:12" x14ac:dyDescent="0.3">
      <c r="A689" s="94" t="s">
        <v>716</v>
      </c>
      <c r="B689" s="140"/>
      <c r="C689" s="140">
        <v>4</v>
      </c>
      <c r="D689" s="140"/>
      <c r="E689" s="140"/>
      <c r="F689" s="140"/>
      <c r="G689" s="140"/>
      <c r="H689" s="140"/>
      <c r="I689" s="140"/>
      <c r="J689" s="140"/>
      <c r="K689" s="142">
        <v>4</v>
      </c>
      <c r="L689"/>
    </row>
    <row r="690" spans="1:12" x14ac:dyDescent="0.3">
      <c r="A690" s="94" t="s">
        <v>717</v>
      </c>
      <c r="B690" s="140"/>
      <c r="C690" s="140">
        <v>0</v>
      </c>
      <c r="D690" s="140"/>
      <c r="E690" s="140"/>
      <c r="F690" s="140"/>
      <c r="G690" s="140"/>
      <c r="H690" s="140"/>
      <c r="I690" s="140"/>
      <c r="J690" s="140"/>
      <c r="K690" s="142">
        <v>0</v>
      </c>
      <c r="L690"/>
    </row>
    <row r="691" spans="1:12" x14ac:dyDescent="0.3">
      <c r="A691" s="3" t="s">
        <v>740</v>
      </c>
      <c r="B691" s="140"/>
      <c r="C691" s="140">
        <v>10</v>
      </c>
      <c r="D691" s="140"/>
      <c r="E691" s="140"/>
      <c r="F691" s="140"/>
      <c r="G691" s="140"/>
      <c r="H691" s="140"/>
      <c r="I691" s="140"/>
      <c r="J691" s="140"/>
      <c r="K691" s="142">
        <v>10</v>
      </c>
      <c r="L691"/>
    </row>
    <row r="692" spans="1:12" x14ac:dyDescent="0.3">
      <c r="A692" s="94" t="s">
        <v>719</v>
      </c>
      <c r="B692" s="140"/>
      <c r="C692" s="140">
        <v>6</v>
      </c>
      <c r="D692" s="140"/>
      <c r="E692" s="140"/>
      <c r="F692" s="140"/>
      <c r="G692" s="140"/>
      <c r="H692" s="140"/>
      <c r="I692" s="140"/>
      <c r="J692" s="140"/>
      <c r="K692" s="142">
        <v>6</v>
      </c>
      <c r="L692"/>
    </row>
    <row r="693" spans="1:12" x14ac:dyDescent="0.3">
      <c r="A693" s="94" t="s">
        <v>713</v>
      </c>
      <c r="B693" s="140"/>
      <c r="C693" s="140">
        <v>4</v>
      </c>
      <c r="D693" s="140"/>
      <c r="E693" s="140"/>
      <c r="F693" s="140"/>
      <c r="G693" s="140"/>
      <c r="H693" s="140"/>
      <c r="I693" s="140"/>
      <c r="J693" s="140"/>
      <c r="K693" s="142">
        <v>4</v>
      </c>
      <c r="L693"/>
    </row>
    <row r="694" spans="1:12" x14ac:dyDescent="0.3">
      <c r="A694" s="94" t="s">
        <v>567</v>
      </c>
      <c r="B694" s="140"/>
      <c r="C694" s="140">
        <v>0</v>
      </c>
      <c r="D694" s="140"/>
      <c r="E694" s="140"/>
      <c r="F694" s="140"/>
      <c r="G694" s="140"/>
      <c r="H694" s="140"/>
      <c r="I694" s="140"/>
      <c r="J694" s="140"/>
      <c r="K694" s="142">
        <v>0</v>
      </c>
      <c r="L694"/>
    </row>
    <row r="695" spans="1:12" x14ac:dyDescent="0.3">
      <c r="A695" s="3" t="s">
        <v>1327</v>
      </c>
      <c r="B695" s="140"/>
      <c r="C695" s="140">
        <v>0</v>
      </c>
      <c r="D695" s="140"/>
      <c r="E695" s="140"/>
      <c r="F695" s="140"/>
      <c r="G695" s="140"/>
      <c r="H695" s="140"/>
      <c r="I695" s="140"/>
      <c r="J695" s="140">
        <v>9.8999999999999986</v>
      </c>
      <c r="K695" s="142">
        <v>9.8999999999999986</v>
      </c>
      <c r="L695"/>
    </row>
    <row r="696" spans="1:12" x14ac:dyDescent="0.3">
      <c r="A696" s="94" t="s">
        <v>562</v>
      </c>
      <c r="B696" s="140"/>
      <c r="C696" s="140"/>
      <c r="D696" s="140"/>
      <c r="E696" s="140"/>
      <c r="F696" s="140"/>
      <c r="G696" s="140"/>
      <c r="H696" s="140"/>
      <c r="I696" s="140"/>
      <c r="J696" s="140">
        <v>3.3</v>
      </c>
      <c r="K696" s="142">
        <v>3.3</v>
      </c>
      <c r="L696"/>
    </row>
    <row r="697" spans="1:12" x14ac:dyDescent="0.3">
      <c r="A697" s="94" t="s">
        <v>567</v>
      </c>
      <c r="B697" s="140"/>
      <c r="C697" s="140"/>
      <c r="D697" s="140"/>
      <c r="E697" s="140"/>
      <c r="F697" s="140"/>
      <c r="G697" s="140"/>
      <c r="H697" s="140"/>
      <c r="I697" s="140"/>
      <c r="J697" s="140">
        <v>3.3</v>
      </c>
      <c r="K697" s="142">
        <v>3.3</v>
      </c>
      <c r="L697"/>
    </row>
    <row r="698" spans="1:12" x14ac:dyDescent="0.3">
      <c r="A698" s="94" t="s">
        <v>568</v>
      </c>
      <c r="B698" s="140"/>
      <c r="C698" s="140"/>
      <c r="D698" s="140"/>
      <c r="E698" s="140"/>
      <c r="F698" s="140"/>
      <c r="G698" s="140"/>
      <c r="H698" s="140"/>
      <c r="I698" s="140"/>
      <c r="J698" s="140">
        <v>3.3</v>
      </c>
      <c r="K698" s="142">
        <v>3.3</v>
      </c>
      <c r="L698"/>
    </row>
    <row r="699" spans="1:12" x14ac:dyDescent="0.3">
      <c r="A699" s="94" t="s">
        <v>773</v>
      </c>
      <c r="B699" s="140"/>
      <c r="C699" s="140">
        <v>0</v>
      </c>
      <c r="D699" s="140"/>
      <c r="E699" s="140"/>
      <c r="F699" s="140"/>
      <c r="G699" s="140"/>
      <c r="H699" s="140"/>
      <c r="I699" s="140"/>
      <c r="J699" s="140"/>
      <c r="K699" s="142">
        <v>0</v>
      </c>
      <c r="L699"/>
    </row>
    <row r="700" spans="1:12" x14ac:dyDescent="0.3">
      <c r="A700" s="94" t="s">
        <v>774</v>
      </c>
      <c r="B700" s="140"/>
      <c r="C700" s="140">
        <v>0</v>
      </c>
      <c r="D700" s="140"/>
      <c r="E700" s="140"/>
      <c r="F700" s="140"/>
      <c r="G700" s="140"/>
      <c r="H700" s="140"/>
      <c r="I700" s="140"/>
      <c r="J700" s="140"/>
      <c r="K700" s="142">
        <v>0</v>
      </c>
      <c r="L700"/>
    </row>
    <row r="701" spans="1:12" x14ac:dyDescent="0.3">
      <c r="A701" s="3" t="s">
        <v>527</v>
      </c>
      <c r="B701" s="140"/>
      <c r="C701" s="140"/>
      <c r="D701" s="140">
        <v>8</v>
      </c>
      <c r="E701" s="140"/>
      <c r="F701" s="140"/>
      <c r="G701" s="140">
        <v>0</v>
      </c>
      <c r="H701" s="140"/>
      <c r="I701" s="140">
        <v>0</v>
      </c>
      <c r="J701" s="140"/>
      <c r="K701" s="142">
        <v>8</v>
      </c>
      <c r="L701"/>
    </row>
    <row r="702" spans="1:12" x14ac:dyDescent="0.3">
      <c r="A702" s="94" t="s">
        <v>1256</v>
      </c>
      <c r="B702" s="140"/>
      <c r="C702" s="140"/>
      <c r="D702" s="140">
        <v>5</v>
      </c>
      <c r="E702" s="140"/>
      <c r="F702" s="140"/>
      <c r="G702" s="140"/>
      <c r="H702" s="140"/>
      <c r="I702" s="140"/>
      <c r="J702" s="140"/>
      <c r="K702" s="142">
        <v>5</v>
      </c>
      <c r="L702"/>
    </row>
    <row r="703" spans="1:12" x14ac:dyDescent="0.3">
      <c r="A703" s="94" t="s">
        <v>998</v>
      </c>
      <c r="B703" s="140"/>
      <c r="C703" s="140"/>
      <c r="D703" s="140">
        <v>3</v>
      </c>
      <c r="E703" s="140"/>
      <c r="F703" s="140"/>
      <c r="G703" s="140"/>
      <c r="H703" s="140"/>
      <c r="I703" s="140"/>
      <c r="J703" s="140"/>
      <c r="K703" s="142">
        <v>3</v>
      </c>
      <c r="L703"/>
    </row>
    <row r="704" spans="1:12" x14ac:dyDescent="0.3">
      <c r="A704" s="94" t="s">
        <v>1257</v>
      </c>
      <c r="B704" s="140"/>
      <c r="C704" s="140"/>
      <c r="D704" s="140">
        <v>0</v>
      </c>
      <c r="E704" s="140"/>
      <c r="F704" s="140"/>
      <c r="G704" s="140"/>
      <c r="H704" s="140"/>
      <c r="I704" s="140"/>
      <c r="J704" s="140"/>
      <c r="K704" s="142">
        <v>0</v>
      </c>
      <c r="L704"/>
    </row>
    <row r="705" spans="1:12" x14ac:dyDescent="0.3">
      <c r="A705" s="94" t="s">
        <v>1258</v>
      </c>
      <c r="B705" s="140"/>
      <c r="C705" s="140"/>
      <c r="D705" s="140">
        <v>0</v>
      </c>
      <c r="E705" s="140"/>
      <c r="F705" s="140"/>
      <c r="G705" s="140">
        <v>0</v>
      </c>
      <c r="H705" s="140"/>
      <c r="I705" s="140">
        <v>0</v>
      </c>
      <c r="J705" s="140"/>
      <c r="K705" s="142">
        <v>0</v>
      </c>
      <c r="L705"/>
    </row>
    <row r="706" spans="1:12" x14ac:dyDescent="0.3">
      <c r="A706" s="94" t="s">
        <v>990</v>
      </c>
      <c r="B706" s="140"/>
      <c r="C706" s="140"/>
      <c r="D706" s="140">
        <v>0</v>
      </c>
      <c r="E706" s="140"/>
      <c r="F706" s="140"/>
      <c r="G706" s="140"/>
      <c r="H706" s="140"/>
      <c r="I706" s="140"/>
      <c r="J706" s="140"/>
      <c r="K706" s="142">
        <v>0</v>
      </c>
      <c r="L706"/>
    </row>
    <row r="707" spans="1:12" x14ac:dyDescent="0.3">
      <c r="A707" s="94" t="s">
        <v>993</v>
      </c>
      <c r="B707" s="140"/>
      <c r="C707" s="140"/>
      <c r="D707" s="140">
        <v>0</v>
      </c>
      <c r="E707" s="140"/>
      <c r="F707" s="140"/>
      <c r="G707" s="140"/>
      <c r="H707" s="140"/>
      <c r="I707" s="140"/>
      <c r="J707" s="140"/>
      <c r="K707" s="142">
        <v>0</v>
      </c>
      <c r="L707"/>
    </row>
    <row r="708" spans="1:12" x14ac:dyDescent="0.3">
      <c r="A708" s="3" t="s">
        <v>515</v>
      </c>
      <c r="B708" s="140"/>
      <c r="C708" s="140"/>
      <c r="D708" s="140">
        <v>3</v>
      </c>
      <c r="E708" s="140"/>
      <c r="F708" s="140">
        <v>4</v>
      </c>
      <c r="G708" s="140"/>
      <c r="H708" s="140"/>
      <c r="I708" s="140"/>
      <c r="J708" s="140"/>
      <c r="K708" s="142">
        <v>7</v>
      </c>
      <c r="L708"/>
    </row>
    <row r="709" spans="1:12" x14ac:dyDescent="0.3">
      <c r="A709" s="94" t="s">
        <v>1115</v>
      </c>
      <c r="B709" s="140"/>
      <c r="C709" s="140"/>
      <c r="D709" s="140">
        <v>3</v>
      </c>
      <c r="E709" s="140"/>
      <c r="F709" s="140">
        <v>4</v>
      </c>
      <c r="G709" s="140"/>
      <c r="H709" s="140"/>
      <c r="I709" s="140"/>
      <c r="J709" s="140"/>
      <c r="K709" s="142">
        <v>7</v>
      </c>
      <c r="L709"/>
    </row>
    <row r="710" spans="1:12" x14ac:dyDescent="0.3">
      <c r="A710" s="94" t="s">
        <v>1125</v>
      </c>
      <c r="B710" s="140"/>
      <c r="C710" s="140"/>
      <c r="D710" s="140">
        <v>0</v>
      </c>
      <c r="E710" s="140"/>
      <c r="F710" s="140">
        <v>0</v>
      </c>
      <c r="G710" s="140"/>
      <c r="H710" s="140"/>
      <c r="I710" s="140"/>
      <c r="J710" s="140"/>
      <c r="K710" s="142">
        <v>0</v>
      </c>
      <c r="L710"/>
    </row>
    <row r="711" spans="1:12" x14ac:dyDescent="0.3">
      <c r="A711" s="3" t="s">
        <v>744</v>
      </c>
      <c r="B711" s="140"/>
      <c r="C711" s="140">
        <v>6</v>
      </c>
      <c r="D711" s="140"/>
      <c r="E711" s="140"/>
      <c r="F711" s="140"/>
      <c r="G711" s="140"/>
      <c r="H711" s="140"/>
      <c r="I711" s="140"/>
      <c r="J711" s="140"/>
      <c r="K711" s="142">
        <v>6</v>
      </c>
      <c r="L711"/>
    </row>
    <row r="712" spans="1:12" x14ac:dyDescent="0.3">
      <c r="A712" s="94" t="s">
        <v>730</v>
      </c>
      <c r="B712" s="140"/>
      <c r="C712" s="140">
        <v>6</v>
      </c>
      <c r="D712" s="140"/>
      <c r="E712" s="140"/>
      <c r="F712" s="140"/>
      <c r="G712" s="140"/>
      <c r="H712" s="140"/>
      <c r="I712" s="140"/>
      <c r="J712" s="140"/>
      <c r="K712" s="142">
        <v>6</v>
      </c>
      <c r="L712"/>
    </row>
    <row r="713" spans="1:12" x14ac:dyDescent="0.3">
      <c r="A713" s="3" t="s">
        <v>742</v>
      </c>
      <c r="B713" s="140"/>
      <c r="C713" s="140">
        <v>6</v>
      </c>
      <c r="D713" s="140"/>
      <c r="E713" s="140"/>
      <c r="F713" s="140"/>
      <c r="G713" s="140"/>
      <c r="H713" s="140"/>
      <c r="I713" s="140"/>
      <c r="J713" s="140"/>
      <c r="K713" s="142">
        <v>6</v>
      </c>
      <c r="L713"/>
    </row>
    <row r="714" spans="1:12" x14ac:dyDescent="0.3">
      <c r="A714" s="94" t="s">
        <v>731</v>
      </c>
      <c r="B714" s="140"/>
      <c r="C714" s="140">
        <v>6</v>
      </c>
      <c r="D714" s="140"/>
      <c r="E714" s="140"/>
      <c r="F714" s="140"/>
      <c r="G714" s="140"/>
      <c r="H714" s="140"/>
      <c r="I714" s="140"/>
      <c r="J714" s="140"/>
      <c r="K714" s="142">
        <v>6</v>
      </c>
      <c r="L714"/>
    </row>
    <row r="715" spans="1:12" x14ac:dyDescent="0.3">
      <c r="A715" s="3" t="s">
        <v>738</v>
      </c>
      <c r="B715" s="140"/>
      <c r="C715" s="140">
        <v>0</v>
      </c>
      <c r="D715" s="140"/>
      <c r="E715" s="140"/>
      <c r="F715" s="140"/>
      <c r="G715" s="140"/>
      <c r="H715" s="140"/>
      <c r="I715" s="140"/>
      <c r="J715" s="140"/>
      <c r="K715" s="142">
        <v>0</v>
      </c>
      <c r="L715"/>
    </row>
    <row r="716" spans="1:12" x14ac:dyDescent="0.3">
      <c r="A716" s="94" t="s">
        <v>634</v>
      </c>
      <c r="B716" s="140"/>
      <c r="C716" s="140">
        <v>0</v>
      </c>
      <c r="D716" s="140"/>
      <c r="E716" s="140"/>
      <c r="F716" s="140"/>
      <c r="G716" s="140"/>
      <c r="H716" s="140"/>
      <c r="I716" s="140"/>
      <c r="J716" s="140"/>
      <c r="K716" s="142">
        <v>0</v>
      </c>
      <c r="L716"/>
    </row>
    <row r="717" spans="1:12" x14ac:dyDescent="0.3">
      <c r="A717" s="3" t="s">
        <v>523</v>
      </c>
      <c r="B717" s="140"/>
      <c r="C717" s="140"/>
      <c r="D717" s="140"/>
      <c r="E717" s="140"/>
      <c r="F717" s="140">
        <v>0</v>
      </c>
      <c r="G717" s="140"/>
      <c r="H717" s="140"/>
      <c r="I717" s="140"/>
      <c r="J717" s="140"/>
      <c r="K717" s="142">
        <v>0</v>
      </c>
      <c r="L717"/>
    </row>
    <row r="718" spans="1:12" x14ac:dyDescent="0.3">
      <c r="A718" s="94" t="s">
        <v>990</v>
      </c>
      <c r="B718" s="140"/>
      <c r="C718" s="140"/>
      <c r="D718" s="140"/>
      <c r="E718" s="140"/>
      <c r="F718" s="140">
        <v>0</v>
      </c>
      <c r="G718" s="140"/>
      <c r="H718" s="140"/>
      <c r="I718" s="140"/>
      <c r="J718" s="140"/>
      <c r="K718" s="142">
        <v>0</v>
      </c>
      <c r="L718"/>
    </row>
    <row r="719" spans="1:12" x14ac:dyDescent="0.3">
      <c r="A719" s="94" t="s">
        <v>1257</v>
      </c>
      <c r="B719" s="140"/>
      <c r="C719" s="140"/>
      <c r="D719" s="140"/>
      <c r="E719" s="140"/>
      <c r="F719" s="140">
        <v>0</v>
      </c>
      <c r="G719" s="140"/>
      <c r="H719" s="140"/>
      <c r="I719" s="140"/>
      <c r="J719" s="140"/>
      <c r="K719" s="142">
        <v>0</v>
      </c>
      <c r="L719"/>
    </row>
    <row r="720" spans="1:12" x14ac:dyDescent="0.3">
      <c r="A720" s="94" t="s">
        <v>842</v>
      </c>
      <c r="B720" s="140"/>
      <c r="C720" s="140"/>
      <c r="D720" s="140"/>
      <c r="E720" s="140"/>
      <c r="F720" s="140">
        <v>0</v>
      </c>
      <c r="G720" s="140"/>
      <c r="H720" s="140"/>
      <c r="I720" s="140"/>
      <c r="J720" s="140"/>
      <c r="K720" s="142">
        <v>0</v>
      </c>
      <c r="L720"/>
    </row>
    <row r="721" spans="1:12" x14ac:dyDescent="0.3">
      <c r="A721" s="94" t="s">
        <v>847</v>
      </c>
      <c r="B721" s="140"/>
      <c r="C721" s="140"/>
      <c r="D721" s="140"/>
      <c r="E721" s="140"/>
      <c r="F721" s="140">
        <v>0</v>
      </c>
      <c r="G721" s="140"/>
      <c r="H721" s="140"/>
      <c r="I721" s="140"/>
      <c r="J721" s="140"/>
      <c r="K721" s="142">
        <v>0</v>
      </c>
      <c r="L721"/>
    </row>
    <row r="722" spans="1:12" x14ac:dyDescent="0.3">
      <c r="A722" s="94" t="s">
        <v>998</v>
      </c>
      <c r="B722" s="140"/>
      <c r="C722" s="140"/>
      <c r="D722" s="140"/>
      <c r="E722" s="140"/>
      <c r="F722" s="140">
        <v>0</v>
      </c>
      <c r="G722" s="140"/>
      <c r="H722" s="140"/>
      <c r="I722" s="140"/>
      <c r="J722" s="140"/>
      <c r="K722" s="142">
        <v>0</v>
      </c>
      <c r="L722"/>
    </row>
    <row r="723" spans="1:12" x14ac:dyDescent="0.3">
      <c r="A723" s="94" t="s">
        <v>1258</v>
      </c>
      <c r="B723" s="140"/>
      <c r="C723" s="140"/>
      <c r="D723" s="140"/>
      <c r="E723" s="140"/>
      <c r="F723" s="140">
        <v>0</v>
      </c>
      <c r="G723" s="140"/>
      <c r="H723" s="140"/>
      <c r="I723" s="140"/>
      <c r="J723" s="140"/>
      <c r="K723" s="142">
        <v>0</v>
      </c>
      <c r="L723"/>
    </row>
    <row r="724" spans="1:12" x14ac:dyDescent="0.3">
      <c r="A724" s="94" t="s">
        <v>1256</v>
      </c>
      <c r="B724" s="140"/>
      <c r="C724" s="140"/>
      <c r="D724" s="140"/>
      <c r="E724" s="140"/>
      <c r="F724" s="140">
        <v>0</v>
      </c>
      <c r="G724" s="140"/>
      <c r="H724" s="140"/>
      <c r="I724" s="140"/>
      <c r="J724" s="140"/>
      <c r="K724" s="142">
        <v>0</v>
      </c>
      <c r="L724"/>
    </row>
    <row r="725" spans="1:12" x14ac:dyDescent="0.3">
      <c r="A725" s="94" t="s">
        <v>986</v>
      </c>
      <c r="B725" s="140"/>
      <c r="C725" s="140"/>
      <c r="D725" s="140"/>
      <c r="E725" s="140"/>
      <c r="F725" s="140">
        <v>0</v>
      </c>
      <c r="G725" s="140"/>
      <c r="H725" s="140"/>
      <c r="I725" s="140"/>
      <c r="J725" s="140"/>
      <c r="K725" s="142">
        <v>0</v>
      </c>
      <c r="L725"/>
    </row>
    <row r="726" spans="1:12" x14ac:dyDescent="0.3">
      <c r="A726" s="2" t="s">
        <v>637</v>
      </c>
      <c r="B726" s="140"/>
      <c r="C726" s="140">
        <v>71.000000020000002</v>
      </c>
      <c r="D726" s="140">
        <v>125</v>
      </c>
      <c r="E726" s="140">
        <v>29</v>
      </c>
      <c r="F726" s="140">
        <v>161</v>
      </c>
      <c r="G726" s="140">
        <v>50</v>
      </c>
      <c r="H726" s="140">
        <v>31</v>
      </c>
      <c r="I726" s="140">
        <v>51</v>
      </c>
      <c r="J726" s="140"/>
      <c r="K726" s="142">
        <v>518.00000002000002</v>
      </c>
      <c r="L726"/>
    </row>
    <row r="727" spans="1:12" x14ac:dyDescent="0.3">
      <c r="A727" s="3" t="s">
        <v>534</v>
      </c>
      <c r="B727" s="140"/>
      <c r="C727" s="140"/>
      <c r="D727" s="140"/>
      <c r="E727" s="140"/>
      <c r="F727" s="140"/>
      <c r="G727" s="140">
        <v>12</v>
      </c>
      <c r="H727" s="140">
        <v>14</v>
      </c>
      <c r="I727" s="140">
        <v>18</v>
      </c>
      <c r="J727" s="140"/>
      <c r="K727" s="142">
        <v>44</v>
      </c>
      <c r="L727"/>
    </row>
    <row r="728" spans="1:12" x14ac:dyDescent="0.3">
      <c r="A728" s="94" t="s">
        <v>1259</v>
      </c>
      <c r="B728" s="140"/>
      <c r="C728" s="140"/>
      <c r="D728" s="140"/>
      <c r="E728" s="140"/>
      <c r="F728" s="140"/>
      <c r="G728" s="140">
        <v>8</v>
      </c>
      <c r="H728" s="140"/>
      <c r="I728" s="140">
        <v>6</v>
      </c>
      <c r="J728" s="140"/>
      <c r="K728" s="142">
        <v>14</v>
      </c>
      <c r="L728"/>
    </row>
    <row r="729" spans="1:12" x14ac:dyDescent="0.3">
      <c r="A729" s="94" t="s">
        <v>1260</v>
      </c>
      <c r="B729" s="140"/>
      <c r="C729" s="140"/>
      <c r="D729" s="140"/>
      <c r="E729" s="140"/>
      <c r="F729" s="140"/>
      <c r="G729" s="140">
        <v>4</v>
      </c>
      <c r="H729" s="140"/>
      <c r="I729" s="140">
        <v>8</v>
      </c>
      <c r="J729" s="140"/>
      <c r="K729" s="142">
        <v>12</v>
      </c>
      <c r="L729"/>
    </row>
    <row r="730" spans="1:12" x14ac:dyDescent="0.3">
      <c r="A730" s="94" t="s">
        <v>1261</v>
      </c>
      <c r="B730" s="140"/>
      <c r="C730" s="140"/>
      <c r="D730" s="140"/>
      <c r="E730" s="140"/>
      <c r="F730" s="140"/>
      <c r="G730" s="140"/>
      <c r="H730" s="140">
        <v>5</v>
      </c>
      <c r="I730" s="140">
        <v>4</v>
      </c>
      <c r="J730" s="140"/>
      <c r="K730" s="142">
        <v>9</v>
      </c>
      <c r="L730"/>
    </row>
    <row r="731" spans="1:12" x14ac:dyDescent="0.3">
      <c r="A731" s="94" t="s">
        <v>1262</v>
      </c>
      <c r="B731" s="140"/>
      <c r="C731" s="140"/>
      <c r="D731" s="140"/>
      <c r="E731" s="140"/>
      <c r="F731" s="140"/>
      <c r="G731" s="140"/>
      <c r="H731" s="140">
        <v>6</v>
      </c>
      <c r="I731" s="140">
        <v>0</v>
      </c>
      <c r="J731" s="140"/>
      <c r="K731" s="142">
        <v>6</v>
      </c>
      <c r="L731"/>
    </row>
    <row r="732" spans="1:12" x14ac:dyDescent="0.3">
      <c r="A732" s="94" t="s">
        <v>1263</v>
      </c>
      <c r="B732" s="140"/>
      <c r="C732" s="140"/>
      <c r="D732" s="140"/>
      <c r="E732" s="140"/>
      <c r="F732" s="140"/>
      <c r="G732" s="140"/>
      <c r="H732" s="140">
        <v>3</v>
      </c>
      <c r="I732" s="140">
        <v>0</v>
      </c>
      <c r="J732" s="140"/>
      <c r="K732" s="142">
        <v>3</v>
      </c>
      <c r="L732"/>
    </row>
    <row r="733" spans="1:12" x14ac:dyDescent="0.3">
      <c r="A733" s="3" t="s">
        <v>555</v>
      </c>
      <c r="B733" s="140"/>
      <c r="C733" s="140"/>
      <c r="D733" s="140">
        <v>8</v>
      </c>
      <c r="E733" s="140">
        <v>11</v>
      </c>
      <c r="F733" s="140">
        <v>19</v>
      </c>
      <c r="G733" s="140"/>
      <c r="H733" s="140"/>
      <c r="I733" s="140"/>
      <c r="J733" s="140"/>
      <c r="K733" s="142">
        <v>38</v>
      </c>
      <c r="L733"/>
    </row>
    <row r="734" spans="1:12" x14ac:dyDescent="0.3">
      <c r="A734" s="94" t="s">
        <v>1264</v>
      </c>
      <c r="B734" s="140"/>
      <c r="C734" s="140"/>
      <c r="D734" s="140">
        <v>5</v>
      </c>
      <c r="E734" s="140"/>
      <c r="F734" s="140">
        <v>10</v>
      </c>
      <c r="G734" s="140"/>
      <c r="H734" s="140"/>
      <c r="I734" s="140"/>
      <c r="J734" s="140"/>
      <c r="K734" s="142">
        <v>15</v>
      </c>
      <c r="L734"/>
    </row>
    <row r="735" spans="1:12" x14ac:dyDescent="0.3">
      <c r="A735" s="94" t="s">
        <v>1265</v>
      </c>
      <c r="B735" s="140"/>
      <c r="C735" s="140"/>
      <c r="D735" s="140"/>
      <c r="E735" s="140">
        <v>5</v>
      </c>
      <c r="F735" s="140">
        <v>6</v>
      </c>
      <c r="G735" s="140"/>
      <c r="H735" s="140"/>
      <c r="I735" s="140"/>
      <c r="J735" s="140"/>
      <c r="K735" s="142">
        <v>11</v>
      </c>
      <c r="L735"/>
    </row>
    <row r="736" spans="1:12" x14ac:dyDescent="0.3">
      <c r="A736" s="94" t="s">
        <v>1266</v>
      </c>
      <c r="B736" s="140"/>
      <c r="C736" s="140"/>
      <c r="D736" s="140"/>
      <c r="E736" s="140">
        <v>6</v>
      </c>
      <c r="F736" s="140">
        <v>0</v>
      </c>
      <c r="G736" s="140"/>
      <c r="H736" s="140"/>
      <c r="I736" s="140"/>
      <c r="J736" s="140"/>
      <c r="K736" s="142">
        <v>6</v>
      </c>
      <c r="L736"/>
    </row>
    <row r="737" spans="1:12" x14ac:dyDescent="0.3">
      <c r="A737" s="94" t="s">
        <v>1267</v>
      </c>
      <c r="B737" s="140"/>
      <c r="C737" s="140"/>
      <c r="D737" s="140">
        <v>3</v>
      </c>
      <c r="E737" s="140"/>
      <c r="F737" s="140">
        <v>3</v>
      </c>
      <c r="G737" s="140"/>
      <c r="H737" s="140"/>
      <c r="I737" s="140"/>
      <c r="J737" s="140"/>
      <c r="K737" s="142">
        <v>6</v>
      </c>
      <c r="L737"/>
    </row>
    <row r="738" spans="1:12" x14ac:dyDescent="0.3">
      <c r="A738" s="3" t="s">
        <v>528</v>
      </c>
      <c r="B738" s="140"/>
      <c r="C738" s="140"/>
      <c r="D738" s="140">
        <v>11</v>
      </c>
      <c r="E738" s="140"/>
      <c r="F738" s="140">
        <v>6</v>
      </c>
      <c r="G738" s="140">
        <v>11</v>
      </c>
      <c r="H738" s="140"/>
      <c r="I738" s="140">
        <v>8</v>
      </c>
      <c r="J738" s="140"/>
      <c r="K738" s="142">
        <v>36</v>
      </c>
      <c r="L738"/>
    </row>
    <row r="739" spans="1:12" x14ac:dyDescent="0.3">
      <c r="A739" s="94" t="s">
        <v>1268</v>
      </c>
      <c r="B739" s="140"/>
      <c r="C739" s="140"/>
      <c r="D739" s="140">
        <v>5</v>
      </c>
      <c r="E739" s="140"/>
      <c r="F739" s="140">
        <v>6</v>
      </c>
      <c r="G739" s="140">
        <v>6</v>
      </c>
      <c r="H739" s="140"/>
      <c r="I739" s="140">
        <v>3</v>
      </c>
      <c r="J739" s="140"/>
      <c r="K739" s="142">
        <v>20</v>
      </c>
      <c r="L739"/>
    </row>
    <row r="740" spans="1:12" x14ac:dyDescent="0.3">
      <c r="A740" s="94" t="s">
        <v>1269</v>
      </c>
      <c r="B740" s="140"/>
      <c r="C740" s="140"/>
      <c r="D740" s="140">
        <v>6</v>
      </c>
      <c r="E740" s="140"/>
      <c r="F740" s="140">
        <v>0</v>
      </c>
      <c r="G740" s="140">
        <v>5</v>
      </c>
      <c r="H740" s="140"/>
      <c r="I740" s="140">
        <v>5</v>
      </c>
      <c r="J740" s="140"/>
      <c r="K740" s="142">
        <v>16</v>
      </c>
      <c r="L740"/>
    </row>
    <row r="741" spans="1:12" x14ac:dyDescent="0.3">
      <c r="A741" s="3" t="s">
        <v>532</v>
      </c>
      <c r="B741" s="140"/>
      <c r="C741" s="140"/>
      <c r="D741" s="140">
        <v>8</v>
      </c>
      <c r="E741" s="140"/>
      <c r="F741" s="140">
        <v>18</v>
      </c>
      <c r="G741" s="140"/>
      <c r="H741" s="140"/>
      <c r="I741" s="140"/>
      <c r="J741" s="140"/>
      <c r="K741" s="142">
        <v>26</v>
      </c>
      <c r="L741"/>
    </row>
    <row r="742" spans="1:12" x14ac:dyDescent="0.3">
      <c r="A742" s="94" t="s">
        <v>1260</v>
      </c>
      <c r="B742" s="140"/>
      <c r="C742" s="140"/>
      <c r="D742" s="140">
        <v>5</v>
      </c>
      <c r="E742" s="140"/>
      <c r="F742" s="140">
        <v>8</v>
      </c>
      <c r="G742" s="140"/>
      <c r="H742" s="140"/>
      <c r="I742" s="140"/>
      <c r="J742" s="140"/>
      <c r="K742" s="142">
        <v>13</v>
      </c>
      <c r="L742"/>
    </row>
    <row r="743" spans="1:12" x14ac:dyDescent="0.3">
      <c r="A743" s="94" t="s">
        <v>1259</v>
      </c>
      <c r="B743" s="140"/>
      <c r="C743" s="140"/>
      <c r="D743" s="140">
        <v>3</v>
      </c>
      <c r="E743" s="140"/>
      <c r="F743" s="140">
        <v>10</v>
      </c>
      <c r="G743" s="140"/>
      <c r="H743" s="140"/>
      <c r="I743" s="140"/>
      <c r="J743" s="140"/>
      <c r="K743" s="142">
        <v>13</v>
      </c>
      <c r="L743"/>
    </row>
    <row r="744" spans="1:12" x14ac:dyDescent="0.3">
      <c r="A744" s="3" t="s">
        <v>539</v>
      </c>
      <c r="B744" s="140"/>
      <c r="C744" s="140"/>
      <c r="D744" s="140">
        <v>8</v>
      </c>
      <c r="E744" s="140"/>
      <c r="F744" s="140">
        <v>10</v>
      </c>
      <c r="G744" s="140">
        <v>8</v>
      </c>
      <c r="H744" s="140"/>
      <c r="I744" s="140"/>
      <c r="J744" s="140"/>
      <c r="K744" s="142">
        <v>26</v>
      </c>
      <c r="L744"/>
    </row>
    <row r="745" spans="1:12" x14ac:dyDescent="0.3">
      <c r="A745" s="94" t="s">
        <v>1270</v>
      </c>
      <c r="B745" s="140"/>
      <c r="C745" s="140"/>
      <c r="D745" s="140">
        <v>8</v>
      </c>
      <c r="E745" s="140"/>
      <c r="F745" s="140">
        <v>10</v>
      </c>
      <c r="G745" s="140">
        <v>5</v>
      </c>
      <c r="H745" s="140"/>
      <c r="I745" s="140"/>
      <c r="J745" s="140"/>
      <c r="K745" s="142">
        <v>23</v>
      </c>
      <c r="L745"/>
    </row>
    <row r="746" spans="1:12" x14ac:dyDescent="0.3">
      <c r="A746" s="94" t="s">
        <v>1271</v>
      </c>
      <c r="B746" s="140"/>
      <c r="C746" s="140"/>
      <c r="D746" s="140"/>
      <c r="E746" s="140"/>
      <c r="F746" s="140"/>
      <c r="G746" s="140">
        <v>3</v>
      </c>
      <c r="H746" s="140"/>
      <c r="I746" s="140"/>
      <c r="J746" s="140"/>
      <c r="K746" s="142">
        <v>3</v>
      </c>
      <c r="L746"/>
    </row>
    <row r="747" spans="1:12" x14ac:dyDescent="0.3">
      <c r="A747" s="3" t="s">
        <v>546</v>
      </c>
      <c r="B747" s="140"/>
      <c r="C747" s="140"/>
      <c r="D747" s="140">
        <v>4</v>
      </c>
      <c r="E747" s="140">
        <v>0</v>
      </c>
      <c r="F747" s="140">
        <v>14</v>
      </c>
      <c r="G747" s="140">
        <v>4</v>
      </c>
      <c r="H747" s="140"/>
      <c r="I747" s="140">
        <v>4</v>
      </c>
      <c r="J747" s="140"/>
      <c r="K747" s="142">
        <v>26</v>
      </c>
      <c r="L747"/>
    </row>
    <row r="748" spans="1:12" x14ac:dyDescent="0.3">
      <c r="A748" s="94" t="s">
        <v>1272</v>
      </c>
      <c r="B748" s="140"/>
      <c r="C748" s="140"/>
      <c r="D748" s="140">
        <v>4</v>
      </c>
      <c r="E748" s="140"/>
      <c r="F748" s="140">
        <v>10</v>
      </c>
      <c r="G748" s="140"/>
      <c r="H748" s="140"/>
      <c r="I748" s="140"/>
      <c r="J748" s="140"/>
      <c r="K748" s="142">
        <v>14</v>
      </c>
      <c r="L748"/>
    </row>
    <row r="749" spans="1:12" x14ac:dyDescent="0.3">
      <c r="A749" s="94" t="s">
        <v>1273</v>
      </c>
      <c r="B749" s="140"/>
      <c r="C749" s="140"/>
      <c r="D749" s="140"/>
      <c r="E749" s="140"/>
      <c r="F749" s="140"/>
      <c r="G749" s="140">
        <v>4</v>
      </c>
      <c r="H749" s="140"/>
      <c r="I749" s="140">
        <v>4</v>
      </c>
      <c r="J749" s="140"/>
      <c r="K749" s="142">
        <v>8</v>
      </c>
      <c r="L749"/>
    </row>
    <row r="750" spans="1:12" x14ac:dyDescent="0.3">
      <c r="A750" s="94" t="s">
        <v>1274</v>
      </c>
      <c r="B750" s="140"/>
      <c r="C750" s="140"/>
      <c r="D750" s="140"/>
      <c r="E750" s="140">
        <v>0</v>
      </c>
      <c r="F750" s="140">
        <v>4</v>
      </c>
      <c r="G750" s="140"/>
      <c r="H750" s="140"/>
      <c r="I750" s="140"/>
      <c r="J750" s="140"/>
      <c r="K750" s="142">
        <v>4</v>
      </c>
      <c r="L750"/>
    </row>
    <row r="751" spans="1:12" x14ac:dyDescent="0.3">
      <c r="A751" s="3" t="s">
        <v>744</v>
      </c>
      <c r="B751" s="140"/>
      <c r="C751" s="140">
        <v>21</v>
      </c>
      <c r="D751" s="140"/>
      <c r="E751" s="140"/>
      <c r="F751" s="140"/>
      <c r="G751" s="140"/>
      <c r="H751" s="140"/>
      <c r="I751" s="140"/>
      <c r="J751" s="140"/>
      <c r="K751" s="142">
        <v>21</v>
      </c>
      <c r="L751"/>
    </row>
    <row r="752" spans="1:12" x14ac:dyDescent="0.3">
      <c r="A752" s="94" t="s">
        <v>708</v>
      </c>
      <c r="B752" s="140"/>
      <c r="C752" s="140">
        <v>12</v>
      </c>
      <c r="D752" s="140"/>
      <c r="E752" s="140"/>
      <c r="F752" s="140"/>
      <c r="G752" s="140"/>
      <c r="H752" s="140"/>
      <c r="I752" s="140"/>
      <c r="J752" s="140"/>
      <c r="K752" s="142">
        <v>12</v>
      </c>
      <c r="L752"/>
    </row>
    <row r="753" spans="1:12" x14ac:dyDescent="0.3">
      <c r="A753" s="94" t="s">
        <v>760</v>
      </c>
      <c r="B753" s="140"/>
      <c r="C753" s="140">
        <v>9</v>
      </c>
      <c r="D753" s="140"/>
      <c r="E753" s="140"/>
      <c r="F753" s="140"/>
      <c r="G753" s="140"/>
      <c r="H753" s="140"/>
      <c r="I753" s="140"/>
      <c r="J753" s="140"/>
      <c r="K753" s="142">
        <v>9</v>
      </c>
      <c r="L753"/>
    </row>
    <row r="754" spans="1:12" x14ac:dyDescent="0.3">
      <c r="A754" s="3" t="s">
        <v>551</v>
      </c>
      <c r="B754" s="140"/>
      <c r="C754" s="140"/>
      <c r="D754" s="140">
        <v>6</v>
      </c>
      <c r="E754" s="140"/>
      <c r="F754" s="140">
        <v>4</v>
      </c>
      <c r="G754" s="140">
        <v>5</v>
      </c>
      <c r="H754" s="140"/>
      <c r="I754" s="140">
        <v>4</v>
      </c>
      <c r="J754" s="140"/>
      <c r="K754" s="142">
        <v>19</v>
      </c>
      <c r="L754"/>
    </row>
    <row r="755" spans="1:12" x14ac:dyDescent="0.3">
      <c r="A755" s="94" t="s">
        <v>1275</v>
      </c>
      <c r="B755" s="140"/>
      <c r="C755" s="140"/>
      <c r="D755" s="140">
        <v>6</v>
      </c>
      <c r="E755" s="140"/>
      <c r="F755" s="140">
        <v>4</v>
      </c>
      <c r="G755" s="140">
        <v>5</v>
      </c>
      <c r="H755" s="140"/>
      <c r="I755" s="140">
        <v>4</v>
      </c>
      <c r="J755" s="140"/>
      <c r="K755" s="142">
        <v>19</v>
      </c>
      <c r="L755"/>
    </row>
    <row r="756" spans="1:12" x14ac:dyDescent="0.3">
      <c r="A756" s="3" t="s">
        <v>544</v>
      </c>
      <c r="B756" s="140"/>
      <c r="C756" s="140"/>
      <c r="D756" s="140">
        <v>3</v>
      </c>
      <c r="E756" s="140"/>
      <c r="F756" s="140">
        <v>14</v>
      </c>
      <c r="G756" s="140"/>
      <c r="H756" s="140"/>
      <c r="I756" s="140"/>
      <c r="J756" s="140"/>
      <c r="K756" s="142">
        <v>17</v>
      </c>
      <c r="L756"/>
    </row>
    <row r="757" spans="1:12" x14ac:dyDescent="0.3">
      <c r="A757" s="94" t="s">
        <v>1276</v>
      </c>
      <c r="B757" s="140"/>
      <c r="C757" s="140"/>
      <c r="D757" s="140">
        <v>3</v>
      </c>
      <c r="E757" s="140"/>
      <c r="F757" s="140">
        <v>8</v>
      </c>
      <c r="G757" s="140"/>
      <c r="H757" s="140"/>
      <c r="I757" s="140"/>
      <c r="J757" s="140"/>
      <c r="K757" s="142">
        <v>11</v>
      </c>
      <c r="L757"/>
    </row>
    <row r="758" spans="1:12" x14ac:dyDescent="0.3">
      <c r="A758" s="94" t="s">
        <v>1277</v>
      </c>
      <c r="B758" s="140"/>
      <c r="C758" s="140"/>
      <c r="D758" s="140"/>
      <c r="E758" s="140"/>
      <c r="F758" s="140">
        <v>6</v>
      </c>
      <c r="G758" s="140"/>
      <c r="H758" s="140"/>
      <c r="I758" s="140"/>
      <c r="J758" s="140"/>
      <c r="K758" s="142">
        <v>6</v>
      </c>
      <c r="L758"/>
    </row>
    <row r="759" spans="1:12" x14ac:dyDescent="0.3">
      <c r="A759" s="3" t="s">
        <v>494</v>
      </c>
      <c r="B759" s="140"/>
      <c r="C759" s="140">
        <v>16.000000020000002</v>
      </c>
      <c r="D759" s="140"/>
      <c r="E759" s="140"/>
      <c r="F759" s="140"/>
      <c r="G759" s="140"/>
      <c r="H759" s="140"/>
      <c r="I759" s="140"/>
      <c r="J759" s="140"/>
      <c r="K759" s="142">
        <v>16.000000020000002</v>
      </c>
      <c r="L759"/>
    </row>
    <row r="760" spans="1:12" x14ac:dyDescent="0.3">
      <c r="A760" s="94" t="s">
        <v>761</v>
      </c>
      <c r="B760" s="140"/>
      <c r="C760" s="140">
        <v>10.000000010000001</v>
      </c>
      <c r="D760" s="140"/>
      <c r="E760" s="140"/>
      <c r="F760" s="140"/>
      <c r="G760" s="140"/>
      <c r="H760" s="140"/>
      <c r="I760" s="140"/>
      <c r="J760" s="140"/>
      <c r="K760" s="142">
        <v>10.000000010000001</v>
      </c>
      <c r="L760"/>
    </row>
    <row r="761" spans="1:12" x14ac:dyDescent="0.3">
      <c r="A761" s="94" t="s">
        <v>708</v>
      </c>
      <c r="B761" s="140"/>
      <c r="C761" s="140">
        <v>6.0000000099999999</v>
      </c>
      <c r="D761" s="140"/>
      <c r="E761" s="140"/>
      <c r="F761" s="140"/>
      <c r="G761" s="140"/>
      <c r="H761" s="140"/>
      <c r="I761" s="140"/>
      <c r="J761" s="140"/>
      <c r="K761" s="142">
        <v>6.0000000099999999</v>
      </c>
      <c r="L761"/>
    </row>
    <row r="762" spans="1:12" x14ac:dyDescent="0.3">
      <c r="A762" s="94" t="s">
        <v>762</v>
      </c>
      <c r="B762" s="140"/>
      <c r="C762" s="140">
        <v>0</v>
      </c>
      <c r="D762" s="140"/>
      <c r="E762" s="140"/>
      <c r="F762" s="140"/>
      <c r="G762" s="140"/>
      <c r="H762" s="140"/>
      <c r="I762" s="140"/>
      <c r="J762" s="140"/>
      <c r="K762" s="142">
        <v>0</v>
      </c>
      <c r="L762"/>
    </row>
    <row r="763" spans="1:12" x14ac:dyDescent="0.3">
      <c r="A763" s="3" t="s">
        <v>552</v>
      </c>
      <c r="B763" s="140"/>
      <c r="C763" s="140"/>
      <c r="D763" s="140"/>
      <c r="E763" s="140"/>
      <c r="F763" s="140"/>
      <c r="G763" s="140"/>
      <c r="H763" s="140">
        <v>11</v>
      </c>
      <c r="I763" s="140">
        <v>5</v>
      </c>
      <c r="J763" s="140"/>
      <c r="K763" s="142">
        <v>16</v>
      </c>
      <c r="L763"/>
    </row>
    <row r="764" spans="1:12" x14ac:dyDescent="0.3">
      <c r="A764" s="94" t="s">
        <v>1278</v>
      </c>
      <c r="B764" s="140"/>
      <c r="C764" s="140"/>
      <c r="D764" s="140"/>
      <c r="E764" s="140"/>
      <c r="F764" s="140"/>
      <c r="G764" s="140"/>
      <c r="H764" s="140">
        <v>8</v>
      </c>
      <c r="I764" s="140">
        <v>5</v>
      </c>
      <c r="J764" s="140"/>
      <c r="K764" s="142">
        <v>13</v>
      </c>
      <c r="L764"/>
    </row>
    <row r="765" spans="1:12" x14ac:dyDescent="0.3">
      <c r="A765" s="94" t="s">
        <v>1279</v>
      </c>
      <c r="B765" s="140"/>
      <c r="C765" s="140"/>
      <c r="D765" s="140"/>
      <c r="E765" s="140"/>
      <c r="F765" s="140"/>
      <c r="G765" s="140"/>
      <c r="H765" s="140">
        <v>3</v>
      </c>
      <c r="I765" s="140">
        <v>0</v>
      </c>
      <c r="J765" s="140"/>
      <c r="K765" s="142">
        <v>3</v>
      </c>
      <c r="L765"/>
    </row>
    <row r="766" spans="1:12" x14ac:dyDescent="0.3">
      <c r="A766" s="94" t="s">
        <v>1280</v>
      </c>
      <c r="B766" s="140"/>
      <c r="C766" s="140"/>
      <c r="D766" s="140"/>
      <c r="E766" s="140"/>
      <c r="F766" s="140"/>
      <c r="G766" s="140"/>
      <c r="H766" s="140"/>
      <c r="I766" s="140">
        <v>0</v>
      </c>
      <c r="J766" s="140"/>
      <c r="K766" s="142">
        <v>0</v>
      </c>
      <c r="L766"/>
    </row>
    <row r="767" spans="1:12" x14ac:dyDescent="0.3">
      <c r="A767" s="3" t="s">
        <v>506</v>
      </c>
      <c r="B767" s="140"/>
      <c r="C767" s="140"/>
      <c r="D767" s="140">
        <v>5</v>
      </c>
      <c r="E767" s="140"/>
      <c r="F767" s="140">
        <v>10</v>
      </c>
      <c r="G767" s="140"/>
      <c r="H767" s="140"/>
      <c r="I767" s="140"/>
      <c r="J767" s="140"/>
      <c r="K767" s="142">
        <v>15</v>
      </c>
      <c r="L767"/>
    </row>
    <row r="768" spans="1:12" x14ac:dyDescent="0.3">
      <c r="A768" s="94" t="s">
        <v>1281</v>
      </c>
      <c r="B768" s="140"/>
      <c r="C768" s="140"/>
      <c r="D768" s="140">
        <v>5</v>
      </c>
      <c r="E768" s="140"/>
      <c r="F768" s="140">
        <v>10</v>
      </c>
      <c r="G768" s="140"/>
      <c r="H768" s="140"/>
      <c r="I768" s="140"/>
      <c r="J768" s="140"/>
      <c r="K768" s="142">
        <v>15</v>
      </c>
      <c r="L768"/>
    </row>
    <row r="769" spans="1:12" x14ac:dyDescent="0.3">
      <c r="A769" s="3" t="s">
        <v>99</v>
      </c>
      <c r="B769" s="140"/>
      <c r="C769" s="140">
        <v>14</v>
      </c>
      <c r="D769" s="140"/>
      <c r="E769" s="140"/>
      <c r="F769" s="140"/>
      <c r="G769" s="140"/>
      <c r="H769" s="140"/>
      <c r="I769" s="140"/>
      <c r="J769" s="140"/>
      <c r="K769" s="142">
        <v>14</v>
      </c>
      <c r="L769"/>
    </row>
    <row r="770" spans="1:12" x14ac:dyDescent="0.3">
      <c r="A770" s="94" t="s">
        <v>763</v>
      </c>
      <c r="B770" s="140"/>
      <c r="C770" s="140">
        <v>6</v>
      </c>
      <c r="D770" s="140"/>
      <c r="E770" s="140"/>
      <c r="F770" s="140"/>
      <c r="G770" s="140"/>
      <c r="H770" s="140"/>
      <c r="I770" s="140"/>
      <c r="J770" s="140"/>
      <c r="K770" s="142">
        <v>6</v>
      </c>
      <c r="L770"/>
    </row>
    <row r="771" spans="1:12" x14ac:dyDescent="0.3">
      <c r="A771" s="94" t="s">
        <v>706</v>
      </c>
      <c r="B771" s="140"/>
      <c r="C771" s="140">
        <v>5</v>
      </c>
      <c r="D771" s="140"/>
      <c r="E771" s="140"/>
      <c r="F771" s="140"/>
      <c r="G771" s="140"/>
      <c r="H771" s="140"/>
      <c r="I771" s="140"/>
      <c r="J771" s="140"/>
      <c r="K771" s="142">
        <v>5</v>
      </c>
      <c r="L771"/>
    </row>
    <row r="772" spans="1:12" x14ac:dyDescent="0.3">
      <c r="A772" s="94" t="s">
        <v>764</v>
      </c>
      <c r="B772" s="140"/>
      <c r="C772" s="140">
        <v>3</v>
      </c>
      <c r="D772" s="140"/>
      <c r="E772" s="140"/>
      <c r="F772" s="140"/>
      <c r="G772" s="140"/>
      <c r="H772" s="140"/>
      <c r="I772" s="140"/>
      <c r="J772" s="140"/>
      <c r="K772" s="142">
        <v>3</v>
      </c>
      <c r="L772"/>
    </row>
    <row r="773" spans="1:12" x14ac:dyDescent="0.3">
      <c r="A773" s="94" t="s">
        <v>765</v>
      </c>
      <c r="B773" s="140"/>
      <c r="C773" s="140">
        <v>0</v>
      </c>
      <c r="D773" s="140"/>
      <c r="E773" s="140"/>
      <c r="F773" s="140"/>
      <c r="G773" s="140"/>
      <c r="H773" s="140"/>
      <c r="I773" s="140"/>
      <c r="J773" s="140"/>
      <c r="K773" s="142">
        <v>0</v>
      </c>
      <c r="L773"/>
    </row>
    <row r="774" spans="1:12" x14ac:dyDescent="0.3">
      <c r="A774" s="3" t="s">
        <v>549</v>
      </c>
      <c r="B774" s="140"/>
      <c r="C774" s="140"/>
      <c r="D774" s="140">
        <v>6</v>
      </c>
      <c r="E774" s="140"/>
      <c r="F774" s="140">
        <v>7</v>
      </c>
      <c r="G774" s="140"/>
      <c r="H774" s="140"/>
      <c r="I774" s="140"/>
      <c r="J774" s="140"/>
      <c r="K774" s="142">
        <v>13</v>
      </c>
      <c r="L774"/>
    </row>
    <row r="775" spans="1:12" x14ac:dyDescent="0.3">
      <c r="A775" s="94" t="s">
        <v>1273</v>
      </c>
      <c r="B775" s="140"/>
      <c r="C775" s="140"/>
      <c r="D775" s="140">
        <v>5</v>
      </c>
      <c r="E775" s="140"/>
      <c r="F775" s="140">
        <v>3</v>
      </c>
      <c r="G775" s="140"/>
      <c r="H775" s="140"/>
      <c r="I775" s="140"/>
      <c r="J775" s="140"/>
      <c r="K775" s="142">
        <v>8</v>
      </c>
      <c r="L775"/>
    </row>
    <row r="776" spans="1:12" x14ac:dyDescent="0.3">
      <c r="A776" s="94" t="s">
        <v>1272</v>
      </c>
      <c r="B776" s="140"/>
      <c r="C776" s="140"/>
      <c r="D776" s="140">
        <v>1</v>
      </c>
      <c r="E776" s="140"/>
      <c r="F776" s="140">
        <v>4</v>
      </c>
      <c r="G776" s="140"/>
      <c r="H776" s="140"/>
      <c r="I776" s="140"/>
      <c r="J776" s="140"/>
      <c r="K776" s="142">
        <v>5</v>
      </c>
      <c r="L776"/>
    </row>
    <row r="777" spans="1:12" x14ac:dyDescent="0.3">
      <c r="A777" s="3" t="s">
        <v>498</v>
      </c>
      <c r="B777" s="140"/>
      <c r="C777" s="140"/>
      <c r="D777" s="140">
        <v>3</v>
      </c>
      <c r="E777" s="140"/>
      <c r="F777" s="140">
        <v>10</v>
      </c>
      <c r="G777" s="140"/>
      <c r="H777" s="140"/>
      <c r="I777" s="140"/>
      <c r="J777" s="140"/>
      <c r="K777" s="142">
        <v>13</v>
      </c>
      <c r="L777"/>
    </row>
    <row r="778" spans="1:12" x14ac:dyDescent="0.3">
      <c r="A778" s="94" t="s">
        <v>1282</v>
      </c>
      <c r="B778" s="140"/>
      <c r="C778" s="140"/>
      <c r="D778" s="140">
        <v>3</v>
      </c>
      <c r="E778" s="140"/>
      <c r="F778" s="140">
        <v>4</v>
      </c>
      <c r="G778" s="140"/>
      <c r="H778" s="140"/>
      <c r="I778" s="140"/>
      <c r="J778" s="140"/>
      <c r="K778" s="142">
        <v>7</v>
      </c>
      <c r="L778"/>
    </row>
    <row r="779" spans="1:12" x14ac:dyDescent="0.3">
      <c r="A779" s="94" t="s">
        <v>1283</v>
      </c>
      <c r="B779" s="140"/>
      <c r="C779" s="140"/>
      <c r="D779" s="140">
        <v>0</v>
      </c>
      <c r="E779" s="140"/>
      <c r="F779" s="140">
        <v>6</v>
      </c>
      <c r="G779" s="140"/>
      <c r="H779" s="140"/>
      <c r="I779" s="140"/>
      <c r="J779" s="140"/>
      <c r="K779" s="142">
        <v>6</v>
      </c>
      <c r="L779"/>
    </row>
    <row r="780" spans="1:12" x14ac:dyDescent="0.3">
      <c r="A780" s="94" t="s">
        <v>1284</v>
      </c>
      <c r="B780" s="140"/>
      <c r="C780" s="140"/>
      <c r="D780" s="140"/>
      <c r="E780" s="140"/>
      <c r="F780" s="140">
        <v>0</v>
      </c>
      <c r="G780" s="140"/>
      <c r="H780" s="140"/>
      <c r="I780" s="140"/>
      <c r="J780" s="140"/>
      <c r="K780" s="142">
        <v>0</v>
      </c>
      <c r="L780"/>
    </row>
    <row r="781" spans="1:12" x14ac:dyDescent="0.3">
      <c r="A781" s="3" t="s">
        <v>541</v>
      </c>
      <c r="B781" s="140"/>
      <c r="C781" s="140"/>
      <c r="D781" s="140">
        <v>5</v>
      </c>
      <c r="E781" s="140"/>
      <c r="F781" s="140">
        <v>8</v>
      </c>
      <c r="G781" s="140"/>
      <c r="H781" s="140"/>
      <c r="I781" s="140"/>
      <c r="J781" s="140"/>
      <c r="K781" s="142">
        <v>13</v>
      </c>
      <c r="L781"/>
    </row>
    <row r="782" spans="1:12" x14ac:dyDescent="0.3">
      <c r="A782" s="94" t="s">
        <v>1285</v>
      </c>
      <c r="B782" s="140"/>
      <c r="C782" s="140"/>
      <c r="D782" s="140">
        <v>5</v>
      </c>
      <c r="E782" s="140"/>
      <c r="F782" s="140">
        <v>8</v>
      </c>
      <c r="G782" s="140"/>
      <c r="H782" s="140"/>
      <c r="I782" s="140"/>
      <c r="J782" s="140"/>
      <c r="K782" s="142">
        <v>13</v>
      </c>
      <c r="L782"/>
    </row>
    <row r="783" spans="1:12" x14ac:dyDescent="0.3">
      <c r="A783" s="3" t="s">
        <v>527</v>
      </c>
      <c r="B783" s="140"/>
      <c r="C783" s="140"/>
      <c r="D783" s="140">
        <v>6</v>
      </c>
      <c r="E783" s="140"/>
      <c r="F783" s="140"/>
      <c r="G783" s="140">
        <v>3</v>
      </c>
      <c r="H783" s="140"/>
      <c r="I783" s="140">
        <v>3</v>
      </c>
      <c r="J783" s="140"/>
      <c r="K783" s="142">
        <v>12</v>
      </c>
      <c r="L783"/>
    </row>
    <row r="784" spans="1:12" x14ac:dyDescent="0.3">
      <c r="A784" s="94" t="s">
        <v>1286</v>
      </c>
      <c r="B784" s="140"/>
      <c r="C784" s="140"/>
      <c r="D784" s="140">
        <v>6</v>
      </c>
      <c r="E784" s="140"/>
      <c r="F784" s="140"/>
      <c r="G784" s="140">
        <v>3</v>
      </c>
      <c r="H784" s="140"/>
      <c r="I784" s="140">
        <v>3</v>
      </c>
      <c r="J784" s="140"/>
      <c r="K784" s="142">
        <v>12</v>
      </c>
      <c r="L784"/>
    </row>
    <row r="785" spans="1:12" x14ac:dyDescent="0.3">
      <c r="A785" s="3" t="s">
        <v>537</v>
      </c>
      <c r="B785" s="140"/>
      <c r="C785" s="140"/>
      <c r="D785" s="140">
        <v>0</v>
      </c>
      <c r="E785" s="140">
        <v>6</v>
      </c>
      <c r="F785" s="140">
        <v>6</v>
      </c>
      <c r="G785" s="140"/>
      <c r="H785" s="140"/>
      <c r="I785" s="140"/>
      <c r="J785" s="140"/>
      <c r="K785" s="142">
        <v>12</v>
      </c>
      <c r="L785"/>
    </row>
    <row r="786" spans="1:12" x14ac:dyDescent="0.3">
      <c r="A786" s="94" t="s">
        <v>1287</v>
      </c>
      <c r="B786" s="140"/>
      <c r="C786" s="140"/>
      <c r="D786" s="140"/>
      <c r="E786" s="140">
        <v>3</v>
      </c>
      <c r="F786" s="140">
        <v>3</v>
      </c>
      <c r="G786" s="140"/>
      <c r="H786" s="140"/>
      <c r="I786" s="140"/>
      <c r="J786" s="140"/>
      <c r="K786" s="142">
        <v>6</v>
      </c>
      <c r="L786"/>
    </row>
    <row r="787" spans="1:12" x14ac:dyDescent="0.3">
      <c r="A787" s="94" t="s">
        <v>1288</v>
      </c>
      <c r="B787" s="140"/>
      <c r="C787" s="140"/>
      <c r="D787" s="140"/>
      <c r="E787" s="140">
        <v>0</v>
      </c>
      <c r="F787" s="140">
        <v>3</v>
      </c>
      <c r="G787" s="140"/>
      <c r="H787" s="140"/>
      <c r="I787" s="140"/>
      <c r="J787" s="140"/>
      <c r="K787" s="142">
        <v>3</v>
      </c>
      <c r="L787"/>
    </row>
    <row r="788" spans="1:12" x14ac:dyDescent="0.3">
      <c r="A788" s="94" t="s">
        <v>1289</v>
      </c>
      <c r="B788" s="140"/>
      <c r="C788" s="140"/>
      <c r="D788" s="140"/>
      <c r="E788" s="140">
        <v>3</v>
      </c>
      <c r="F788" s="140">
        <v>0</v>
      </c>
      <c r="G788" s="140"/>
      <c r="H788" s="140"/>
      <c r="I788" s="140"/>
      <c r="J788" s="140"/>
      <c r="K788" s="142">
        <v>3</v>
      </c>
      <c r="L788"/>
    </row>
    <row r="789" spans="1:12" x14ac:dyDescent="0.3">
      <c r="A789" s="94" t="s">
        <v>1290</v>
      </c>
      <c r="B789" s="140"/>
      <c r="C789" s="140"/>
      <c r="D789" s="140">
        <v>0</v>
      </c>
      <c r="E789" s="140"/>
      <c r="F789" s="140"/>
      <c r="G789" s="140"/>
      <c r="H789" s="140"/>
      <c r="I789" s="140"/>
      <c r="J789" s="140"/>
      <c r="K789" s="142">
        <v>0</v>
      </c>
      <c r="L789"/>
    </row>
    <row r="790" spans="1:12" x14ac:dyDescent="0.3">
      <c r="A790" s="94" t="s">
        <v>1291</v>
      </c>
      <c r="B790" s="140"/>
      <c r="C790" s="140"/>
      <c r="D790" s="140"/>
      <c r="E790" s="140">
        <v>0</v>
      </c>
      <c r="F790" s="140"/>
      <c r="G790" s="140"/>
      <c r="H790" s="140"/>
      <c r="I790" s="140"/>
      <c r="J790" s="140"/>
      <c r="K790" s="142">
        <v>0</v>
      </c>
      <c r="L790"/>
    </row>
    <row r="791" spans="1:12" x14ac:dyDescent="0.3">
      <c r="A791" s="3" t="s">
        <v>547</v>
      </c>
      <c r="B791" s="140"/>
      <c r="C791" s="140"/>
      <c r="D791" s="140"/>
      <c r="E791" s="140">
        <v>4</v>
      </c>
      <c r="F791" s="140">
        <v>6</v>
      </c>
      <c r="G791" s="140"/>
      <c r="H791" s="140"/>
      <c r="I791" s="140"/>
      <c r="J791" s="140"/>
      <c r="K791" s="142">
        <v>10</v>
      </c>
      <c r="L791"/>
    </row>
    <row r="792" spans="1:12" x14ac:dyDescent="0.3">
      <c r="A792" s="94" t="s">
        <v>1292</v>
      </c>
      <c r="B792" s="140"/>
      <c r="C792" s="140"/>
      <c r="D792" s="140"/>
      <c r="E792" s="140">
        <v>4</v>
      </c>
      <c r="F792" s="140">
        <v>6</v>
      </c>
      <c r="G792" s="140"/>
      <c r="H792" s="140"/>
      <c r="I792" s="140"/>
      <c r="J792" s="140"/>
      <c r="K792" s="142">
        <v>10</v>
      </c>
      <c r="L792"/>
    </row>
    <row r="793" spans="1:12" x14ac:dyDescent="0.3">
      <c r="A793" s="3" t="s">
        <v>530</v>
      </c>
      <c r="B793" s="140"/>
      <c r="C793" s="140"/>
      <c r="D793" s="140">
        <v>4</v>
      </c>
      <c r="E793" s="140"/>
      <c r="F793" s="140">
        <v>0</v>
      </c>
      <c r="G793" s="140">
        <v>3</v>
      </c>
      <c r="H793" s="140">
        <v>3</v>
      </c>
      <c r="I793" s="140">
        <v>0</v>
      </c>
      <c r="J793" s="140"/>
      <c r="K793" s="142">
        <v>10</v>
      </c>
      <c r="L793"/>
    </row>
    <row r="794" spans="1:12" x14ac:dyDescent="0.3">
      <c r="A794" s="94" t="s">
        <v>1293</v>
      </c>
      <c r="B794" s="140"/>
      <c r="C794" s="140"/>
      <c r="D794" s="140">
        <v>4</v>
      </c>
      <c r="E794" s="140"/>
      <c r="F794" s="140">
        <v>0</v>
      </c>
      <c r="G794" s="140">
        <v>3</v>
      </c>
      <c r="H794" s="140"/>
      <c r="I794" s="140">
        <v>0</v>
      </c>
      <c r="J794" s="140"/>
      <c r="K794" s="142">
        <v>7</v>
      </c>
      <c r="L794"/>
    </row>
    <row r="795" spans="1:12" x14ac:dyDescent="0.3">
      <c r="A795" s="94" t="s">
        <v>1294</v>
      </c>
      <c r="B795" s="140"/>
      <c r="C795" s="140"/>
      <c r="D795" s="140"/>
      <c r="E795" s="140"/>
      <c r="F795" s="140"/>
      <c r="G795" s="140"/>
      <c r="H795" s="140">
        <v>3</v>
      </c>
      <c r="I795" s="140">
        <v>0</v>
      </c>
      <c r="J795" s="140"/>
      <c r="K795" s="142">
        <v>3</v>
      </c>
      <c r="L795"/>
    </row>
    <row r="796" spans="1:12" x14ac:dyDescent="0.3">
      <c r="A796" s="94" t="s">
        <v>1295</v>
      </c>
      <c r="B796" s="140"/>
      <c r="C796" s="140"/>
      <c r="D796" s="140"/>
      <c r="E796" s="140"/>
      <c r="F796" s="140"/>
      <c r="G796" s="140"/>
      <c r="H796" s="140">
        <v>0</v>
      </c>
      <c r="I796" s="140">
        <v>0</v>
      </c>
      <c r="J796" s="140"/>
      <c r="K796" s="142">
        <v>0</v>
      </c>
      <c r="L796"/>
    </row>
    <row r="797" spans="1:12" x14ac:dyDescent="0.3">
      <c r="A797" s="3" t="s">
        <v>501</v>
      </c>
      <c r="B797" s="140"/>
      <c r="C797" s="140"/>
      <c r="D797" s="140">
        <v>6</v>
      </c>
      <c r="E797" s="140"/>
      <c r="F797" s="140">
        <v>4</v>
      </c>
      <c r="G797" s="140"/>
      <c r="H797" s="140"/>
      <c r="I797" s="140"/>
      <c r="J797" s="140"/>
      <c r="K797" s="142">
        <v>10</v>
      </c>
      <c r="L797"/>
    </row>
    <row r="798" spans="1:12" x14ac:dyDescent="0.3">
      <c r="A798" s="94" t="s">
        <v>1296</v>
      </c>
      <c r="B798" s="140"/>
      <c r="C798" s="140"/>
      <c r="D798" s="140">
        <v>6</v>
      </c>
      <c r="E798" s="140"/>
      <c r="F798" s="140">
        <v>4</v>
      </c>
      <c r="G798" s="140"/>
      <c r="H798" s="140"/>
      <c r="I798" s="140"/>
      <c r="J798" s="140"/>
      <c r="K798" s="142">
        <v>10</v>
      </c>
      <c r="L798"/>
    </row>
    <row r="799" spans="1:12" x14ac:dyDescent="0.3">
      <c r="A799" s="3" t="s">
        <v>542</v>
      </c>
      <c r="B799" s="140"/>
      <c r="C799" s="140"/>
      <c r="D799" s="140">
        <v>3</v>
      </c>
      <c r="E799" s="140"/>
      <c r="F799" s="140">
        <v>6</v>
      </c>
      <c r="G799" s="140"/>
      <c r="H799" s="140"/>
      <c r="I799" s="140"/>
      <c r="J799" s="140"/>
      <c r="K799" s="142">
        <v>9</v>
      </c>
      <c r="L799"/>
    </row>
    <row r="800" spans="1:12" x14ac:dyDescent="0.3">
      <c r="A800" s="94" t="s">
        <v>1297</v>
      </c>
      <c r="B800" s="140"/>
      <c r="C800" s="140"/>
      <c r="D800" s="140">
        <v>3</v>
      </c>
      <c r="E800" s="140"/>
      <c r="F800" s="140">
        <v>6</v>
      </c>
      <c r="G800" s="140"/>
      <c r="H800" s="140"/>
      <c r="I800" s="140"/>
      <c r="J800" s="140"/>
      <c r="K800" s="142">
        <v>9</v>
      </c>
      <c r="L800"/>
    </row>
    <row r="801" spans="1:12" x14ac:dyDescent="0.3">
      <c r="A801" s="3" t="s">
        <v>543</v>
      </c>
      <c r="B801" s="140"/>
      <c r="C801" s="140"/>
      <c r="D801" s="140">
        <v>4</v>
      </c>
      <c r="E801" s="140"/>
      <c r="F801" s="140"/>
      <c r="G801" s="140">
        <v>4</v>
      </c>
      <c r="H801" s="140"/>
      <c r="I801" s="140"/>
      <c r="J801" s="140"/>
      <c r="K801" s="142">
        <v>8</v>
      </c>
      <c r="L801"/>
    </row>
    <row r="802" spans="1:12" x14ac:dyDescent="0.3">
      <c r="A802" s="94" t="s">
        <v>1298</v>
      </c>
      <c r="B802" s="140"/>
      <c r="C802" s="140"/>
      <c r="D802" s="140">
        <v>4</v>
      </c>
      <c r="E802" s="140"/>
      <c r="F802" s="140"/>
      <c r="G802" s="140">
        <v>4</v>
      </c>
      <c r="H802" s="140"/>
      <c r="I802" s="140"/>
      <c r="J802" s="140"/>
      <c r="K802" s="142">
        <v>8</v>
      </c>
      <c r="L802"/>
    </row>
    <row r="803" spans="1:12" x14ac:dyDescent="0.3">
      <c r="A803" s="3" t="s">
        <v>497</v>
      </c>
      <c r="B803" s="140"/>
      <c r="C803" s="140"/>
      <c r="D803" s="140"/>
      <c r="E803" s="140">
        <v>3</v>
      </c>
      <c r="F803" s="140">
        <v>4</v>
      </c>
      <c r="G803" s="140"/>
      <c r="H803" s="140"/>
      <c r="I803" s="140"/>
      <c r="J803" s="140"/>
      <c r="K803" s="142">
        <v>7</v>
      </c>
      <c r="L803"/>
    </row>
    <row r="804" spans="1:12" x14ac:dyDescent="0.3">
      <c r="A804" s="94" t="s">
        <v>1299</v>
      </c>
      <c r="B804" s="140"/>
      <c r="C804" s="140"/>
      <c r="D804" s="140"/>
      <c r="E804" s="140">
        <v>3</v>
      </c>
      <c r="F804" s="140">
        <v>4</v>
      </c>
      <c r="G804" s="140"/>
      <c r="H804" s="140"/>
      <c r="I804" s="140"/>
      <c r="J804" s="140"/>
      <c r="K804" s="142">
        <v>7</v>
      </c>
      <c r="L804"/>
    </row>
    <row r="805" spans="1:12" x14ac:dyDescent="0.3">
      <c r="A805" s="3" t="s">
        <v>538</v>
      </c>
      <c r="B805" s="140"/>
      <c r="C805" s="140"/>
      <c r="D805" s="140">
        <v>2</v>
      </c>
      <c r="E805" s="140">
        <v>2</v>
      </c>
      <c r="F805" s="140">
        <v>3</v>
      </c>
      <c r="G805" s="140"/>
      <c r="H805" s="140"/>
      <c r="I805" s="140"/>
      <c r="J805" s="140"/>
      <c r="K805" s="142">
        <v>7</v>
      </c>
      <c r="L805"/>
    </row>
    <row r="806" spans="1:12" x14ac:dyDescent="0.3">
      <c r="A806" s="94" t="s">
        <v>1300</v>
      </c>
      <c r="B806" s="140"/>
      <c r="C806" s="140"/>
      <c r="D806" s="140">
        <v>2</v>
      </c>
      <c r="E806" s="140"/>
      <c r="F806" s="140">
        <v>3</v>
      </c>
      <c r="G806" s="140"/>
      <c r="H806" s="140"/>
      <c r="I806" s="140"/>
      <c r="J806" s="140"/>
      <c r="K806" s="142">
        <v>5</v>
      </c>
      <c r="L806"/>
    </row>
    <row r="807" spans="1:12" x14ac:dyDescent="0.3">
      <c r="A807" s="94" t="s">
        <v>1301</v>
      </c>
      <c r="B807" s="140"/>
      <c r="C807" s="140"/>
      <c r="D807" s="140"/>
      <c r="E807" s="140">
        <v>2</v>
      </c>
      <c r="F807" s="140">
        <v>0</v>
      </c>
      <c r="G807" s="140"/>
      <c r="H807" s="140"/>
      <c r="I807" s="140"/>
      <c r="J807" s="140"/>
      <c r="K807" s="142">
        <v>2</v>
      </c>
      <c r="L807"/>
    </row>
    <row r="808" spans="1:12" x14ac:dyDescent="0.3">
      <c r="A808" s="3" t="s">
        <v>509</v>
      </c>
      <c r="B808" s="140"/>
      <c r="C808" s="140"/>
      <c r="D808" s="140">
        <v>3</v>
      </c>
      <c r="E808" s="140"/>
      <c r="F808" s="140">
        <v>3</v>
      </c>
      <c r="G808" s="140"/>
      <c r="H808" s="140"/>
      <c r="I808" s="140"/>
      <c r="J808" s="140"/>
      <c r="K808" s="142">
        <v>6</v>
      </c>
      <c r="L808"/>
    </row>
    <row r="809" spans="1:12" x14ac:dyDescent="0.3">
      <c r="A809" s="94" t="s">
        <v>1302</v>
      </c>
      <c r="B809" s="140"/>
      <c r="C809" s="140"/>
      <c r="D809" s="140">
        <v>3</v>
      </c>
      <c r="E809" s="140"/>
      <c r="F809" s="140">
        <v>3</v>
      </c>
      <c r="G809" s="140"/>
      <c r="H809" s="140"/>
      <c r="I809" s="140"/>
      <c r="J809" s="140"/>
      <c r="K809" s="142">
        <v>6</v>
      </c>
      <c r="L809"/>
    </row>
    <row r="810" spans="1:12" x14ac:dyDescent="0.3">
      <c r="A810" s="3" t="s">
        <v>531</v>
      </c>
      <c r="B810" s="140"/>
      <c r="C810" s="140"/>
      <c r="D810" s="140">
        <v>0</v>
      </c>
      <c r="E810" s="140">
        <v>3</v>
      </c>
      <c r="F810" s="140">
        <v>3</v>
      </c>
      <c r="G810" s="140"/>
      <c r="H810" s="140"/>
      <c r="I810" s="140"/>
      <c r="J810" s="140"/>
      <c r="K810" s="142">
        <v>6</v>
      </c>
      <c r="L810"/>
    </row>
    <row r="811" spans="1:12" x14ac:dyDescent="0.3">
      <c r="A811" s="94" t="s">
        <v>1289</v>
      </c>
      <c r="B811" s="140"/>
      <c r="C811" s="140"/>
      <c r="D811" s="140"/>
      <c r="E811" s="140">
        <v>3</v>
      </c>
      <c r="F811" s="140">
        <v>3</v>
      </c>
      <c r="G811" s="140"/>
      <c r="H811" s="140"/>
      <c r="I811" s="140"/>
      <c r="J811" s="140"/>
      <c r="K811" s="142">
        <v>6</v>
      </c>
      <c r="L811"/>
    </row>
    <row r="812" spans="1:12" x14ac:dyDescent="0.3">
      <c r="A812" s="94" t="s">
        <v>1303</v>
      </c>
      <c r="B812" s="140"/>
      <c r="C812" s="140"/>
      <c r="D812" s="140">
        <v>0</v>
      </c>
      <c r="E812" s="140"/>
      <c r="F812" s="140">
        <v>0</v>
      </c>
      <c r="G812" s="140"/>
      <c r="H812" s="140"/>
      <c r="I812" s="140"/>
      <c r="J812" s="140"/>
      <c r="K812" s="142">
        <v>0</v>
      </c>
      <c r="L812"/>
    </row>
    <row r="813" spans="1:12" x14ac:dyDescent="0.3">
      <c r="A813" s="3" t="s">
        <v>495</v>
      </c>
      <c r="B813" s="140"/>
      <c r="C813" s="140">
        <v>6</v>
      </c>
      <c r="D813" s="140"/>
      <c r="E813" s="140"/>
      <c r="F813" s="140"/>
      <c r="G813" s="140"/>
      <c r="H813" s="140"/>
      <c r="I813" s="140"/>
      <c r="J813" s="140"/>
      <c r="K813" s="142">
        <v>6</v>
      </c>
      <c r="L813"/>
    </row>
    <row r="814" spans="1:12" x14ac:dyDescent="0.3">
      <c r="A814" s="94" t="s">
        <v>766</v>
      </c>
      <c r="B814" s="140"/>
      <c r="C814" s="140">
        <v>6</v>
      </c>
      <c r="D814" s="140"/>
      <c r="E814" s="140"/>
      <c r="F814" s="140"/>
      <c r="G814" s="140"/>
      <c r="H814" s="140"/>
      <c r="I814" s="140"/>
      <c r="J814" s="140"/>
      <c r="K814" s="142">
        <v>6</v>
      </c>
      <c r="L814"/>
    </row>
    <row r="815" spans="1:12" x14ac:dyDescent="0.3">
      <c r="A815" s="94" t="s">
        <v>720</v>
      </c>
      <c r="B815" s="140"/>
      <c r="C815" s="140">
        <v>0</v>
      </c>
      <c r="D815" s="140"/>
      <c r="E815" s="140"/>
      <c r="F815" s="140"/>
      <c r="G815" s="140"/>
      <c r="H815" s="140"/>
      <c r="I815" s="140"/>
      <c r="J815" s="140"/>
      <c r="K815" s="142">
        <v>0</v>
      </c>
      <c r="L815"/>
    </row>
    <row r="816" spans="1:12" x14ac:dyDescent="0.3">
      <c r="A816" s="94" t="s">
        <v>767</v>
      </c>
      <c r="B816" s="140"/>
      <c r="C816" s="140">
        <v>0</v>
      </c>
      <c r="D816" s="140"/>
      <c r="E816" s="140"/>
      <c r="F816" s="140"/>
      <c r="G816" s="140"/>
      <c r="H816" s="140"/>
      <c r="I816" s="140"/>
      <c r="J816" s="140"/>
      <c r="K816" s="142">
        <v>0</v>
      </c>
      <c r="L816"/>
    </row>
    <row r="817" spans="1:12" x14ac:dyDescent="0.3">
      <c r="A817" s="3" t="s">
        <v>533</v>
      </c>
      <c r="B817" s="140"/>
      <c r="C817" s="140"/>
      <c r="D817" s="140">
        <v>6</v>
      </c>
      <c r="E817" s="140"/>
      <c r="F817" s="140">
        <v>0</v>
      </c>
      <c r="G817" s="140"/>
      <c r="H817" s="140"/>
      <c r="I817" s="140"/>
      <c r="J817" s="140"/>
      <c r="K817" s="142">
        <v>6</v>
      </c>
      <c r="L817"/>
    </row>
    <row r="818" spans="1:12" x14ac:dyDescent="0.3">
      <c r="A818" s="94" t="s">
        <v>1304</v>
      </c>
      <c r="B818" s="140"/>
      <c r="C818" s="140"/>
      <c r="D818" s="140">
        <v>6</v>
      </c>
      <c r="E818" s="140"/>
      <c r="F818" s="140">
        <v>0</v>
      </c>
      <c r="G818" s="140"/>
      <c r="H818" s="140"/>
      <c r="I818" s="140"/>
      <c r="J818" s="140"/>
      <c r="K818" s="142">
        <v>6</v>
      </c>
      <c r="L818"/>
    </row>
    <row r="819" spans="1:12" x14ac:dyDescent="0.3">
      <c r="A819" s="3" t="s">
        <v>550</v>
      </c>
      <c r="B819" s="140"/>
      <c r="C819" s="140"/>
      <c r="D819" s="140"/>
      <c r="E819" s="140"/>
      <c r="F819" s="140"/>
      <c r="G819" s="140">
        <v>0</v>
      </c>
      <c r="H819" s="140"/>
      <c r="I819" s="140">
        <v>6</v>
      </c>
      <c r="J819" s="140"/>
      <c r="K819" s="142">
        <v>6</v>
      </c>
      <c r="L819"/>
    </row>
    <row r="820" spans="1:12" x14ac:dyDescent="0.3">
      <c r="A820" s="94" t="s">
        <v>1305</v>
      </c>
      <c r="B820" s="140"/>
      <c r="C820" s="140"/>
      <c r="D820" s="140"/>
      <c r="E820" s="140"/>
      <c r="F820" s="140"/>
      <c r="G820" s="140">
        <v>0</v>
      </c>
      <c r="H820" s="140"/>
      <c r="I820" s="140">
        <v>3</v>
      </c>
      <c r="J820" s="140"/>
      <c r="K820" s="142">
        <v>3</v>
      </c>
      <c r="L820"/>
    </row>
    <row r="821" spans="1:12" x14ac:dyDescent="0.3">
      <c r="A821" s="94" t="s">
        <v>1270</v>
      </c>
      <c r="B821" s="140"/>
      <c r="C821" s="140"/>
      <c r="D821" s="140"/>
      <c r="E821" s="140"/>
      <c r="F821" s="140"/>
      <c r="G821" s="140"/>
      <c r="H821" s="140"/>
      <c r="I821" s="140">
        <v>3</v>
      </c>
      <c r="J821" s="140"/>
      <c r="K821" s="142">
        <v>3</v>
      </c>
      <c r="L821"/>
    </row>
    <row r="822" spans="1:12" x14ac:dyDescent="0.3">
      <c r="A822" s="94" t="s">
        <v>1271</v>
      </c>
      <c r="B822" s="140"/>
      <c r="C822" s="140"/>
      <c r="D822" s="140"/>
      <c r="E822" s="140"/>
      <c r="F822" s="140"/>
      <c r="G822" s="140"/>
      <c r="H822" s="140"/>
      <c r="I822" s="140">
        <v>0</v>
      </c>
      <c r="J822" s="140"/>
      <c r="K822" s="142">
        <v>0</v>
      </c>
      <c r="L822"/>
    </row>
    <row r="823" spans="1:12" x14ac:dyDescent="0.3">
      <c r="A823" s="94" t="s">
        <v>1301</v>
      </c>
      <c r="B823" s="140"/>
      <c r="C823" s="140"/>
      <c r="D823" s="140"/>
      <c r="E823" s="140"/>
      <c r="F823" s="140"/>
      <c r="G823" s="140"/>
      <c r="H823" s="140"/>
      <c r="I823" s="140">
        <v>0</v>
      </c>
      <c r="J823" s="140"/>
      <c r="K823" s="142">
        <v>0</v>
      </c>
      <c r="L823"/>
    </row>
    <row r="824" spans="1:12" x14ac:dyDescent="0.3">
      <c r="A824" s="3" t="s">
        <v>743</v>
      </c>
      <c r="B824" s="140"/>
      <c r="C824" s="140">
        <v>6</v>
      </c>
      <c r="D824" s="140"/>
      <c r="E824" s="140"/>
      <c r="F824" s="140"/>
      <c r="G824" s="140"/>
      <c r="H824" s="140"/>
      <c r="I824" s="140"/>
      <c r="J824" s="140"/>
      <c r="K824" s="142">
        <v>6</v>
      </c>
      <c r="L824"/>
    </row>
    <row r="825" spans="1:12" x14ac:dyDescent="0.3">
      <c r="A825" s="94" t="s">
        <v>761</v>
      </c>
      <c r="B825" s="140"/>
      <c r="C825" s="140">
        <v>6</v>
      </c>
      <c r="D825" s="140"/>
      <c r="E825" s="140"/>
      <c r="F825" s="140"/>
      <c r="G825" s="140"/>
      <c r="H825" s="140"/>
      <c r="I825" s="140"/>
      <c r="J825" s="140"/>
      <c r="K825" s="142">
        <v>6</v>
      </c>
      <c r="L825"/>
    </row>
    <row r="826" spans="1:12" x14ac:dyDescent="0.3">
      <c r="A826" s="3" t="s">
        <v>514</v>
      </c>
      <c r="B826" s="140"/>
      <c r="C826" s="140"/>
      <c r="D826" s="140">
        <v>5</v>
      </c>
      <c r="E826" s="140"/>
      <c r="F826" s="140">
        <v>0</v>
      </c>
      <c r="G826" s="140"/>
      <c r="H826" s="140"/>
      <c r="I826" s="140"/>
      <c r="J826" s="140"/>
      <c r="K826" s="142">
        <v>5</v>
      </c>
      <c r="L826"/>
    </row>
    <row r="827" spans="1:12" x14ac:dyDescent="0.3">
      <c r="A827" s="94" t="s">
        <v>1302</v>
      </c>
      <c r="B827" s="140"/>
      <c r="C827" s="140"/>
      <c r="D827" s="140">
        <v>5</v>
      </c>
      <c r="E827" s="140"/>
      <c r="F827" s="140">
        <v>0</v>
      </c>
      <c r="G827" s="140"/>
      <c r="H827" s="140"/>
      <c r="I827" s="140"/>
      <c r="J827" s="140"/>
      <c r="K827" s="142">
        <v>5</v>
      </c>
      <c r="L827"/>
    </row>
    <row r="828" spans="1:12" x14ac:dyDescent="0.3">
      <c r="A828" s="3" t="s">
        <v>742</v>
      </c>
      <c r="B828" s="140"/>
      <c r="C828" s="140">
        <v>4</v>
      </c>
      <c r="D828" s="140"/>
      <c r="E828" s="140"/>
      <c r="F828" s="140"/>
      <c r="G828" s="140"/>
      <c r="H828" s="140"/>
      <c r="I828" s="140"/>
      <c r="J828" s="140"/>
      <c r="K828" s="142">
        <v>4</v>
      </c>
      <c r="L828"/>
    </row>
    <row r="829" spans="1:12" x14ac:dyDescent="0.3">
      <c r="A829" s="94" t="s">
        <v>709</v>
      </c>
      <c r="B829" s="140"/>
      <c r="C829" s="140">
        <v>4</v>
      </c>
      <c r="D829" s="140"/>
      <c r="E829" s="140"/>
      <c r="F829" s="140"/>
      <c r="G829" s="140"/>
      <c r="H829" s="140"/>
      <c r="I829" s="140"/>
      <c r="J829" s="140"/>
      <c r="K829" s="142">
        <v>4</v>
      </c>
      <c r="L829"/>
    </row>
    <row r="830" spans="1:12" x14ac:dyDescent="0.3">
      <c r="A830" s="94" t="s">
        <v>768</v>
      </c>
      <c r="B830" s="140"/>
      <c r="C830" s="140">
        <v>0</v>
      </c>
      <c r="D830" s="140"/>
      <c r="E830" s="140"/>
      <c r="F830" s="140"/>
      <c r="G830" s="140"/>
      <c r="H830" s="140"/>
      <c r="I830" s="140"/>
      <c r="J830" s="140"/>
      <c r="K830" s="142">
        <v>0</v>
      </c>
      <c r="L830"/>
    </row>
    <row r="831" spans="1:12" x14ac:dyDescent="0.3">
      <c r="A831" s="3" t="s">
        <v>738</v>
      </c>
      <c r="B831" s="140"/>
      <c r="C831" s="140">
        <v>4</v>
      </c>
      <c r="D831" s="140"/>
      <c r="E831" s="140"/>
      <c r="F831" s="140"/>
      <c r="G831" s="140"/>
      <c r="H831" s="140"/>
      <c r="I831" s="140"/>
      <c r="J831" s="140"/>
      <c r="K831" s="142">
        <v>4</v>
      </c>
      <c r="L831"/>
    </row>
    <row r="832" spans="1:12" x14ac:dyDescent="0.3">
      <c r="A832" s="94" t="s">
        <v>767</v>
      </c>
      <c r="B832" s="140"/>
      <c r="C832" s="140">
        <v>4</v>
      </c>
      <c r="D832" s="140"/>
      <c r="E832" s="140"/>
      <c r="F832" s="140"/>
      <c r="G832" s="140"/>
      <c r="H832" s="140"/>
      <c r="I832" s="140"/>
      <c r="J832" s="140"/>
      <c r="K832" s="142">
        <v>4</v>
      </c>
      <c r="L832"/>
    </row>
    <row r="833" spans="1:12" x14ac:dyDescent="0.3">
      <c r="A833" s="3" t="s">
        <v>507</v>
      </c>
      <c r="B833" s="140"/>
      <c r="C833" s="140"/>
      <c r="D833" s="140">
        <v>4</v>
      </c>
      <c r="E833" s="140"/>
      <c r="F833" s="140">
        <v>0</v>
      </c>
      <c r="G833" s="140"/>
      <c r="H833" s="140"/>
      <c r="I833" s="140"/>
      <c r="J833" s="140"/>
      <c r="K833" s="142">
        <v>4</v>
      </c>
      <c r="L833"/>
    </row>
    <row r="834" spans="1:12" x14ac:dyDescent="0.3">
      <c r="A834" s="94" t="s">
        <v>1306</v>
      </c>
      <c r="B834" s="140"/>
      <c r="C834" s="140"/>
      <c r="D834" s="140">
        <v>4</v>
      </c>
      <c r="E834" s="140"/>
      <c r="F834" s="140">
        <v>0</v>
      </c>
      <c r="G834" s="140"/>
      <c r="H834" s="140"/>
      <c r="I834" s="140"/>
      <c r="J834" s="140"/>
      <c r="K834" s="142">
        <v>4</v>
      </c>
      <c r="L834"/>
    </row>
    <row r="835" spans="1:12" x14ac:dyDescent="0.3">
      <c r="A835" s="3" t="s">
        <v>512</v>
      </c>
      <c r="B835" s="140"/>
      <c r="C835" s="140"/>
      <c r="D835" s="140">
        <v>4</v>
      </c>
      <c r="E835" s="140"/>
      <c r="F835" s="140">
        <v>0</v>
      </c>
      <c r="G835" s="140"/>
      <c r="H835" s="140"/>
      <c r="I835" s="140"/>
      <c r="J835" s="140"/>
      <c r="K835" s="142">
        <v>4</v>
      </c>
      <c r="L835"/>
    </row>
    <row r="836" spans="1:12" x14ac:dyDescent="0.3">
      <c r="A836" s="94" t="s">
        <v>1307</v>
      </c>
      <c r="B836" s="140"/>
      <c r="C836" s="140"/>
      <c r="D836" s="140">
        <v>4</v>
      </c>
      <c r="E836" s="140"/>
      <c r="F836" s="140">
        <v>0</v>
      </c>
      <c r="G836" s="140"/>
      <c r="H836" s="140"/>
      <c r="I836" s="140"/>
      <c r="J836" s="140"/>
      <c r="K836" s="142">
        <v>4</v>
      </c>
      <c r="L836"/>
    </row>
    <row r="837" spans="1:12" x14ac:dyDescent="0.3">
      <c r="A837" s="3" t="s">
        <v>502</v>
      </c>
      <c r="B837" s="140"/>
      <c r="C837" s="140"/>
      <c r="D837" s="140">
        <v>2</v>
      </c>
      <c r="E837" s="140">
        <v>0</v>
      </c>
      <c r="F837" s="140">
        <v>2</v>
      </c>
      <c r="G837" s="140"/>
      <c r="H837" s="140"/>
      <c r="I837" s="140"/>
      <c r="J837" s="140"/>
      <c r="K837" s="142">
        <v>4</v>
      </c>
      <c r="L837"/>
    </row>
    <row r="838" spans="1:12" x14ac:dyDescent="0.3">
      <c r="A838" s="94" t="s">
        <v>1308</v>
      </c>
      <c r="B838" s="140"/>
      <c r="C838" s="140"/>
      <c r="D838" s="140"/>
      <c r="E838" s="140">
        <v>0</v>
      </c>
      <c r="F838" s="140">
        <v>2</v>
      </c>
      <c r="G838" s="140"/>
      <c r="H838" s="140"/>
      <c r="I838" s="140"/>
      <c r="J838" s="140"/>
      <c r="K838" s="142">
        <v>2</v>
      </c>
      <c r="L838"/>
    </row>
    <row r="839" spans="1:12" x14ac:dyDescent="0.3">
      <c r="A839" s="94" t="s">
        <v>1296</v>
      </c>
      <c r="B839" s="140"/>
      <c r="C839" s="140"/>
      <c r="D839" s="140">
        <v>2</v>
      </c>
      <c r="E839" s="140"/>
      <c r="F839" s="140">
        <v>0</v>
      </c>
      <c r="G839" s="140"/>
      <c r="H839" s="140"/>
      <c r="I839" s="140"/>
      <c r="J839" s="140"/>
      <c r="K839" s="142">
        <v>2</v>
      </c>
      <c r="L839"/>
    </row>
    <row r="840" spans="1:12" x14ac:dyDescent="0.3">
      <c r="A840" s="94" t="s">
        <v>1309</v>
      </c>
      <c r="B840" s="140"/>
      <c r="C840" s="140"/>
      <c r="D840" s="140"/>
      <c r="E840" s="140">
        <v>0</v>
      </c>
      <c r="F840" s="140">
        <v>0</v>
      </c>
      <c r="G840" s="140"/>
      <c r="H840" s="140"/>
      <c r="I840" s="140"/>
      <c r="J840" s="140"/>
      <c r="K840" s="142">
        <v>0</v>
      </c>
      <c r="L840"/>
    </row>
    <row r="841" spans="1:12" x14ac:dyDescent="0.3">
      <c r="A841" s="94" t="s">
        <v>1310</v>
      </c>
      <c r="B841" s="140"/>
      <c r="C841" s="140"/>
      <c r="D841" s="140">
        <v>0</v>
      </c>
      <c r="E841" s="140"/>
      <c r="F841" s="140">
        <v>0</v>
      </c>
      <c r="G841" s="140"/>
      <c r="H841" s="140"/>
      <c r="I841" s="140"/>
      <c r="J841" s="140"/>
      <c r="K841" s="142">
        <v>0</v>
      </c>
      <c r="L841"/>
    </row>
    <row r="842" spans="1:12" x14ac:dyDescent="0.3">
      <c r="A842" s="3" t="s">
        <v>500</v>
      </c>
      <c r="B842" s="140"/>
      <c r="C842" s="140"/>
      <c r="D842" s="140"/>
      <c r="E842" s="140">
        <v>0</v>
      </c>
      <c r="F842" s="140">
        <v>4</v>
      </c>
      <c r="G842" s="140"/>
      <c r="H842" s="140"/>
      <c r="I842" s="140"/>
      <c r="J842" s="140"/>
      <c r="K842" s="142">
        <v>4</v>
      </c>
      <c r="L842"/>
    </row>
    <row r="843" spans="1:12" x14ac:dyDescent="0.3">
      <c r="A843" s="94" t="s">
        <v>1311</v>
      </c>
      <c r="B843" s="140"/>
      <c r="C843" s="140"/>
      <c r="D843" s="140"/>
      <c r="E843" s="140">
        <v>0</v>
      </c>
      <c r="F843" s="140">
        <v>4</v>
      </c>
      <c r="G843" s="140"/>
      <c r="H843" s="140"/>
      <c r="I843" s="140"/>
      <c r="J843" s="140"/>
      <c r="K843" s="142">
        <v>4</v>
      </c>
      <c r="L843"/>
    </row>
    <row r="844" spans="1:12" x14ac:dyDescent="0.3">
      <c r="A844" s="94" t="s">
        <v>768</v>
      </c>
      <c r="B844" s="140"/>
      <c r="C844" s="140"/>
      <c r="D844" s="140"/>
      <c r="E844" s="140"/>
      <c r="F844" s="140">
        <v>0</v>
      </c>
      <c r="G844" s="140"/>
      <c r="H844" s="140"/>
      <c r="I844" s="140"/>
      <c r="J844" s="140"/>
      <c r="K844" s="142">
        <v>0</v>
      </c>
      <c r="L844"/>
    </row>
    <row r="845" spans="1:12" x14ac:dyDescent="0.3">
      <c r="A845" s="3" t="s">
        <v>521</v>
      </c>
      <c r="B845" s="140"/>
      <c r="C845" s="140"/>
      <c r="D845" s="140"/>
      <c r="E845" s="140"/>
      <c r="F845" s="140"/>
      <c r="G845" s="140"/>
      <c r="H845" s="140">
        <v>3</v>
      </c>
      <c r="I845" s="140"/>
      <c r="J845" s="140"/>
      <c r="K845" s="142">
        <v>3</v>
      </c>
      <c r="L845"/>
    </row>
    <row r="846" spans="1:12" x14ac:dyDescent="0.3">
      <c r="A846" s="94" t="s">
        <v>1312</v>
      </c>
      <c r="B846" s="140"/>
      <c r="C846" s="140"/>
      <c r="D846" s="140"/>
      <c r="E846" s="140"/>
      <c r="F846" s="140"/>
      <c r="G846" s="140"/>
      <c r="H846" s="140">
        <v>3</v>
      </c>
      <c r="I846" s="140"/>
      <c r="J846" s="140"/>
      <c r="K846" s="142">
        <v>3</v>
      </c>
      <c r="L846"/>
    </row>
    <row r="847" spans="1:12" x14ac:dyDescent="0.3">
      <c r="A847" s="3" t="s">
        <v>782</v>
      </c>
      <c r="B847" s="140"/>
      <c r="C847" s="140"/>
      <c r="D847" s="140"/>
      <c r="E847" s="140"/>
      <c r="F847" s="140"/>
      <c r="G847" s="140"/>
      <c r="H847" s="140"/>
      <c r="I847" s="140">
        <v>3</v>
      </c>
      <c r="J847" s="140"/>
      <c r="K847" s="142">
        <v>3</v>
      </c>
      <c r="L847"/>
    </row>
    <row r="848" spans="1:12" x14ac:dyDescent="0.3">
      <c r="A848" s="94" t="s">
        <v>1312</v>
      </c>
      <c r="B848" s="140"/>
      <c r="C848" s="140"/>
      <c r="D848" s="140"/>
      <c r="E848" s="140"/>
      <c r="F848" s="140"/>
      <c r="G848" s="140"/>
      <c r="H848" s="140"/>
      <c r="I848" s="140">
        <v>3</v>
      </c>
      <c r="J848" s="140"/>
      <c r="K848" s="142">
        <v>3</v>
      </c>
      <c r="L848"/>
    </row>
    <row r="849" spans="1:12" x14ac:dyDescent="0.3">
      <c r="A849" s="3" t="s">
        <v>513</v>
      </c>
      <c r="B849" s="140"/>
      <c r="C849" s="140"/>
      <c r="D849" s="140">
        <v>3</v>
      </c>
      <c r="E849" s="140"/>
      <c r="F849" s="140"/>
      <c r="G849" s="140"/>
      <c r="H849" s="140"/>
      <c r="I849" s="140"/>
      <c r="J849" s="140"/>
      <c r="K849" s="142">
        <v>3</v>
      </c>
      <c r="L849"/>
    </row>
    <row r="850" spans="1:12" x14ac:dyDescent="0.3">
      <c r="A850" s="94" t="s">
        <v>1313</v>
      </c>
      <c r="B850" s="140"/>
      <c r="C850" s="140"/>
      <c r="D850" s="140">
        <v>3</v>
      </c>
      <c r="E850" s="140"/>
      <c r="F850" s="140"/>
      <c r="G850" s="140"/>
      <c r="H850" s="140"/>
      <c r="I850" s="140"/>
      <c r="J850" s="140"/>
      <c r="K850" s="142">
        <v>3</v>
      </c>
      <c r="L850"/>
    </row>
    <row r="851" spans="1:12" x14ac:dyDescent="0.3">
      <c r="A851" s="3" t="s">
        <v>511</v>
      </c>
      <c r="B851" s="140"/>
      <c r="C851" s="140"/>
      <c r="D851" s="140">
        <v>3</v>
      </c>
      <c r="E851" s="140"/>
      <c r="F851" s="140">
        <v>0</v>
      </c>
      <c r="G851" s="140"/>
      <c r="H851" s="140"/>
      <c r="I851" s="140"/>
      <c r="J851" s="140"/>
      <c r="K851" s="142">
        <v>3</v>
      </c>
      <c r="L851"/>
    </row>
    <row r="852" spans="1:12" x14ac:dyDescent="0.3">
      <c r="A852" s="94" t="s">
        <v>1314</v>
      </c>
      <c r="B852" s="140"/>
      <c r="C852" s="140"/>
      <c r="D852" s="140">
        <v>3</v>
      </c>
      <c r="E852" s="140"/>
      <c r="F852" s="140"/>
      <c r="G852" s="140"/>
      <c r="H852" s="140"/>
      <c r="I852" s="140"/>
      <c r="J852" s="140"/>
      <c r="K852" s="142">
        <v>3</v>
      </c>
      <c r="L852"/>
    </row>
    <row r="853" spans="1:12" x14ac:dyDescent="0.3">
      <c r="A853" s="94" t="s">
        <v>1315</v>
      </c>
      <c r="B853" s="140"/>
      <c r="C853" s="140"/>
      <c r="D853" s="140"/>
      <c r="E853" s="140"/>
      <c r="F853" s="140">
        <v>0</v>
      </c>
      <c r="G853" s="140"/>
      <c r="H853" s="140"/>
      <c r="I853" s="140"/>
      <c r="J853" s="140"/>
      <c r="K853" s="142">
        <v>0</v>
      </c>
      <c r="L853"/>
    </row>
    <row r="854" spans="1:12" x14ac:dyDescent="0.3">
      <c r="A854" s="3" t="s">
        <v>522</v>
      </c>
      <c r="B854" s="140"/>
      <c r="C854" s="140"/>
      <c r="D854" s="140">
        <v>3</v>
      </c>
      <c r="E854" s="140"/>
      <c r="F854" s="140"/>
      <c r="G854" s="140"/>
      <c r="H854" s="140"/>
      <c r="I854" s="140"/>
      <c r="J854" s="140"/>
      <c r="K854" s="142">
        <v>3</v>
      </c>
      <c r="L854"/>
    </row>
    <row r="855" spans="1:12" x14ac:dyDescent="0.3">
      <c r="A855" s="94" t="s">
        <v>1316</v>
      </c>
      <c r="B855" s="140"/>
      <c r="C855" s="140"/>
      <c r="D855" s="140">
        <v>3</v>
      </c>
      <c r="E855" s="140"/>
      <c r="F855" s="140"/>
      <c r="G855" s="140"/>
      <c r="H855" s="140"/>
      <c r="I855" s="140"/>
      <c r="J855" s="140"/>
      <c r="K855" s="142">
        <v>3</v>
      </c>
      <c r="L855"/>
    </row>
    <row r="856" spans="1:12" x14ac:dyDescent="0.3">
      <c r="A856" s="3" t="s">
        <v>486</v>
      </c>
      <c r="B856" s="140"/>
      <c r="C856" s="140">
        <v>0</v>
      </c>
      <c r="D856" s="140"/>
      <c r="E856" s="140"/>
      <c r="F856" s="140"/>
      <c r="G856" s="140"/>
      <c r="H856" s="140"/>
      <c r="I856" s="140"/>
      <c r="J856" s="140"/>
      <c r="K856" s="142">
        <v>0</v>
      </c>
      <c r="L856"/>
    </row>
    <row r="857" spans="1:12" x14ac:dyDescent="0.3">
      <c r="A857" s="94" t="s">
        <v>710</v>
      </c>
      <c r="B857" s="140"/>
      <c r="C857" s="140">
        <v>0</v>
      </c>
      <c r="D857" s="140"/>
      <c r="E857" s="140"/>
      <c r="F857" s="140"/>
      <c r="G857" s="140"/>
      <c r="H857" s="140"/>
      <c r="I857" s="140"/>
      <c r="J857" s="140"/>
      <c r="K857" s="142">
        <v>0</v>
      </c>
      <c r="L857"/>
    </row>
    <row r="858" spans="1:12" x14ac:dyDescent="0.3">
      <c r="A858" s="3" t="s">
        <v>523</v>
      </c>
      <c r="B858" s="140"/>
      <c r="C858" s="140"/>
      <c r="D858" s="140"/>
      <c r="E858" s="140"/>
      <c r="F858" s="140">
        <v>0</v>
      </c>
      <c r="G858" s="140"/>
      <c r="H858" s="140"/>
      <c r="I858" s="140"/>
      <c r="J858" s="140"/>
      <c r="K858" s="142">
        <v>0</v>
      </c>
      <c r="L858"/>
    </row>
    <row r="859" spans="1:12" x14ac:dyDescent="0.3">
      <c r="A859" s="94" t="s">
        <v>1286</v>
      </c>
      <c r="B859" s="140"/>
      <c r="C859" s="140"/>
      <c r="D859" s="140"/>
      <c r="E859" s="140"/>
      <c r="F859" s="140">
        <v>0</v>
      </c>
      <c r="G859" s="140"/>
      <c r="H859" s="140"/>
      <c r="I859" s="140"/>
      <c r="J859" s="140"/>
      <c r="K859" s="142">
        <v>0</v>
      </c>
      <c r="L859"/>
    </row>
    <row r="860" spans="1:12" x14ac:dyDescent="0.3">
      <c r="A860" s="3" t="s">
        <v>518</v>
      </c>
      <c r="B860" s="140"/>
      <c r="C860" s="140"/>
      <c r="D860" s="140"/>
      <c r="E860" s="140"/>
      <c r="F860" s="140"/>
      <c r="G860" s="140"/>
      <c r="H860" s="140"/>
      <c r="I860" s="140">
        <v>0</v>
      </c>
      <c r="J860" s="140"/>
      <c r="K860" s="142">
        <v>0</v>
      </c>
      <c r="L860"/>
    </row>
    <row r="861" spans="1:12" x14ac:dyDescent="0.3">
      <c r="A861" s="94" t="s">
        <v>1307</v>
      </c>
      <c r="B861" s="140"/>
      <c r="C861" s="140"/>
      <c r="D861" s="140"/>
      <c r="E861" s="140"/>
      <c r="F861" s="140"/>
      <c r="G861" s="140"/>
      <c r="H861" s="140"/>
      <c r="I861" s="140">
        <v>0</v>
      </c>
      <c r="J861" s="140"/>
      <c r="K861" s="142">
        <v>0</v>
      </c>
      <c r="L861"/>
    </row>
    <row r="862" spans="1:12" x14ac:dyDescent="0.3">
      <c r="A862" s="3" t="s">
        <v>499</v>
      </c>
      <c r="B862" s="140"/>
      <c r="C862" s="140"/>
      <c r="D862" s="140"/>
      <c r="E862" s="140"/>
      <c r="F862" s="140">
        <v>0</v>
      </c>
      <c r="G862" s="140"/>
      <c r="H862" s="140"/>
      <c r="I862" s="140"/>
      <c r="J862" s="140"/>
      <c r="K862" s="142">
        <v>0</v>
      </c>
      <c r="L862"/>
    </row>
    <row r="863" spans="1:12" x14ac:dyDescent="0.3">
      <c r="A863" s="94" t="s">
        <v>1317</v>
      </c>
      <c r="B863" s="140"/>
      <c r="C863" s="140"/>
      <c r="D863" s="140"/>
      <c r="E863" s="140"/>
      <c r="F863" s="140">
        <v>0</v>
      </c>
      <c r="G863" s="140"/>
      <c r="H863" s="140"/>
      <c r="I863" s="140"/>
      <c r="J863" s="140"/>
      <c r="K863" s="142">
        <v>0</v>
      </c>
      <c r="L863"/>
    </row>
    <row r="864" spans="1:12" x14ac:dyDescent="0.3">
      <c r="A864" s="3" t="s">
        <v>503</v>
      </c>
      <c r="B864" s="140"/>
      <c r="C864" s="140"/>
      <c r="D864" s="140">
        <v>0</v>
      </c>
      <c r="E864" s="140"/>
      <c r="F864" s="140"/>
      <c r="G864" s="140"/>
      <c r="H864" s="140"/>
      <c r="I864" s="140"/>
      <c r="J864" s="140"/>
      <c r="K864" s="142">
        <v>0</v>
      </c>
      <c r="L864"/>
    </row>
    <row r="865" spans="1:12" x14ac:dyDescent="0.3">
      <c r="A865" s="94" t="s">
        <v>1318</v>
      </c>
      <c r="B865" s="140"/>
      <c r="C865" s="140"/>
      <c r="D865" s="140">
        <v>0</v>
      </c>
      <c r="E865" s="140"/>
      <c r="F865" s="140"/>
      <c r="G865" s="140"/>
      <c r="H865" s="140"/>
      <c r="I865" s="140"/>
      <c r="J865" s="140"/>
      <c r="K865" s="142">
        <v>0</v>
      </c>
      <c r="L865"/>
    </row>
    <row r="866" spans="1:12" x14ac:dyDescent="0.3">
      <c r="A866" s="3" t="s">
        <v>526</v>
      </c>
      <c r="B866" s="140"/>
      <c r="C866" s="140"/>
      <c r="D866" s="140">
        <v>0</v>
      </c>
      <c r="E866" s="140"/>
      <c r="F866" s="140">
        <v>0</v>
      </c>
      <c r="G866" s="140"/>
      <c r="H866" s="140"/>
      <c r="I866" s="140"/>
      <c r="J866" s="140"/>
      <c r="K866" s="142">
        <v>0</v>
      </c>
      <c r="L866"/>
    </row>
    <row r="867" spans="1:12" x14ac:dyDescent="0.3">
      <c r="A867" s="94" t="s">
        <v>1319</v>
      </c>
      <c r="B867" s="140"/>
      <c r="C867" s="140"/>
      <c r="D867" s="140">
        <v>0</v>
      </c>
      <c r="E867" s="140"/>
      <c r="F867" s="140">
        <v>0</v>
      </c>
      <c r="G867" s="140"/>
      <c r="H867" s="140"/>
      <c r="I867" s="140"/>
      <c r="J867" s="140"/>
      <c r="K867" s="142">
        <v>0</v>
      </c>
      <c r="L867"/>
    </row>
    <row r="868" spans="1:12" x14ac:dyDescent="0.3">
      <c r="A868" s="3" t="s">
        <v>525</v>
      </c>
      <c r="B868" s="140"/>
      <c r="C868" s="140"/>
      <c r="D868" s="140">
        <v>0</v>
      </c>
      <c r="E868" s="140"/>
      <c r="F868" s="140"/>
      <c r="G868" s="140"/>
      <c r="H868" s="140"/>
      <c r="I868" s="140"/>
      <c r="J868" s="140"/>
      <c r="K868" s="142">
        <v>0</v>
      </c>
      <c r="L868"/>
    </row>
    <row r="869" spans="1:12" x14ac:dyDescent="0.3">
      <c r="A869" s="94" t="s">
        <v>1320</v>
      </c>
      <c r="B869" s="140"/>
      <c r="C869" s="140"/>
      <c r="D869" s="140">
        <v>0</v>
      </c>
      <c r="E869" s="140"/>
      <c r="F869" s="140"/>
      <c r="G869" s="140"/>
      <c r="H869" s="140"/>
      <c r="I869" s="140"/>
      <c r="J869" s="140"/>
      <c r="K869" s="142">
        <v>0</v>
      </c>
      <c r="L869"/>
    </row>
    <row r="870" spans="1:12" x14ac:dyDescent="0.3">
      <c r="A870" s="2" t="s">
        <v>705</v>
      </c>
      <c r="B870" s="140"/>
      <c r="C870" s="140"/>
      <c r="D870" s="140"/>
      <c r="E870" s="140"/>
      <c r="F870" s="140"/>
      <c r="G870" s="140"/>
      <c r="H870" s="140"/>
      <c r="I870" s="140"/>
      <c r="J870" s="140"/>
      <c r="K870" s="142"/>
      <c r="L870"/>
    </row>
    <row r="871" spans="1:12" x14ac:dyDescent="0.3">
      <c r="A871" s="3" t="s">
        <v>705</v>
      </c>
      <c r="B871" s="140"/>
      <c r="C871" s="140"/>
      <c r="D871" s="140"/>
      <c r="E871" s="140"/>
      <c r="F871" s="140"/>
      <c r="G871" s="140"/>
      <c r="H871" s="140"/>
      <c r="I871" s="140"/>
      <c r="J871" s="140"/>
      <c r="K871" s="142"/>
      <c r="L871"/>
    </row>
    <row r="872" spans="1:12" x14ac:dyDescent="0.3">
      <c r="A872" s="94" t="s">
        <v>705</v>
      </c>
      <c r="B872" s="140"/>
      <c r="C872" s="140"/>
      <c r="D872" s="140"/>
      <c r="E872" s="140"/>
      <c r="F872" s="140"/>
      <c r="G872" s="140"/>
      <c r="H872" s="140"/>
      <c r="I872" s="140"/>
      <c r="J872" s="140"/>
      <c r="K872" s="142"/>
      <c r="L872"/>
    </row>
    <row r="873" spans="1:12" x14ac:dyDescent="0.3">
      <c r="A873" s="2" t="s">
        <v>728</v>
      </c>
      <c r="B873" s="140"/>
      <c r="C873" s="140">
        <v>331.00000007999995</v>
      </c>
      <c r="D873" s="140">
        <v>685</v>
      </c>
      <c r="E873" s="140">
        <v>709</v>
      </c>
      <c r="F873" s="140">
        <v>1516</v>
      </c>
      <c r="G873" s="140">
        <v>155</v>
      </c>
      <c r="H873" s="140">
        <v>102</v>
      </c>
      <c r="I873" s="140">
        <v>237</v>
      </c>
      <c r="J873" s="140">
        <v>365.90000000000003</v>
      </c>
      <c r="K873" s="142">
        <v>4100.9000000800006</v>
      </c>
      <c r="L873"/>
    </row>
    <row r="874" spans="1:12" x14ac:dyDescent="0.3">
      <c r="L874"/>
    </row>
    <row r="875" spans="1:12" x14ac:dyDescent="0.3">
      <c r="L875"/>
    </row>
    <row r="876" spans="1:12" x14ac:dyDescent="0.3">
      <c r="L876"/>
    </row>
    <row r="877" spans="1:12" x14ac:dyDescent="0.3">
      <c r="L877"/>
    </row>
    <row r="878" spans="1:12" x14ac:dyDescent="0.3">
      <c r="L878"/>
    </row>
    <row r="879" spans="1:12" x14ac:dyDescent="0.3">
      <c r="L879"/>
    </row>
    <row r="880" spans="1:12" x14ac:dyDescent="0.3">
      <c r="L880"/>
    </row>
    <row r="881" spans="12:12" x14ac:dyDescent="0.3">
      <c r="L881"/>
    </row>
    <row r="882" spans="12:12" x14ac:dyDescent="0.3">
      <c r="L882"/>
    </row>
    <row r="883" spans="12:12" x14ac:dyDescent="0.3">
      <c r="L883"/>
    </row>
    <row r="884" spans="12:12" x14ac:dyDescent="0.3">
      <c r="L884"/>
    </row>
    <row r="885" spans="12:12" x14ac:dyDescent="0.3">
      <c r="L885"/>
    </row>
    <row r="886" spans="12:12" x14ac:dyDescent="0.3">
      <c r="L886"/>
    </row>
    <row r="887" spans="12:12" x14ac:dyDescent="0.3">
      <c r="L887"/>
    </row>
    <row r="888" spans="12:12" x14ac:dyDescent="0.3">
      <c r="L888"/>
    </row>
    <row r="889" spans="12:12" x14ac:dyDescent="0.3">
      <c r="L889"/>
    </row>
    <row r="890" spans="12:12" x14ac:dyDescent="0.3">
      <c r="L890"/>
    </row>
    <row r="891" spans="12:12" x14ac:dyDescent="0.3">
      <c r="L891"/>
    </row>
    <row r="892" spans="12:12" x14ac:dyDescent="0.3">
      <c r="L892"/>
    </row>
    <row r="893" spans="12:12" x14ac:dyDescent="0.3">
      <c r="L893"/>
    </row>
    <row r="894" spans="12:12" x14ac:dyDescent="0.3">
      <c r="L894"/>
    </row>
    <row r="895" spans="12:12" x14ac:dyDescent="0.3">
      <c r="L895"/>
    </row>
    <row r="896" spans="12:12" x14ac:dyDescent="0.3">
      <c r="L896"/>
    </row>
    <row r="897" spans="12:12" x14ac:dyDescent="0.3">
      <c r="L897"/>
    </row>
    <row r="898" spans="12:12" x14ac:dyDescent="0.3">
      <c r="L898"/>
    </row>
    <row r="899" spans="12:12" x14ac:dyDescent="0.3">
      <c r="L899"/>
    </row>
    <row r="900" spans="12:12" x14ac:dyDescent="0.3">
      <c r="L900"/>
    </row>
    <row r="901" spans="12:12" x14ac:dyDescent="0.3">
      <c r="L901"/>
    </row>
    <row r="902" spans="12:12" x14ac:dyDescent="0.3">
      <c r="L902"/>
    </row>
    <row r="903" spans="12:12" x14ac:dyDescent="0.3">
      <c r="L903"/>
    </row>
    <row r="904" spans="12:12" x14ac:dyDescent="0.3">
      <c r="L904"/>
    </row>
    <row r="905" spans="12:12" x14ac:dyDescent="0.3">
      <c r="L905"/>
    </row>
    <row r="906" spans="12:12" x14ac:dyDescent="0.3">
      <c r="L906"/>
    </row>
    <row r="907" spans="12:12" x14ac:dyDescent="0.3">
      <c r="L907"/>
    </row>
    <row r="908" spans="12:12" x14ac:dyDescent="0.3">
      <c r="L908"/>
    </row>
    <row r="909" spans="12:12" x14ac:dyDescent="0.3">
      <c r="L909"/>
    </row>
    <row r="910" spans="12:12" x14ac:dyDescent="0.3">
      <c r="L910"/>
    </row>
    <row r="911" spans="12:12" x14ac:dyDescent="0.3">
      <c r="L911"/>
    </row>
    <row r="912" spans="12:12" x14ac:dyDescent="0.3">
      <c r="L912"/>
    </row>
    <row r="913" spans="12:12" x14ac:dyDescent="0.3">
      <c r="L913"/>
    </row>
    <row r="914" spans="12:12" x14ac:dyDescent="0.3">
      <c r="L914"/>
    </row>
    <row r="915" spans="12:12" x14ac:dyDescent="0.3">
      <c r="L915"/>
    </row>
    <row r="916" spans="12:12" x14ac:dyDescent="0.3">
      <c r="L916"/>
    </row>
    <row r="917" spans="12:12" x14ac:dyDescent="0.3">
      <c r="L917"/>
    </row>
    <row r="918" spans="12:12" x14ac:dyDescent="0.3">
      <c r="L918"/>
    </row>
    <row r="919" spans="12:12" x14ac:dyDescent="0.3">
      <c r="L919"/>
    </row>
    <row r="920" spans="12:12" x14ac:dyDescent="0.3">
      <c r="L920"/>
    </row>
    <row r="921" spans="12:12" x14ac:dyDescent="0.3">
      <c r="L921"/>
    </row>
    <row r="922" spans="12:12" x14ac:dyDescent="0.3">
      <c r="L922"/>
    </row>
    <row r="923" spans="12:12" x14ac:dyDescent="0.3">
      <c r="L923"/>
    </row>
    <row r="924" spans="12:12" x14ac:dyDescent="0.3">
      <c r="L924"/>
    </row>
    <row r="925" spans="12:12" x14ac:dyDescent="0.3">
      <c r="L925"/>
    </row>
    <row r="926" spans="12:12" x14ac:dyDescent="0.3">
      <c r="L926"/>
    </row>
    <row r="927" spans="12:12" x14ac:dyDescent="0.3">
      <c r="L927"/>
    </row>
    <row r="928" spans="12:12" x14ac:dyDescent="0.3">
      <c r="L928"/>
    </row>
    <row r="929" spans="12:12" x14ac:dyDescent="0.3">
      <c r="L929"/>
    </row>
    <row r="930" spans="12:12" x14ac:dyDescent="0.3">
      <c r="L930"/>
    </row>
    <row r="931" spans="12:12" x14ac:dyDescent="0.3">
      <c r="L931"/>
    </row>
    <row r="932" spans="12:12" x14ac:dyDescent="0.3">
      <c r="L932"/>
    </row>
    <row r="933" spans="12:12" x14ac:dyDescent="0.3">
      <c r="L933"/>
    </row>
    <row r="934" spans="12:12" x14ac:dyDescent="0.3">
      <c r="L934"/>
    </row>
    <row r="935" spans="12:12" x14ac:dyDescent="0.3">
      <c r="L935"/>
    </row>
    <row r="936" spans="12:12" x14ac:dyDescent="0.3">
      <c r="L936"/>
    </row>
    <row r="937" spans="12:12" x14ac:dyDescent="0.3">
      <c r="L937"/>
    </row>
    <row r="938" spans="12:12" x14ac:dyDescent="0.3">
      <c r="L938"/>
    </row>
    <row r="939" spans="12:12" x14ac:dyDescent="0.3">
      <c r="L939"/>
    </row>
    <row r="940" spans="12:12" x14ac:dyDescent="0.3">
      <c r="L940"/>
    </row>
    <row r="941" spans="12:12" x14ac:dyDescent="0.3">
      <c r="L941"/>
    </row>
    <row r="942" spans="12:12" x14ac:dyDescent="0.3">
      <c r="L942"/>
    </row>
    <row r="943" spans="12:12" x14ac:dyDescent="0.3">
      <c r="L943"/>
    </row>
    <row r="944" spans="12:12" x14ac:dyDescent="0.3">
      <c r="L944"/>
    </row>
    <row r="945" spans="12:12" x14ac:dyDescent="0.3">
      <c r="L945"/>
    </row>
    <row r="946" spans="12:12" x14ac:dyDescent="0.3">
      <c r="L946"/>
    </row>
    <row r="947" spans="12:12" x14ac:dyDescent="0.3">
      <c r="L947"/>
    </row>
    <row r="948" spans="12:12" x14ac:dyDescent="0.3">
      <c r="L948"/>
    </row>
    <row r="949" spans="12:12" x14ac:dyDescent="0.3">
      <c r="L949"/>
    </row>
    <row r="950" spans="12:12" x14ac:dyDescent="0.3">
      <c r="L950"/>
    </row>
    <row r="951" spans="12:12" x14ac:dyDescent="0.3">
      <c r="L951"/>
    </row>
    <row r="952" spans="12:12" x14ac:dyDescent="0.3">
      <c r="L952"/>
    </row>
    <row r="953" spans="12:12" x14ac:dyDescent="0.3">
      <c r="L953"/>
    </row>
    <row r="954" spans="12:12" x14ac:dyDescent="0.3">
      <c r="L954"/>
    </row>
    <row r="955" spans="12:12" x14ac:dyDescent="0.3">
      <c r="L955"/>
    </row>
    <row r="956" spans="12:12" x14ac:dyDescent="0.3">
      <c r="L956"/>
    </row>
    <row r="957" spans="12:12" x14ac:dyDescent="0.3">
      <c r="L957"/>
    </row>
    <row r="958" spans="12:12" x14ac:dyDescent="0.3">
      <c r="L958"/>
    </row>
    <row r="959" spans="12:12" x14ac:dyDescent="0.3">
      <c r="L959"/>
    </row>
    <row r="960" spans="12:12" x14ac:dyDescent="0.3">
      <c r="L960"/>
    </row>
    <row r="961" spans="12:12" x14ac:dyDescent="0.3">
      <c r="L961"/>
    </row>
    <row r="962" spans="12:12" x14ac:dyDescent="0.3">
      <c r="L962"/>
    </row>
    <row r="963" spans="12:12" x14ac:dyDescent="0.3">
      <c r="L963"/>
    </row>
    <row r="964" spans="12:12" x14ac:dyDescent="0.3">
      <c r="L964"/>
    </row>
    <row r="965" spans="12:12" x14ac:dyDescent="0.3">
      <c r="L965"/>
    </row>
    <row r="966" spans="12:12" x14ac:dyDescent="0.3">
      <c r="L966"/>
    </row>
    <row r="967" spans="12:12" x14ac:dyDescent="0.3">
      <c r="L967"/>
    </row>
    <row r="968" spans="12:12" x14ac:dyDescent="0.3">
      <c r="L968"/>
    </row>
    <row r="969" spans="12:12" x14ac:dyDescent="0.3">
      <c r="L969"/>
    </row>
    <row r="970" spans="12:12" x14ac:dyDescent="0.3">
      <c r="L970"/>
    </row>
    <row r="971" spans="12:12" x14ac:dyDescent="0.3">
      <c r="L971"/>
    </row>
    <row r="972" spans="12:12" x14ac:dyDescent="0.3">
      <c r="L972"/>
    </row>
    <row r="973" spans="12:12" x14ac:dyDescent="0.3">
      <c r="L973"/>
    </row>
    <row r="974" spans="12:12" x14ac:dyDescent="0.3">
      <c r="L974"/>
    </row>
    <row r="975" spans="12:12" x14ac:dyDescent="0.3">
      <c r="L975"/>
    </row>
    <row r="976" spans="12:12" x14ac:dyDescent="0.3">
      <c r="L976"/>
    </row>
    <row r="977" spans="12:12" x14ac:dyDescent="0.3">
      <c r="L977"/>
    </row>
    <row r="978" spans="12:12" x14ac:dyDescent="0.3">
      <c r="L978"/>
    </row>
    <row r="979" spans="12:12" x14ac:dyDescent="0.3">
      <c r="L979"/>
    </row>
    <row r="980" spans="12:12" x14ac:dyDescent="0.3">
      <c r="L980"/>
    </row>
    <row r="981" spans="12:12" x14ac:dyDescent="0.3">
      <c r="L981"/>
    </row>
    <row r="982" spans="12:12" x14ac:dyDescent="0.3">
      <c r="L982"/>
    </row>
    <row r="983" spans="12:12" x14ac:dyDescent="0.3">
      <c r="L983"/>
    </row>
    <row r="984" spans="12:12" x14ac:dyDescent="0.3">
      <c r="L984"/>
    </row>
    <row r="985" spans="12:12" x14ac:dyDescent="0.3">
      <c r="L985"/>
    </row>
    <row r="986" spans="12:12" x14ac:dyDescent="0.3">
      <c r="L986"/>
    </row>
    <row r="987" spans="12:12" x14ac:dyDescent="0.3">
      <c r="L987"/>
    </row>
    <row r="988" spans="12:12" x14ac:dyDescent="0.3">
      <c r="L988"/>
    </row>
    <row r="989" spans="12:12" x14ac:dyDescent="0.3">
      <c r="L989"/>
    </row>
    <row r="990" spans="12:12" x14ac:dyDescent="0.3">
      <c r="L990"/>
    </row>
    <row r="991" spans="12:12" x14ac:dyDescent="0.3">
      <c r="L991"/>
    </row>
    <row r="992" spans="12:12" x14ac:dyDescent="0.3">
      <c r="L992"/>
    </row>
    <row r="993" spans="12:12" x14ac:dyDescent="0.3">
      <c r="L993"/>
    </row>
    <row r="994" spans="12:12" x14ac:dyDescent="0.3">
      <c r="L994"/>
    </row>
    <row r="995" spans="12:12" x14ac:dyDescent="0.3">
      <c r="L995"/>
    </row>
    <row r="996" spans="12:12" x14ac:dyDescent="0.3">
      <c r="L996"/>
    </row>
    <row r="997" spans="12:12" x14ac:dyDescent="0.3">
      <c r="L997"/>
    </row>
    <row r="998" spans="12:12" x14ac:dyDescent="0.3">
      <c r="L998"/>
    </row>
    <row r="999" spans="12:12" x14ac:dyDescent="0.3">
      <c r="L999"/>
    </row>
    <row r="1000" spans="12:12" x14ac:dyDescent="0.3">
      <c r="L1000"/>
    </row>
    <row r="1001" spans="12:12" x14ac:dyDescent="0.3">
      <c r="L1001"/>
    </row>
    <row r="1002" spans="12:12" x14ac:dyDescent="0.3">
      <c r="L1002"/>
    </row>
    <row r="1003" spans="12:12" x14ac:dyDescent="0.3">
      <c r="L1003"/>
    </row>
    <row r="1004" spans="12:12" x14ac:dyDescent="0.3">
      <c r="L1004"/>
    </row>
    <row r="1005" spans="12:12" x14ac:dyDescent="0.3">
      <c r="L1005"/>
    </row>
    <row r="1006" spans="12:12" x14ac:dyDescent="0.3">
      <c r="L1006"/>
    </row>
    <row r="1007" spans="12:12" x14ac:dyDescent="0.3">
      <c r="L1007"/>
    </row>
    <row r="1008" spans="12:12" x14ac:dyDescent="0.3">
      <c r="L1008"/>
    </row>
    <row r="1009" spans="12:12" x14ac:dyDescent="0.3">
      <c r="L1009"/>
    </row>
    <row r="1010" spans="12:12" x14ac:dyDescent="0.3">
      <c r="L1010"/>
    </row>
    <row r="1011" spans="12:12" x14ac:dyDescent="0.3">
      <c r="L1011"/>
    </row>
    <row r="1012" spans="12:12" x14ac:dyDescent="0.3">
      <c r="L1012"/>
    </row>
    <row r="1013" spans="12:12" x14ac:dyDescent="0.3">
      <c r="L1013"/>
    </row>
    <row r="1014" spans="12:12" ht="14.85" hidden="1" x14ac:dyDescent="0.3">
      <c r="L1014"/>
    </row>
    <row r="1015" spans="12:12" ht="14.85" hidden="1" x14ac:dyDescent="0.3">
      <c r="L1015"/>
    </row>
    <row r="1016" spans="12:12" ht="14.85" hidden="1" x14ac:dyDescent="0.3">
      <c r="L1016"/>
    </row>
    <row r="1017" spans="12:12" x14ac:dyDescent="0.3">
      <c r="L1017"/>
    </row>
    <row r="1018" spans="12:12" x14ac:dyDescent="0.3">
      <c r="L1018"/>
    </row>
    <row r="1019" spans="12:12" x14ac:dyDescent="0.3">
      <c r="L1019"/>
    </row>
    <row r="1020" spans="12:12" x14ac:dyDescent="0.3">
      <c r="L1020"/>
    </row>
    <row r="1021" spans="12:12" x14ac:dyDescent="0.3">
      <c r="L1021"/>
    </row>
    <row r="1022" spans="12:12" x14ac:dyDescent="0.3">
      <c r="L1022"/>
    </row>
    <row r="1023" spans="12:12" x14ac:dyDescent="0.3">
      <c r="L1023"/>
    </row>
    <row r="1024" spans="12:12" x14ac:dyDescent="0.3">
      <c r="L1024"/>
    </row>
    <row r="1025" spans="12:12" x14ac:dyDescent="0.3">
      <c r="L1025"/>
    </row>
    <row r="1026" spans="12:12" x14ac:dyDescent="0.3">
      <c r="L1026"/>
    </row>
    <row r="1027" spans="12:12" x14ac:dyDescent="0.3">
      <c r="L1027"/>
    </row>
    <row r="1028" spans="12:12" x14ac:dyDescent="0.3">
      <c r="L1028"/>
    </row>
    <row r="1029" spans="12:12" x14ac:dyDescent="0.3">
      <c r="L1029"/>
    </row>
    <row r="1030" spans="12:12" x14ac:dyDescent="0.3">
      <c r="L1030"/>
    </row>
    <row r="1031" spans="12:12" x14ac:dyDescent="0.3">
      <c r="L1031"/>
    </row>
    <row r="1032" spans="12:12" x14ac:dyDescent="0.3">
      <c r="L1032"/>
    </row>
    <row r="1033" spans="12:12" x14ac:dyDescent="0.3">
      <c r="L1033"/>
    </row>
    <row r="1034" spans="12:12" x14ac:dyDescent="0.3">
      <c r="L1034"/>
    </row>
    <row r="1035" spans="12:12" x14ac:dyDescent="0.3">
      <c r="L1035"/>
    </row>
    <row r="1036" spans="12:12" x14ac:dyDescent="0.3">
      <c r="L1036"/>
    </row>
    <row r="1037" spans="12:12" x14ac:dyDescent="0.3">
      <c r="L1037"/>
    </row>
    <row r="1038" spans="12:12" x14ac:dyDescent="0.3">
      <c r="L1038"/>
    </row>
    <row r="1039" spans="12:12" x14ac:dyDescent="0.3">
      <c r="L1039"/>
    </row>
    <row r="1040" spans="12:12" x14ac:dyDescent="0.3">
      <c r="L1040"/>
    </row>
    <row r="1041" spans="12:12" x14ac:dyDescent="0.3">
      <c r="L1041"/>
    </row>
    <row r="1042" spans="12:12" x14ac:dyDescent="0.3">
      <c r="L1042"/>
    </row>
    <row r="1043" spans="12:12" x14ac:dyDescent="0.3">
      <c r="L1043"/>
    </row>
    <row r="1044" spans="12:12" x14ac:dyDescent="0.3">
      <c r="L1044"/>
    </row>
    <row r="1045" spans="12:12" x14ac:dyDescent="0.3">
      <c r="L1045"/>
    </row>
    <row r="1046" spans="12:12" x14ac:dyDescent="0.3">
      <c r="L1046"/>
    </row>
    <row r="1047" spans="12:12" x14ac:dyDescent="0.3">
      <c r="L1047"/>
    </row>
    <row r="1048" spans="12:12" x14ac:dyDescent="0.3">
      <c r="L1048"/>
    </row>
    <row r="1049" spans="12:12" x14ac:dyDescent="0.3">
      <c r="L1049"/>
    </row>
    <row r="1050" spans="12:12" x14ac:dyDescent="0.3">
      <c r="L1050"/>
    </row>
    <row r="1051" spans="12:12" x14ac:dyDescent="0.3">
      <c r="L1051"/>
    </row>
    <row r="1052" spans="12:12" x14ac:dyDescent="0.3">
      <c r="L1052"/>
    </row>
    <row r="1053" spans="12:12" x14ac:dyDescent="0.3">
      <c r="L1053"/>
    </row>
    <row r="1054" spans="12:12" x14ac:dyDescent="0.3">
      <c r="L1054"/>
    </row>
    <row r="1055" spans="12:12" x14ac:dyDescent="0.3">
      <c r="L1055"/>
    </row>
    <row r="1056" spans="12:12" x14ac:dyDescent="0.3">
      <c r="L1056"/>
    </row>
    <row r="1057" spans="12:12" x14ac:dyDescent="0.3">
      <c r="L1057"/>
    </row>
    <row r="1058" spans="12:12" x14ac:dyDescent="0.3">
      <c r="L1058"/>
    </row>
    <row r="1059" spans="12:12" x14ac:dyDescent="0.3">
      <c r="L1059"/>
    </row>
    <row r="1060" spans="12:12" x14ac:dyDescent="0.3">
      <c r="L1060"/>
    </row>
    <row r="1061" spans="12:12" x14ac:dyDescent="0.3">
      <c r="L1061"/>
    </row>
    <row r="1062" spans="12:12" x14ac:dyDescent="0.3">
      <c r="L1062"/>
    </row>
    <row r="1063" spans="12:12" x14ac:dyDescent="0.3">
      <c r="L1063"/>
    </row>
  </sheetData>
  <mergeCells count="1">
    <mergeCell ref="A1:N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L644"/>
  <sheetViews>
    <sheetView workbookViewId="0">
      <selection activeCell="F13" sqref="F13"/>
    </sheetView>
  </sheetViews>
  <sheetFormatPr defaultRowHeight="14.4" x14ac:dyDescent="0.3"/>
  <cols>
    <col min="1" max="1" width="43.77734375" bestFit="1" customWidth="1"/>
    <col min="2" max="2" width="20.77734375" style="120" bestFit="1" customWidth="1"/>
    <col min="3" max="3" width="12" bestFit="1" customWidth="1"/>
    <col min="4" max="4" width="5.5546875" bestFit="1" customWidth="1"/>
    <col min="5" max="5" width="12" bestFit="1" customWidth="1"/>
  </cols>
  <sheetData>
    <row r="1" spans="1:12" s="85" customFormat="1" ht="37.950000000000003" customHeight="1" x14ac:dyDescent="0.3">
      <c r="A1" s="170" t="s">
        <v>732</v>
      </c>
      <c r="B1" s="170"/>
      <c r="C1" s="137"/>
      <c r="D1" s="137"/>
      <c r="E1" s="137"/>
      <c r="F1" s="137"/>
      <c r="G1" s="137"/>
      <c r="H1" s="137"/>
      <c r="I1" s="137"/>
      <c r="J1" s="137"/>
      <c r="K1" s="137"/>
      <c r="L1" s="137"/>
    </row>
    <row r="2" spans="1:12" ht="38.549999999999997" customHeight="1" x14ac:dyDescent="0.3">
      <c r="A2" s="132" t="s">
        <v>724</v>
      </c>
      <c r="B2" s="131" t="s">
        <v>165</v>
      </c>
    </row>
    <row r="3" spans="1:12" ht="14.85" x14ac:dyDescent="0.3">
      <c r="A3" s="2" t="s">
        <v>636</v>
      </c>
      <c r="B3" s="120">
        <v>3582.9000000599999</v>
      </c>
    </row>
    <row r="4" spans="1:12" x14ac:dyDescent="0.3">
      <c r="A4" s="3" t="s">
        <v>644</v>
      </c>
      <c r="B4" s="120">
        <v>524.90000006000014</v>
      </c>
    </row>
    <row r="5" spans="1:12" ht="14.85" x14ac:dyDescent="0.3">
      <c r="A5" s="94" t="s">
        <v>569</v>
      </c>
      <c r="B5" s="120">
        <v>66</v>
      </c>
    </row>
    <row r="6" spans="1:12" x14ac:dyDescent="0.3">
      <c r="A6" s="94" t="s">
        <v>562</v>
      </c>
      <c r="B6" s="120">
        <v>61.300000009999998</v>
      </c>
    </row>
    <row r="7" spans="1:12" x14ac:dyDescent="0.3">
      <c r="A7" s="94" t="s">
        <v>572</v>
      </c>
      <c r="B7" s="120">
        <v>42</v>
      </c>
    </row>
    <row r="8" spans="1:12" ht="14.85" x14ac:dyDescent="0.3">
      <c r="A8" s="94" t="s">
        <v>571</v>
      </c>
      <c r="B8" s="120">
        <v>42</v>
      </c>
    </row>
    <row r="9" spans="1:12" x14ac:dyDescent="0.3">
      <c r="A9" s="94" t="s">
        <v>734</v>
      </c>
      <c r="B9" s="120">
        <v>42</v>
      </c>
    </row>
    <row r="10" spans="1:12" ht="14.85" x14ac:dyDescent="0.3">
      <c r="A10" s="94" t="s">
        <v>573</v>
      </c>
      <c r="B10" s="120">
        <v>24</v>
      </c>
    </row>
    <row r="11" spans="1:12" x14ac:dyDescent="0.3">
      <c r="A11" s="94" t="s">
        <v>656</v>
      </c>
      <c r="B11" s="120">
        <v>21</v>
      </c>
    </row>
    <row r="12" spans="1:12" x14ac:dyDescent="0.3">
      <c r="A12" s="94" t="s">
        <v>1329</v>
      </c>
      <c r="B12" s="120">
        <v>15</v>
      </c>
    </row>
    <row r="13" spans="1:12" ht="14.85" x14ac:dyDescent="0.3">
      <c r="A13" s="94" t="s">
        <v>575</v>
      </c>
      <c r="B13" s="120">
        <v>15</v>
      </c>
    </row>
    <row r="14" spans="1:12" x14ac:dyDescent="0.3">
      <c r="A14" s="94" t="s">
        <v>558</v>
      </c>
      <c r="B14" s="120">
        <v>14</v>
      </c>
    </row>
    <row r="15" spans="1:12" x14ac:dyDescent="0.3">
      <c r="A15" s="94" t="s">
        <v>752</v>
      </c>
      <c r="B15" s="120">
        <v>12</v>
      </c>
    </row>
    <row r="16" spans="1:12" x14ac:dyDescent="0.3">
      <c r="A16" s="94" t="s">
        <v>560</v>
      </c>
      <c r="B16" s="120">
        <v>10</v>
      </c>
    </row>
    <row r="17" spans="1:2" ht="14.85" x14ac:dyDescent="0.3">
      <c r="A17" s="94" t="s">
        <v>577</v>
      </c>
      <c r="B17" s="120">
        <v>10</v>
      </c>
    </row>
    <row r="18" spans="1:2" x14ac:dyDescent="0.3">
      <c r="A18" s="94" t="s">
        <v>753</v>
      </c>
      <c r="B18" s="120">
        <v>9</v>
      </c>
    </row>
    <row r="19" spans="1:2" x14ac:dyDescent="0.3">
      <c r="A19" s="94" t="s">
        <v>751</v>
      </c>
      <c r="B19" s="120">
        <v>9</v>
      </c>
    </row>
    <row r="20" spans="1:2" ht="14.85" x14ac:dyDescent="0.3">
      <c r="A20" s="94" t="s">
        <v>733</v>
      </c>
      <c r="B20" s="120">
        <v>9</v>
      </c>
    </row>
    <row r="21" spans="1:2" x14ac:dyDescent="0.3">
      <c r="A21" s="94" t="s">
        <v>565</v>
      </c>
      <c r="B21" s="120">
        <v>8.0000000100000008</v>
      </c>
    </row>
    <row r="22" spans="1:2" x14ac:dyDescent="0.3">
      <c r="A22" s="94" t="s">
        <v>707</v>
      </c>
      <c r="B22" s="120">
        <v>8</v>
      </c>
    </row>
    <row r="23" spans="1:2" x14ac:dyDescent="0.3">
      <c r="A23" s="94" t="s">
        <v>754</v>
      </c>
      <c r="B23" s="120">
        <v>6</v>
      </c>
    </row>
    <row r="24" spans="1:2" x14ac:dyDescent="0.3">
      <c r="A24" s="94" t="s">
        <v>580</v>
      </c>
      <c r="B24" s="120">
        <v>6</v>
      </c>
    </row>
    <row r="25" spans="1:2" x14ac:dyDescent="0.3">
      <c r="A25" s="94" t="s">
        <v>737</v>
      </c>
      <c r="B25" s="120">
        <v>6</v>
      </c>
    </row>
    <row r="26" spans="1:2" x14ac:dyDescent="0.3">
      <c r="A26" s="94" t="s">
        <v>576</v>
      </c>
      <c r="B26" s="120">
        <v>6</v>
      </c>
    </row>
    <row r="27" spans="1:2" x14ac:dyDescent="0.3">
      <c r="A27" s="94" t="s">
        <v>578</v>
      </c>
      <c r="B27" s="120">
        <v>6</v>
      </c>
    </row>
    <row r="28" spans="1:2" x14ac:dyDescent="0.3">
      <c r="A28" s="94" t="s">
        <v>731</v>
      </c>
      <c r="B28" s="120">
        <v>6</v>
      </c>
    </row>
    <row r="29" spans="1:2" x14ac:dyDescent="0.3">
      <c r="A29" s="94" t="s">
        <v>730</v>
      </c>
      <c r="B29" s="120">
        <v>6</v>
      </c>
    </row>
    <row r="30" spans="1:2" x14ac:dyDescent="0.3">
      <c r="A30" s="94" t="s">
        <v>755</v>
      </c>
      <c r="B30" s="120">
        <v>6</v>
      </c>
    </row>
    <row r="31" spans="1:2" x14ac:dyDescent="0.3">
      <c r="A31" s="94" t="s">
        <v>719</v>
      </c>
      <c r="B31" s="120">
        <v>6</v>
      </c>
    </row>
    <row r="32" spans="1:2" x14ac:dyDescent="0.3">
      <c r="A32" s="94" t="s">
        <v>715</v>
      </c>
      <c r="B32" s="120">
        <v>6</v>
      </c>
    </row>
    <row r="33" spans="1:2" x14ac:dyDescent="0.3">
      <c r="A33" s="94" t="s">
        <v>570</v>
      </c>
      <c r="B33" s="120">
        <v>6</v>
      </c>
    </row>
    <row r="34" spans="1:2" x14ac:dyDescent="0.3">
      <c r="A34" s="94" t="s">
        <v>633</v>
      </c>
      <c r="B34" s="120">
        <v>5</v>
      </c>
    </row>
    <row r="35" spans="1:2" x14ac:dyDescent="0.3">
      <c r="A35" s="94" t="s">
        <v>564</v>
      </c>
      <c r="B35" s="120">
        <v>4.0000000099999999</v>
      </c>
    </row>
    <row r="36" spans="1:2" x14ac:dyDescent="0.3">
      <c r="A36" s="94" t="s">
        <v>716</v>
      </c>
      <c r="B36" s="120">
        <v>4</v>
      </c>
    </row>
    <row r="37" spans="1:2" x14ac:dyDescent="0.3">
      <c r="A37" s="94" t="s">
        <v>713</v>
      </c>
      <c r="B37" s="120">
        <v>4</v>
      </c>
    </row>
    <row r="38" spans="1:2" x14ac:dyDescent="0.3">
      <c r="A38" s="94" t="s">
        <v>567</v>
      </c>
      <c r="B38" s="120">
        <v>3.3</v>
      </c>
    </row>
    <row r="39" spans="1:2" x14ac:dyDescent="0.3">
      <c r="A39" s="94" t="s">
        <v>568</v>
      </c>
      <c r="B39" s="120">
        <v>3.3</v>
      </c>
    </row>
    <row r="40" spans="1:2" x14ac:dyDescent="0.3">
      <c r="A40" s="94" t="s">
        <v>566</v>
      </c>
      <c r="B40" s="120">
        <v>3.0000000099999999</v>
      </c>
    </row>
    <row r="41" spans="1:2" x14ac:dyDescent="0.3">
      <c r="A41" s="94" t="s">
        <v>561</v>
      </c>
      <c r="B41" s="120">
        <v>3.0000000099999999</v>
      </c>
    </row>
    <row r="42" spans="1:2" x14ac:dyDescent="0.3">
      <c r="A42" s="94" t="s">
        <v>712</v>
      </c>
      <c r="B42" s="120">
        <v>3.0000000099999999</v>
      </c>
    </row>
    <row r="43" spans="1:2" x14ac:dyDescent="0.3">
      <c r="A43" s="94" t="s">
        <v>579</v>
      </c>
      <c r="B43" s="120">
        <v>3</v>
      </c>
    </row>
    <row r="44" spans="1:2" x14ac:dyDescent="0.3">
      <c r="A44" s="94" t="s">
        <v>749</v>
      </c>
      <c r="B44" s="120">
        <v>3</v>
      </c>
    </row>
    <row r="45" spans="1:2" x14ac:dyDescent="0.3">
      <c r="A45" s="94" t="s">
        <v>714</v>
      </c>
      <c r="B45" s="120">
        <v>3</v>
      </c>
    </row>
    <row r="46" spans="1:2" x14ac:dyDescent="0.3">
      <c r="A46" s="94" t="s">
        <v>750</v>
      </c>
      <c r="B46" s="120">
        <v>0</v>
      </c>
    </row>
    <row r="47" spans="1:2" x14ac:dyDescent="0.3">
      <c r="A47" s="94" t="s">
        <v>758</v>
      </c>
      <c r="B47" s="120">
        <v>0</v>
      </c>
    </row>
    <row r="48" spans="1:2" x14ac:dyDescent="0.3">
      <c r="A48" s="94" t="s">
        <v>773</v>
      </c>
      <c r="B48" s="120">
        <v>0</v>
      </c>
    </row>
    <row r="49" spans="1:2" x14ac:dyDescent="0.3">
      <c r="A49" s="94" t="s">
        <v>634</v>
      </c>
      <c r="B49" s="120">
        <v>0</v>
      </c>
    </row>
    <row r="50" spans="1:2" x14ac:dyDescent="0.3">
      <c r="A50" s="94" t="s">
        <v>717</v>
      </c>
      <c r="B50" s="120">
        <v>0</v>
      </c>
    </row>
    <row r="51" spans="1:2" x14ac:dyDescent="0.3">
      <c r="A51" s="94" t="s">
        <v>756</v>
      </c>
      <c r="B51" s="120">
        <v>0</v>
      </c>
    </row>
    <row r="52" spans="1:2" x14ac:dyDescent="0.3">
      <c r="A52" s="94" t="s">
        <v>574</v>
      </c>
      <c r="B52" s="120">
        <v>0</v>
      </c>
    </row>
    <row r="53" spans="1:2" x14ac:dyDescent="0.3">
      <c r="A53" s="94" t="s">
        <v>759</v>
      </c>
      <c r="B53" s="120">
        <v>0</v>
      </c>
    </row>
    <row r="54" spans="1:2" x14ac:dyDescent="0.3">
      <c r="A54" s="94" t="s">
        <v>757</v>
      </c>
      <c r="B54" s="120">
        <v>0</v>
      </c>
    </row>
    <row r="55" spans="1:2" x14ac:dyDescent="0.3">
      <c r="A55" s="94" t="s">
        <v>774</v>
      </c>
      <c r="B55" s="120">
        <v>0</v>
      </c>
    </row>
    <row r="56" spans="1:2" x14ac:dyDescent="0.3">
      <c r="A56" s="94" t="s">
        <v>559</v>
      </c>
      <c r="B56" s="120">
        <v>0</v>
      </c>
    </row>
    <row r="57" spans="1:2" x14ac:dyDescent="0.3">
      <c r="A57" s="94" t="s">
        <v>563</v>
      </c>
      <c r="B57" s="120">
        <v>0</v>
      </c>
    </row>
    <row r="58" spans="1:2" x14ac:dyDescent="0.3">
      <c r="A58" s="94" t="s">
        <v>718</v>
      </c>
      <c r="B58" s="120">
        <v>0</v>
      </c>
    </row>
    <row r="59" spans="1:2" x14ac:dyDescent="0.3">
      <c r="A59" s="3" t="s">
        <v>645</v>
      </c>
      <c r="B59" s="120">
        <v>3058</v>
      </c>
    </row>
    <row r="60" spans="1:2" x14ac:dyDescent="0.3">
      <c r="A60" s="94" t="s">
        <v>1204</v>
      </c>
      <c r="B60" s="120">
        <v>37</v>
      </c>
    </row>
    <row r="61" spans="1:2" x14ac:dyDescent="0.3">
      <c r="A61" s="94" t="s">
        <v>937</v>
      </c>
      <c r="B61" s="120">
        <v>33</v>
      </c>
    </row>
    <row r="62" spans="1:2" x14ac:dyDescent="0.3">
      <c r="A62" s="94" t="s">
        <v>840</v>
      </c>
      <c r="B62" s="120">
        <v>33</v>
      </c>
    </row>
    <row r="63" spans="1:2" x14ac:dyDescent="0.3">
      <c r="A63" s="94" t="s">
        <v>866</v>
      </c>
      <c r="B63" s="120">
        <v>31</v>
      </c>
    </row>
    <row r="64" spans="1:2" x14ac:dyDescent="0.3">
      <c r="A64" s="94" t="s">
        <v>970</v>
      </c>
      <c r="B64" s="120">
        <v>30</v>
      </c>
    </row>
    <row r="65" spans="1:2" x14ac:dyDescent="0.3">
      <c r="A65" s="94" t="s">
        <v>906</v>
      </c>
      <c r="B65" s="120">
        <v>28</v>
      </c>
    </row>
    <row r="66" spans="1:2" x14ac:dyDescent="0.3">
      <c r="A66" s="94" t="s">
        <v>835</v>
      </c>
      <c r="B66" s="120">
        <v>27</v>
      </c>
    </row>
    <row r="67" spans="1:2" x14ac:dyDescent="0.3">
      <c r="A67" s="94" t="s">
        <v>1084</v>
      </c>
      <c r="B67" s="120">
        <v>26</v>
      </c>
    </row>
    <row r="68" spans="1:2" x14ac:dyDescent="0.3">
      <c r="A68" s="94" t="s">
        <v>975</v>
      </c>
      <c r="B68" s="120">
        <v>26</v>
      </c>
    </row>
    <row r="69" spans="1:2" x14ac:dyDescent="0.3">
      <c r="A69" s="94" t="s">
        <v>1009</v>
      </c>
      <c r="B69" s="120">
        <v>26</v>
      </c>
    </row>
    <row r="70" spans="1:2" x14ac:dyDescent="0.3">
      <c r="A70" s="94" t="s">
        <v>837</v>
      </c>
      <c r="B70" s="120">
        <v>25</v>
      </c>
    </row>
    <row r="71" spans="1:2" x14ac:dyDescent="0.3">
      <c r="A71" s="94" t="s">
        <v>1041</v>
      </c>
      <c r="B71" s="120">
        <v>25</v>
      </c>
    </row>
    <row r="72" spans="1:2" x14ac:dyDescent="0.3">
      <c r="A72" s="94" t="s">
        <v>712</v>
      </c>
      <c r="B72" s="120">
        <v>25</v>
      </c>
    </row>
    <row r="73" spans="1:2" x14ac:dyDescent="0.3">
      <c r="A73" s="94" t="s">
        <v>1238</v>
      </c>
      <c r="B73" s="120">
        <v>24</v>
      </c>
    </row>
    <row r="74" spans="1:2" x14ac:dyDescent="0.3">
      <c r="A74" s="94" t="s">
        <v>833</v>
      </c>
      <c r="B74" s="120">
        <v>24</v>
      </c>
    </row>
    <row r="75" spans="1:2" x14ac:dyDescent="0.3">
      <c r="A75" s="94" t="s">
        <v>1240</v>
      </c>
      <c r="B75" s="120">
        <v>24</v>
      </c>
    </row>
    <row r="76" spans="1:2" x14ac:dyDescent="0.3">
      <c r="A76" s="94" t="s">
        <v>1079</v>
      </c>
      <c r="B76" s="120">
        <v>24</v>
      </c>
    </row>
    <row r="77" spans="1:2" x14ac:dyDescent="0.3">
      <c r="A77" s="94" t="s">
        <v>1051</v>
      </c>
      <c r="B77" s="120">
        <v>24</v>
      </c>
    </row>
    <row r="78" spans="1:2" x14ac:dyDescent="0.3">
      <c r="A78" s="94" t="s">
        <v>938</v>
      </c>
      <c r="B78" s="120">
        <v>23</v>
      </c>
    </row>
    <row r="79" spans="1:2" x14ac:dyDescent="0.3">
      <c r="A79" s="94" t="s">
        <v>1241</v>
      </c>
      <c r="B79" s="120">
        <v>23</v>
      </c>
    </row>
    <row r="80" spans="1:2" x14ac:dyDescent="0.3">
      <c r="A80" s="94" t="s">
        <v>1118</v>
      </c>
      <c r="B80" s="120">
        <v>22</v>
      </c>
    </row>
    <row r="81" spans="1:2" x14ac:dyDescent="0.3">
      <c r="A81" s="94" t="s">
        <v>1232</v>
      </c>
      <c r="B81" s="120">
        <v>22</v>
      </c>
    </row>
    <row r="82" spans="1:2" x14ac:dyDescent="0.3">
      <c r="A82" s="94" t="s">
        <v>1034</v>
      </c>
      <c r="B82" s="120">
        <v>21</v>
      </c>
    </row>
    <row r="83" spans="1:2" x14ac:dyDescent="0.3">
      <c r="A83" s="94" t="s">
        <v>911</v>
      </c>
      <c r="B83" s="120">
        <v>21</v>
      </c>
    </row>
    <row r="84" spans="1:2" x14ac:dyDescent="0.3">
      <c r="A84" s="94" t="s">
        <v>882</v>
      </c>
      <c r="B84" s="120">
        <v>21</v>
      </c>
    </row>
    <row r="85" spans="1:2" x14ac:dyDescent="0.3">
      <c r="A85" s="94" t="s">
        <v>848</v>
      </c>
      <c r="B85" s="120">
        <v>21</v>
      </c>
    </row>
    <row r="86" spans="1:2" x14ac:dyDescent="0.3">
      <c r="A86" s="94" t="s">
        <v>1055</v>
      </c>
      <c r="B86" s="120">
        <v>21</v>
      </c>
    </row>
    <row r="87" spans="1:2" x14ac:dyDescent="0.3">
      <c r="A87" s="94" t="s">
        <v>907</v>
      </c>
      <c r="B87" s="120">
        <v>21</v>
      </c>
    </row>
    <row r="88" spans="1:2" x14ac:dyDescent="0.3">
      <c r="A88" s="94" t="s">
        <v>1008</v>
      </c>
      <c r="B88" s="120">
        <v>20</v>
      </c>
    </row>
    <row r="89" spans="1:2" x14ac:dyDescent="0.3">
      <c r="A89" s="94" t="s">
        <v>1176</v>
      </c>
      <c r="B89" s="120">
        <v>20</v>
      </c>
    </row>
    <row r="90" spans="1:2" x14ac:dyDescent="0.3">
      <c r="A90" s="94" t="s">
        <v>1205</v>
      </c>
      <c r="B90" s="120">
        <v>20</v>
      </c>
    </row>
    <row r="91" spans="1:2" x14ac:dyDescent="0.3">
      <c r="A91" s="94" t="s">
        <v>1237</v>
      </c>
      <c r="B91" s="120">
        <v>20</v>
      </c>
    </row>
    <row r="92" spans="1:2" x14ac:dyDescent="0.3">
      <c r="A92" s="94" t="s">
        <v>1073</v>
      </c>
      <c r="B92" s="120">
        <v>20</v>
      </c>
    </row>
    <row r="93" spans="1:2" x14ac:dyDescent="0.3">
      <c r="A93" s="94" t="s">
        <v>1042</v>
      </c>
      <c r="B93" s="120">
        <v>18</v>
      </c>
    </row>
    <row r="94" spans="1:2" x14ac:dyDescent="0.3">
      <c r="A94" s="94" t="s">
        <v>1069</v>
      </c>
      <c r="B94" s="120">
        <v>18</v>
      </c>
    </row>
    <row r="95" spans="1:2" x14ac:dyDescent="0.3">
      <c r="A95" s="94" t="s">
        <v>971</v>
      </c>
      <c r="B95" s="120">
        <v>18</v>
      </c>
    </row>
    <row r="96" spans="1:2" x14ac:dyDescent="0.3">
      <c r="A96" s="94" t="s">
        <v>1149</v>
      </c>
      <c r="B96" s="120">
        <v>17</v>
      </c>
    </row>
    <row r="97" spans="1:2" x14ac:dyDescent="0.3">
      <c r="A97" s="94" t="s">
        <v>884</v>
      </c>
      <c r="B97" s="120">
        <v>17</v>
      </c>
    </row>
    <row r="98" spans="1:2" x14ac:dyDescent="0.3">
      <c r="A98" s="94" t="s">
        <v>883</v>
      </c>
      <c r="B98" s="120">
        <v>17</v>
      </c>
    </row>
    <row r="99" spans="1:2" x14ac:dyDescent="0.3">
      <c r="A99" s="94" t="s">
        <v>908</v>
      </c>
      <c r="B99" s="120">
        <v>16</v>
      </c>
    </row>
    <row r="100" spans="1:2" x14ac:dyDescent="0.3">
      <c r="A100" s="94" t="s">
        <v>1200</v>
      </c>
      <c r="B100" s="120">
        <v>16</v>
      </c>
    </row>
    <row r="101" spans="1:2" x14ac:dyDescent="0.3">
      <c r="A101" s="94" t="s">
        <v>1164</v>
      </c>
      <c r="B101" s="120">
        <v>16</v>
      </c>
    </row>
    <row r="102" spans="1:2" x14ac:dyDescent="0.3">
      <c r="A102" s="94" t="s">
        <v>1071</v>
      </c>
      <c r="B102" s="120">
        <v>16</v>
      </c>
    </row>
    <row r="103" spans="1:2" x14ac:dyDescent="0.3">
      <c r="A103" s="94" t="s">
        <v>894</v>
      </c>
      <c r="B103" s="120">
        <v>16</v>
      </c>
    </row>
    <row r="104" spans="1:2" x14ac:dyDescent="0.3">
      <c r="A104" s="94" t="s">
        <v>831</v>
      </c>
      <c r="B104" s="120">
        <v>16</v>
      </c>
    </row>
    <row r="105" spans="1:2" x14ac:dyDescent="0.3">
      <c r="A105" s="94" t="s">
        <v>956</v>
      </c>
      <c r="B105" s="120">
        <v>16</v>
      </c>
    </row>
    <row r="106" spans="1:2" x14ac:dyDescent="0.3">
      <c r="A106" s="94" t="s">
        <v>830</v>
      </c>
      <c r="B106" s="120">
        <v>16</v>
      </c>
    </row>
    <row r="107" spans="1:2" x14ac:dyDescent="0.3">
      <c r="A107" s="94" t="s">
        <v>927</v>
      </c>
      <c r="B107" s="120">
        <v>16</v>
      </c>
    </row>
    <row r="108" spans="1:2" x14ac:dyDescent="0.3">
      <c r="A108" s="94" t="s">
        <v>1102</v>
      </c>
      <c r="B108" s="120">
        <v>16</v>
      </c>
    </row>
    <row r="109" spans="1:2" x14ac:dyDescent="0.3">
      <c r="A109" s="94" t="s">
        <v>1150</v>
      </c>
      <c r="B109" s="120">
        <v>16</v>
      </c>
    </row>
    <row r="110" spans="1:2" x14ac:dyDescent="0.3">
      <c r="A110" s="94" t="s">
        <v>1221</v>
      </c>
      <c r="B110" s="120">
        <v>16</v>
      </c>
    </row>
    <row r="111" spans="1:2" x14ac:dyDescent="0.3">
      <c r="A111" s="94" t="s">
        <v>1061</v>
      </c>
      <c r="B111" s="120">
        <v>16</v>
      </c>
    </row>
    <row r="112" spans="1:2" x14ac:dyDescent="0.3">
      <c r="A112" s="94" t="s">
        <v>1116</v>
      </c>
      <c r="B112" s="120">
        <v>15</v>
      </c>
    </row>
    <row r="113" spans="1:2" x14ac:dyDescent="0.3">
      <c r="A113" s="94" t="s">
        <v>1115</v>
      </c>
      <c r="B113" s="120">
        <v>15</v>
      </c>
    </row>
    <row r="114" spans="1:2" x14ac:dyDescent="0.3">
      <c r="A114" s="94" t="s">
        <v>978</v>
      </c>
      <c r="B114" s="120">
        <v>15</v>
      </c>
    </row>
    <row r="115" spans="1:2" x14ac:dyDescent="0.3">
      <c r="A115" s="94" t="s">
        <v>913</v>
      </c>
      <c r="B115" s="120">
        <v>15</v>
      </c>
    </row>
    <row r="116" spans="1:2" x14ac:dyDescent="0.3">
      <c r="A116" s="94" t="s">
        <v>976</v>
      </c>
      <c r="B116" s="120">
        <v>15</v>
      </c>
    </row>
    <row r="117" spans="1:2" x14ac:dyDescent="0.3">
      <c r="A117" s="94" t="s">
        <v>832</v>
      </c>
      <c r="B117" s="120">
        <v>15</v>
      </c>
    </row>
    <row r="118" spans="1:2" x14ac:dyDescent="0.3">
      <c r="A118" s="94" t="s">
        <v>1100</v>
      </c>
      <c r="B118" s="120">
        <v>15</v>
      </c>
    </row>
    <row r="119" spans="1:2" x14ac:dyDescent="0.3">
      <c r="A119" s="94" t="s">
        <v>897</v>
      </c>
      <c r="B119" s="120">
        <v>15</v>
      </c>
    </row>
    <row r="120" spans="1:2" x14ac:dyDescent="0.3">
      <c r="A120" s="94" t="s">
        <v>1201</v>
      </c>
      <c r="B120" s="120">
        <v>15</v>
      </c>
    </row>
    <row r="121" spans="1:2" x14ac:dyDescent="0.3">
      <c r="A121" s="94" t="s">
        <v>898</v>
      </c>
      <c r="B121" s="120">
        <v>14</v>
      </c>
    </row>
    <row r="122" spans="1:2" x14ac:dyDescent="0.3">
      <c r="A122" s="94" t="s">
        <v>867</v>
      </c>
      <c r="B122" s="120">
        <v>14</v>
      </c>
    </row>
    <row r="123" spans="1:2" x14ac:dyDescent="0.3">
      <c r="A123" s="94" t="s">
        <v>1181</v>
      </c>
      <c r="B123" s="120">
        <v>14</v>
      </c>
    </row>
    <row r="124" spans="1:2" x14ac:dyDescent="0.3">
      <c r="A124" s="94" t="s">
        <v>1224</v>
      </c>
      <c r="B124" s="120">
        <v>14</v>
      </c>
    </row>
    <row r="125" spans="1:2" x14ac:dyDescent="0.3">
      <c r="A125" s="94" t="s">
        <v>958</v>
      </c>
      <c r="B125" s="120">
        <v>14</v>
      </c>
    </row>
    <row r="126" spans="1:2" x14ac:dyDescent="0.3">
      <c r="A126" s="94" t="s">
        <v>1142</v>
      </c>
      <c r="B126" s="120">
        <v>14</v>
      </c>
    </row>
    <row r="127" spans="1:2" x14ac:dyDescent="0.3">
      <c r="A127" s="94" t="s">
        <v>1056</v>
      </c>
      <c r="B127" s="120">
        <v>14</v>
      </c>
    </row>
    <row r="128" spans="1:2" x14ac:dyDescent="0.3">
      <c r="A128" s="94" t="s">
        <v>1215</v>
      </c>
      <c r="B128" s="120">
        <v>14</v>
      </c>
    </row>
    <row r="129" spans="1:2" x14ac:dyDescent="0.3">
      <c r="A129" s="94" t="s">
        <v>1131</v>
      </c>
      <c r="B129" s="120">
        <v>14</v>
      </c>
    </row>
    <row r="130" spans="1:2" x14ac:dyDescent="0.3">
      <c r="A130" s="94" t="s">
        <v>1028</v>
      </c>
      <c r="B130" s="120">
        <v>14</v>
      </c>
    </row>
    <row r="131" spans="1:2" x14ac:dyDescent="0.3">
      <c r="A131" s="94" t="s">
        <v>999</v>
      </c>
      <c r="B131" s="120">
        <v>14</v>
      </c>
    </row>
    <row r="132" spans="1:2" x14ac:dyDescent="0.3">
      <c r="A132" s="94" t="s">
        <v>1012</v>
      </c>
      <c r="B132" s="120">
        <v>14</v>
      </c>
    </row>
    <row r="133" spans="1:2" x14ac:dyDescent="0.3">
      <c r="A133" s="94" t="s">
        <v>928</v>
      </c>
      <c r="B133" s="120">
        <v>14</v>
      </c>
    </row>
    <row r="134" spans="1:2" x14ac:dyDescent="0.3">
      <c r="A134" s="94" t="s">
        <v>1185</v>
      </c>
      <c r="B134" s="120">
        <v>13</v>
      </c>
    </row>
    <row r="135" spans="1:2" x14ac:dyDescent="0.3">
      <c r="A135" s="94" t="s">
        <v>834</v>
      </c>
      <c r="B135" s="120">
        <v>13</v>
      </c>
    </row>
    <row r="136" spans="1:2" x14ac:dyDescent="0.3">
      <c r="A136" s="94" t="s">
        <v>849</v>
      </c>
      <c r="B136" s="120">
        <v>13</v>
      </c>
    </row>
    <row r="137" spans="1:2" x14ac:dyDescent="0.3">
      <c r="A137" s="94" t="s">
        <v>1132</v>
      </c>
      <c r="B137" s="120">
        <v>13</v>
      </c>
    </row>
    <row r="138" spans="1:2" x14ac:dyDescent="0.3">
      <c r="A138" s="94" t="s">
        <v>986</v>
      </c>
      <c r="B138" s="120">
        <v>13</v>
      </c>
    </row>
    <row r="139" spans="1:2" x14ac:dyDescent="0.3">
      <c r="A139" s="94" t="s">
        <v>929</v>
      </c>
      <c r="B139" s="120">
        <v>13</v>
      </c>
    </row>
    <row r="140" spans="1:2" x14ac:dyDescent="0.3">
      <c r="A140" s="94" t="s">
        <v>1109</v>
      </c>
      <c r="B140" s="120">
        <v>13</v>
      </c>
    </row>
    <row r="141" spans="1:2" x14ac:dyDescent="0.3">
      <c r="A141" s="94" t="s">
        <v>564</v>
      </c>
      <c r="B141" s="120">
        <v>12</v>
      </c>
    </row>
    <row r="142" spans="1:2" x14ac:dyDescent="0.3">
      <c r="A142" s="94" t="s">
        <v>1140</v>
      </c>
      <c r="B142" s="120">
        <v>12</v>
      </c>
    </row>
    <row r="143" spans="1:2" x14ac:dyDescent="0.3">
      <c r="A143" s="94" t="s">
        <v>1252</v>
      </c>
      <c r="B143" s="120">
        <v>12</v>
      </c>
    </row>
    <row r="144" spans="1:2" x14ac:dyDescent="0.3">
      <c r="A144" s="94" t="s">
        <v>842</v>
      </c>
      <c r="B144" s="120">
        <v>12</v>
      </c>
    </row>
    <row r="145" spans="1:2" x14ac:dyDescent="0.3">
      <c r="A145" s="94" t="s">
        <v>960</v>
      </c>
      <c r="B145" s="120">
        <v>12</v>
      </c>
    </row>
    <row r="146" spans="1:2" x14ac:dyDescent="0.3">
      <c r="A146" s="94" t="s">
        <v>1022</v>
      </c>
      <c r="B146" s="120">
        <v>12</v>
      </c>
    </row>
    <row r="147" spans="1:2" x14ac:dyDescent="0.3">
      <c r="A147" s="94" t="s">
        <v>1111</v>
      </c>
      <c r="B147" s="120">
        <v>12</v>
      </c>
    </row>
    <row r="148" spans="1:2" x14ac:dyDescent="0.3">
      <c r="A148" s="94" t="s">
        <v>949</v>
      </c>
      <c r="B148" s="120">
        <v>12</v>
      </c>
    </row>
    <row r="149" spans="1:2" x14ac:dyDescent="0.3">
      <c r="A149" s="94" t="s">
        <v>863</v>
      </c>
      <c r="B149" s="120">
        <v>12</v>
      </c>
    </row>
    <row r="150" spans="1:2" x14ac:dyDescent="0.3">
      <c r="A150" s="94" t="s">
        <v>1157</v>
      </c>
      <c r="B150" s="120">
        <v>12</v>
      </c>
    </row>
    <row r="151" spans="1:2" x14ac:dyDescent="0.3">
      <c r="A151" s="94" t="s">
        <v>868</v>
      </c>
      <c r="B151" s="120">
        <v>12</v>
      </c>
    </row>
    <row r="152" spans="1:2" x14ac:dyDescent="0.3">
      <c r="A152" s="94" t="s">
        <v>1151</v>
      </c>
      <c r="B152" s="120">
        <v>12</v>
      </c>
    </row>
    <row r="153" spans="1:2" x14ac:dyDescent="0.3">
      <c r="A153" s="94" t="s">
        <v>1103</v>
      </c>
      <c r="B153" s="120">
        <v>12</v>
      </c>
    </row>
    <row r="154" spans="1:2" x14ac:dyDescent="0.3">
      <c r="A154" s="94" t="s">
        <v>1036</v>
      </c>
      <c r="B154" s="120">
        <v>12</v>
      </c>
    </row>
    <row r="155" spans="1:2" x14ac:dyDescent="0.3">
      <c r="A155" s="94" t="s">
        <v>1110</v>
      </c>
      <c r="B155" s="120">
        <v>12</v>
      </c>
    </row>
    <row r="156" spans="1:2" x14ac:dyDescent="0.3">
      <c r="A156" s="94" t="s">
        <v>1000</v>
      </c>
      <c r="B156" s="120">
        <v>12</v>
      </c>
    </row>
    <row r="157" spans="1:2" x14ac:dyDescent="0.3">
      <c r="A157" s="94" t="s">
        <v>895</v>
      </c>
      <c r="B157" s="120">
        <v>12</v>
      </c>
    </row>
    <row r="158" spans="1:2" x14ac:dyDescent="0.3">
      <c r="A158" s="94" t="s">
        <v>1170</v>
      </c>
      <c r="B158" s="120">
        <v>12</v>
      </c>
    </row>
    <row r="159" spans="1:2" x14ac:dyDescent="0.3">
      <c r="A159" s="94" t="s">
        <v>1035</v>
      </c>
      <c r="B159" s="120">
        <v>12</v>
      </c>
    </row>
    <row r="160" spans="1:2" x14ac:dyDescent="0.3">
      <c r="A160" s="94" t="s">
        <v>1127</v>
      </c>
      <c r="B160" s="120">
        <v>12</v>
      </c>
    </row>
    <row r="161" spans="1:2" x14ac:dyDescent="0.3">
      <c r="A161" s="94" t="s">
        <v>1134</v>
      </c>
      <c r="B161" s="120">
        <v>11</v>
      </c>
    </row>
    <row r="162" spans="1:2" x14ac:dyDescent="0.3">
      <c r="A162" s="94" t="s">
        <v>1029</v>
      </c>
      <c r="B162" s="120">
        <v>11</v>
      </c>
    </row>
    <row r="163" spans="1:2" x14ac:dyDescent="0.3">
      <c r="A163" s="94" t="s">
        <v>869</v>
      </c>
      <c r="B163" s="120">
        <v>11</v>
      </c>
    </row>
    <row r="164" spans="1:2" x14ac:dyDescent="0.3">
      <c r="A164" s="94" t="s">
        <v>1244</v>
      </c>
      <c r="B164" s="120">
        <v>11</v>
      </c>
    </row>
    <row r="165" spans="1:2" x14ac:dyDescent="0.3">
      <c r="A165" s="94" t="s">
        <v>1154</v>
      </c>
      <c r="B165" s="120">
        <v>11</v>
      </c>
    </row>
    <row r="166" spans="1:2" x14ac:dyDescent="0.3">
      <c r="A166" s="94" t="s">
        <v>1072</v>
      </c>
      <c r="B166" s="120">
        <v>11</v>
      </c>
    </row>
    <row r="167" spans="1:2" x14ac:dyDescent="0.3">
      <c r="A167" s="94" t="s">
        <v>1030</v>
      </c>
      <c r="B167" s="120">
        <v>11</v>
      </c>
    </row>
    <row r="168" spans="1:2" x14ac:dyDescent="0.3">
      <c r="A168" s="94" t="s">
        <v>1171</v>
      </c>
      <c r="B168" s="120">
        <v>11</v>
      </c>
    </row>
    <row r="169" spans="1:2" x14ac:dyDescent="0.3">
      <c r="A169" s="94" t="s">
        <v>1001</v>
      </c>
      <c r="B169" s="120">
        <v>11</v>
      </c>
    </row>
    <row r="170" spans="1:2" x14ac:dyDescent="0.3">
      <c r="A170" s="94" t="s">
        <v>1104</v>
      </c>
      <c r="B170" s="120">
        <v>11</v>
      </c>
    </row>
    <row r="171" spans="1:2" x14ac:dyDescent="0.3">
      <c r="A171" s="94" t="s">
        <v>909</v>
      </c>
      <c r="B171" s="120">
        <v>11</v>
      </c>
    </row>
    <row r="172" spans="1:2" x14ac:dyDescent="0.3">
      <c r="A172" s="94" t="s">
        <v>836</v>
      </c>
      <c r="B172" s="120">
        <v>11</v>
      </c>
    </row>
    <row r="173" spans="1:2" x14ac:dyDescent="0.3">
      <c r="A173" s="94" t="s">
        <v>1194</v>
      </c>
      <c r="B173" s="120">
        <v>11</v>
      </c>
    </row>
    <row r="174" spans="1:2" x14ac:dyDescent="0.3">
      <c r="A174" s="94" t="s">
        <v>940</v>
      </c>
      <c r="B174" s="120">
        <v>11</v>
      </c>
    </row>
    <row r="175" spans="1:2" x14ac:dyDescent="0.3">
      <c r="A175" s="94" t="s">
        <v>1010</v>
      </c>
      <c r="B175" s="120">
        <v>11</v>
      </c>
    </row>
    <row r="176" spans="1:2" x14ac:dyDescent="0.3">
      <c r="A176" s="94" t="s">
        <v>1216</v>
      </c>
      <c r="B176" s="120">
        <v>11</v>
      </c>
    </row>
    <row r="177" spans="1:2" x14ac:dyDescent="0.3">
      <c r="A177" s="94" t="s">
        <v>879</v>
      </c>
      <c r="B177" s="120">
        <v>11</v>
      </c>
    </row>
    <row r="178" spans="1:2" x14ac:dyDescent="0.3">
      <c r="A178" s="94" t="s">
        <v>1156</v>
      </c>
      <c r="B178" s="120">
        <v>11</v>
      </c>
    </row>
    <row r="179" spans="1:2" x14ac:dyDescent="0.3">
      <c r="A179" s="94" t="s">
        <v>1097</v>
      </c>
      <c r="B179" s="120">
        <v>11</v>
      </c>
    </row>
    <row r="180" spans="1:2" x14ac:dyDescent="0.3">
      <c r="A180" s="94" t="s">
        <v>1141</v>
      </c>
      <c r="B180" s="120">
        <v>11</v>
      </c>
    </row>
    <row r="181" spans="1:2" x14ac:dyDescent="0.3">
      <c r="A181" s="94" t="s">
        <v>1135</v>
      </c>
      <c r="B181" s="120">
        <v>10</v>
      </c>
    </row>
    <row r="182" spans="1:2" x14ac:dyDescent="0.3">
      <c r="A182" s="94" t="s">
        <v>1121</v>
      </c>
      <c r="B182" s="120">
        <v>10</v>
      </c>
    </row>
    <row r="183" spans="1:2" x14ac:dyDescent="0.3">
      <c r="A183" s="94" t="s">
        <v>851</v>
      </c>
      <c r="B183" s="120">
        <v>10</v>
      </c>
    </row>
    <row r="184" spans="1:2" x14ac:dyDescent="0.3">
      <c r="A184" s="94" t="s">
        <v>1177</v>
      </c>
      <c r="B184" s="120">
        <v>10</v>
      </c>
    </row>
    <row r="185" spans="1:2" x14ac:dyDescent="0.3">
      <c r="A185" s="94" t="s">
        <v>972</v>
      </c>
      <c r="B185" s="120">
        <v>10</v>
      </c>
    </row>
    <row r="186" spans="1:2" x14ac:dyDescent="0.3">
      <c r="A186" s="94" t="s">
        <v>1085</v>
      </c>
      <c r="B186" s="120">
        <v>10</v>
      </c>
    </row>
    <row r="187" spans="1:2" x14ac:dyDescent="0.3">
      <c r="A187" s="94" t="s">
        <v>987</v>
      </c>
      <c r="B187" s="120">
        <v>10</v>
      </c>
    </row>
    <row r="188" spans="1:2" x14ac:dyDescent="0.3">
      <c r="A188" s="94" t="s">
        <v>1011</v>
      </c>
      <c r="B188" s="120">
        <v>10</v>
      </c>
    </row>
    <row r="189" spans="1:2" x14ac:dyDescent="0.3">
      <c r="A189" s="94" t="s">
        <v>1211</v>
      </c>
      <c r="B189" s="120">
        <v>10</v>
      </c>
    </row>
    <row r="190" spans="1:2" x14ac:dyDescent="0.3">
      <c r="A190" s="94" t="s">
        <v>870</v>
      </c>
      <c r="B190" s="120">
        <v>10</v>
      </c>
    </row>
    <row r="191" spans="1:2" x14ac:dyDescent="0.3">
      <c r="A191" s="94" t="s">
        <v>1090</v>
      </c>
      <c r="B191" s="120">
        <v>9</v>
      </c>
    </row>
    <row r="192" spans="1:2" x14ac:dyDescent="0.3">
      <c r="A192" s="94" t="s">
        <v>1094</v>
      </c>
      <c r="B192" s="120">
        <v>9</v>
      </c>
    </row>
    <row r="193" spans="1:2" x14ac:dyDescent="0.3">
      <c r="A193" s="94" t="s">
        <v>1099</v>
      </c>
      <c r="B193" s="120">
        <v>9</v>
      </c>
    </row>
    <row r="194" spans="1:2" x14ac:dyDescent="0.3">
      <c r="A194" s="94" t="s">
        <v>942</v>
      </c>
      <c r="B194" s="120">
        <v>9</v>
      </c>
    </row>
    <row r="195" spans="1:2" x14ac:dyDescent="0.3">
      <c r="A195" s="94" t="s">
        <v>1249</v>
      </c>
      <c r="B195" s="120">
        <v>9</v>
      </c>
    </row>
    <row r="196" spans="1:2" x14ac:dyDescent="0.3">
      <c r="A196" s="94" t="s">
        <v>1086</v>
      </c>
      <c r="B196" s="120">
        <v>9</v>
      </c>
    </row>
    <row r="197" spans="1:2" x14ac:dyDescent="0.3">
      <c r="A197" s="94" t="s">
        <v>1043</v>
      </c>
      <c r="B197" s="120">
        <v>9</v>
      </c>
    </row>
    <row r="198" spans="1:2" x14ac:dyDescent="0.3">
      <c r="A198" s="94" t="s">
        <v>853</v>
      </c>
      <c r="B198" s="120">
        <v>9</v>
      </c>
    </row>
    <row r="199" spans="1:2" x14ac:dyDescent="0.3">
      <c r="A199" s="94" t="s">
        <v>977</v>
      </c>
      <c r="B199" s="120">
        <v>9</v>
      </c>
    </row>
    <row r="200" spans="1:2" x14ac:dyDescent="0.3">
      <c r="A200" s="94" t="s">
        <v>1062</v>
      </c>
      <c r="B200" s="120">
        <v>9</v>
      </c>
    </row>
    <row r="201" spans="1:2" x14ac:dyDescent="0.3">
      <c r="A201" s="94" t="s">
        <v>1133</v>
      </c>
      <c r="B201" s="120">
        <v>9</v>
      </c>
    </row>
    <row r="202" spans="1:2" x14ac:dyDescent="0.3">
      <c r="A202" s="94" t="s">
        <v>713</v>
      </c>
      <c r="B202" s="120">
        <v>9</v>
      </c>
    </row>
    <row r="203" spans="1:2" x14ac:dyDescent="0.3">
      <c r="A203" s="94" t="s">
        <v>1189</v>
      </c>
      <c r="B203" s="120">
        <v>9</v>
      </c>
    </row>
    <row r="204" spans="1:2" x14ac:dyDescent="0.3">
      <c r="A204" s="94" t="s">
        <v>1179</v>
      </c>
      <c r="B204" s="120">
        <v>9</v>
      </c>
    </row>
    <row r="205" spans="1:2" x14ac:dyDescent="0.3">
      <c r="A205" s="94" t="s">
        <v>925</v>
      </c>
      <c r="B205" s="120">
        <v>9</v>
      </c>
    </row>
    <row r="206" spans="1:2" x14ac:dyDescent="0.3">
      <c r="A206" s="94" t="s">
        <v>1186</v>
      </c>
      <c r="B206" s="120">
        <v>9</v>
      </c>
    </row>
    <row r="207" spans="1:2" x14ac:dyDescent="0.3">
      <c r="A207" s="94" t="s">
        <v>1063</v>
      </c>
      <c r="B207" s="120">
        <v>9</v>
      </c>
    </row>
    <row r="208" spans="1:2" x14ac:dyDescent="0.3">
      <c r="A208" s="94" t="s">
        <v>878</v>
      </c>
      <c r="B208" s="120">
        <v>9</v>
      </c>
    </row>
    <row r="209" spans="1:2" x14ac:dyDescent="0.3">
      <c r="A209" s="94" t="s">
        <v>1225</v>
      </c>
      <c r="B209" s="120">
        <v>9</v>
      </c>
    </row>
    <row r="210" spans="1:2" x14ac:dyDescent="0.3">
      <c r="A210" s="94" t="s">
        <v>920</v>
      </c>
      <c r="B210" s="120">
        <v>9</v>
      </c>
    </row>
    <row r="211" spans="1:2" x14ac:dyDescent="0.3">
      <c r="A211" s="94" t="s">
        <v>1253</v>
      </c>
      <c r="B211" s="120">
        <v>9</v>
      </c>
    </row>
    <row r="212" spans="1:2" x14ac:dyDescent="0.3">
      <c r="A212" s="94" t="s">
        <v>1080</v>
      </c>
      <c r="B212" s="120">
        <v>9</v>
      </c>
    </row>
    <row r="213" spans="1:2" x14ac:dyDescent="0.3">
      <c r="A213" s="94" t="s">
        <v>1081</v>
      </c>
      <c r="B213" s="120">
        <v>8</v>
      </c>
    </row>
    <row r="214" spans="1:2" x14ac:dyDescent="0.3">
      <c r="A214" s="94" t="s">
        <v>962</v>
      </c>
      <c r="B214" s="120">
        <v>8</v>
      </c>
    </row>
    <row r="215" spans="1:2" x14ac:dyDescent="0.3">
      <c r="A215" s="94" t="s">
        <v>915</v>
      </c>
      <c r="B215" s="120">
        <v>8</v>
      </c>
    </row>
    <row r="216" spans="1:2" x14ac:dyDescent="0.3">
      <c r="A216" s="94" t="s">
        <v>1057</v>
      </c>
      <c r="B216" s="120">
        <v>8</v>
      </c>
    </row>
    <row r="217" spans="1:2" x14ac:dyDescent="0.3">
      <c r="A217" s="94" t="s">
        <v>850</v>
      </c>
      <c r="B217" s="120">
        <v>8</v>
      </c>
    </row>
    <row r="218" spans="1:2" x14ac:dyDescent="0.3">
      <c r="A218" s="94" t="s">
        <v>943</v>
      </c>
      <c r="B218" s="120">
        <v>8</v>
      </c>
    </row>
    <row r="219" spans="1:2" x14ac:dyDescent="0.3">
      <c r="A219" s="94" t="s">
        <v>1064</v>
      </c>
      <c r="B219" s="120">
        <v>8</v>
      </c>
    </row>
    <row r="220" spans="1:2" x14ac:dyDescent="0.3">
      <c r="A220" s="94" t="s">
        <v>714</v>
      </c>
      <c r="B220" s="120">
        <v>8</v>
      </c>
    </row>
    <row r="221" spans="1:2" x14ac:dyDescent="0.3">
      <c r="A221" s="94" t="s">
        <v>974</v>
      </c>
      <c r="B221" s="120">
        <v>8</v>
      </c>
    </row>
    <row r="222" spans="1:2" x14ac:dyDescent="0.3">
      <c r="A222" s="94" t="s">
        <v>1250</v>
      </c>
      <c r="B222" s="120">
        <v>8</v>
      </c>
    </row>
    <row r="223" spans="1:2" x14ac:dyDescent="0.3">
      <c r="A223" s="94" t="s">
        <v>1082</v>
      </c>
      <c r="B223" s="120">
        <v>8</v>
      </c>
    </row>
    <row r="224" spans="1:2" x14ac:dyDescent="0.3">
      <c r="A224" s="94" t="s">
        <v>1124</v>
      </c>
      <c r="B224" s="120">
        <v>8</v>
      </c>
    </row>
    <row r="225" spans="1:2" x14ac:dyDescent="0.3">
      <c r="A225" s="94" t="s">
        <v>997</v>
      </c>
      <c r="B225" s="120">
        <v>8</v>
      </c>
    </row>
    <row r="226" spans="1:2" x14ac:dyDescent="0.3">
      <c r="A226" s="94" t="s">
        <v>1330</v>
      </c>
      <c r="B226" s="120">
        <v>8</v>
      </c>
    </row>
    <row r="227" spans="1:2" x14ac:dyDescent="0.3">
      <c r="A227" s="94" t="s">
        <v>959</v>
      </c>
      <c r="B227" s="120">
        <v>7</v>
      </c>
    </row>
    <row r="228" spans="1:2" x14ac:dyDescent="0.3">
      <c r="A228" s="94" t="s">
        <v>1088</v>
      </c>
      <c r="B228" s="120">
        <v>7</v>
      </c>
    </row>
    <row r="229" spans="1:2" x14ac:dyDescent="0.3">
      <c r="A229" s="94" t="s">
        <v>1172</v>
      </c>
      <c r="B229" s="120">
        <v>7</v>
      </c>
    </row>
    <row r="230" spans="1:2" x14ac:dyDescent="0.3">
      <c r="A230" s="94" t="s">
        <v>1098</v>
      </c>
      <c r="B230" s="120">
        <v>7</v>
      </c>
    </row>
    <row r="231" spans="1:2" x14ac:dyDescent="0.3">
      <c r="A231" s="94" t="s">
        <v>1136</v>
      </c>
      <c r="B231" s="120">
        <v>7</v>
      </c>
    </row>
    <row r="232" spans="1:2" x14ac:dyDescent="0.3">
      <c r="A232" s="94" t="s">
        <v>843</v>
      </c>
      <c r="B232" s="120">
        <v>7</v>
      </c>
    </row>
    <row r="233" spans="1:2" x14ac:dyDescent="0.3">
      <c r="A233" s="94" t="s">
        <v>973</v>
      </c>
      <c r="B233" s="120">
        <v>7</v>
      </c>
    </row>
    <row r="234" spans="1:2" x14ac:dyDescent="0.3">
      <c r="A234" s="94" t="s">
        <v>1002</v>
      </c>
      <c r="B234" s="120">
        <v>7</v>
      </c>
    </row>
    <row r="235" spans="1:2" x14ac:dyDescent="0.3">
      <c r="A235" s="94" t="s">
        <v>1087</v>
      </c>
      <c r="B235" s="120">
        <v>7</v>
      </c>
    </row>
    <row r="236" spans="1:2" x14ac:dyDescent="0.3">
      <c r="A236" s="94" t="s">
        <v>896</v>
      </c>
      <c r="B236" s="120">
        <v>7</v>
      </c>
    </row>
    <row r="237" spans="1:2" x14ac:dyDescent="0.3">
      <c r="A237" s="94" t="s">
        <v>1242</v>
      </c>
      <c r="B237" s="120">
        <v>7</v>
      </c>
    </row>
    <row r="238" spans="1:2" x14ac:dyDescent="0.3">
      <c r="A238" s="94" t="s">
        <v>1233</v>
      </c>
      <c r="B238" s="120">
        <v>7</v>
      </c>
    </row>
    <row r="239" spans="1:2" x14ac:dyDescent="0.3">
      <c r="A239" s="94" t="s">
        <v>979</v>
      </c>
      <c r="B239" s="120">
        <v>6</v>
      </c>
    </row>
    <row r="240" spans="1:2" x14ac:dyDescent="0.3">
      <c r="A240" s="94" t="s">
        <v>1207</v>
      </c>
      <c r="B240" s="120">
        <v>6</v>
      </c>
    </row>
    <row r="241" spans="1:2" x14ac:dyDescent="0.3">
      <c r="A241" s="94" t="s">
        <v>1137</v>
      </c>
      <c r="B241" s="120">
        <v>6</v>
      </c>
    </row>
    <row r="242" spans="1:2" x14ac:dyDescent="0.3">
      <c r="A242" s="94" t="s">
        <v>1178</v>
      </c>
      <c r="B242" s="120">
        <v>6</v>
      </c>
    </row>
    <row r="243" spans="1:2" x14ac:dyDescent="0.3">
      <c r="A243" s="94" t="s">
        <v>1206</v>
      </c>
      <c r="B243" s="120">
        <v>6</v>
      </c>
    </row>
    <row r="244" spans="1:2" x14ac:dyDescent="0.3">
      <c r="A244" s="94" t="s">
        <v>941</v>
      </c>
      <c r="B244" s="120">
        <v>6</v>
      </c>
    </row>
    <row r="245" spans="1:2" x14ac:dyDescent="0.3">
      <c r="A245" s="94" t="s">
        <v>982</v>
      </c>
      <c r="B245" s="120">
        <v>6</v>
      </c>
    </row>
    <row r="246" spans="1:2" x14ac:dyDescent="0.3">
      <c r="A246" s="94" t="s">
        <v>718</v>
      </c>
      <c r="B246" s="120">
        <v>6</v>
      </c>
    </row>
    <row r="247" spans="1:2" x14ac:dyDescent="0.3">
      <c r="A247" s="94" t="s">
        <v>1165</v>
      </c>
      <c r="B247" s="120">
        <v>6</v>
      </c>
    </row>
    <row r="248" spans="1:2" x14ac:dyDescent="0.3">
      <c r="A248" s="94" t="s">
        <v>1117</v>
      </c>
      <c r="B248" s="120">
        <v>6</v>
      </c>
    </row>
    <row r="249" spans="1:2" x14ac:dyDescent="0.3">
      <c r="A249" s="94" t="s">
        <v>1112</v>
      </c>
      <c r="B249" s="120">
        <v>6</v>
      </c>
    </row>
    <row r="250" spans="1:2" x14ac:dyDescent="0.3">
      <c r="A250" s="94" t="s">
        <v>939</v>
      </c>
      <c r="B250" s="120">
        <v>6</v>
      </c>
    </row>
    <row r="251" spans="1:2" x14ac:dyDescent="0.3">
      <c r="A251" s="94" t="s">
        <v>1159</v>
      </c>
      <c r="B251" s="120">
        <v>6</v>
      </c>
    </row>
    <row r="252" spans="1:2" x14ac:dyDescent="0.3">
      <c r="A252" s="94" t="s">
        <v>852</v>
      </c>
      <c r="B252" s="120">
        <v>6</v>
      </c>
    </row>
    <row r="253" spans="1:2" x14ac:dyDescent="0.3">
      <c r="A253" s="94" t="s">
        <v>871</v>
      </c>
      <c r="B253" s="120">
        <v>6</v>
      </c>
    </row>
    <row r="254" spans="1:2" x14ac:dyDescent="0.3">
      <c r="A254" s="94" t="s">
        <v>996</v>
      </c>
      <c r="B254" s="120">
        <v>6</v>
      </c>
    </row>
    <row r="255" spans="1:2" x14ac:dyDescent="0.3">
      <c r="A255" s="94" t="s">
        <v>838</v>
      </c>
      <c r="B255" s="120">
        <v>6</v>
      </c>
    </row>
    <row r="256" spans="1:2" x14ac:dyDescent="0.3">
      <c r="A256" s="94" t="s">
        <v>1070</v>
      </c>
      <c r="B256" s="120">
        <v>6</v>
      </c>
    </row>
    <row r="257" spans="1:2" x14ac:dyDescent="0.3">
      <c r="A257" s="94" t="s">
        <v>875</v>
      </c>
      <c r="B257" s="120">
        <v>6</v>
      </c>
    </row>
    <row r="258" spans="1:2" x14ac:dyDescent="0.3">
      <c r="A258" s="94" t="s">
        <v>1195</v>
      </c>
      <c r="B258" s="120">
        <v>6</v>
      </c>
    </row>
    <row r="259" spans="1:2" x14ac:dyDescent="0.3">
      <c r="A259" s="94" t="s">
        <v>1023</v>
      </c>
      <c r="B259" s="120">
        <v>6</v>
      </c>
    </row>
    <row r="260" spans="1:2" x14ac:dyDescent="0.3">
      <c r="A260" s="94" t="s">
        <v>910</v>
      </c>
      <c r="B260" s="120">
        <v>6</v>
      </c>
    </row>
    <row r="261" spans="1:2" x14ac:dyDescent="0.3">
      <c r="A261" s="94" t="s">
        <v>1246</v>
      </c>
      <c r="B261" s="120">
        <v>6</v>
      </c>
    </row>
    <row r="262" spans="1:2" x14ac:dyDescent="0.3">
      <c r="A262" s="94" t="s">
        <v>1018</v>
      </c>
      <c r="B262" s="120">
        <v>6</v>
      </c>
    </row>
    <row r="263" spans="1:2" x14ac:dyDescent="0.3">
      <c r="A263" s="94" t="s">
        <v>930</v>
      </c>
      <c r="B263" s="120">
        <v>6</v>
      </c>
    </row>
    <row r="264" spans="1:2" x14ac:dyDescent="0.3">
      <c r="A264" s="94" t="s">
        <v>1158</v>
      </c>
      <c r="B264" s="120">
        <v>6</v>
      </c>
    </row>
    <row r="265" spans="1:2" x14ac:dyDescent="0.3">
      <c r="A265" s="94" t="s">
        <v>1105</v>
      </c>
      <c r="B265" s="120">
        <v>6</v>
      </c>
    </row>
    <row r="266" spans="1:2" x14ac:dyDescent="0.3">
      <c r="A266" s="94" t="s">
        <v>1083</v>
      </c>
      <c r="B266" s="120">
        <v>6</v>
      </c>
    </row>
    <row r="267" spans="1:2" x14ac:dyDescent="0.3">
      <c r="A267" s="94" t="s">
        <v>1190</v>
      </c>
      <c r="B267" s="120">
        <v>6</v>
      </c>
    </row>
    <row r="268" spans="1:2" x14ac:dyDescent="0.3">
      <c r="A268" s="94" t="s">
        <v>961</v>
      </c>
      <c r="B268" s="120">
        <v>5</v>
      </c>
    </row>
    <row r="269" spans="1:2" x14ac:dyDescent="0.3">
      <c r="A269" s="94" t="s">
        <v>1234</v>
      </c>
      <c r="B269" s="120">
        <v>5</v>
      </c>
    </row>
    <row r="270" spans="1:2" x14ac:dyDescent="0.3">
      <c r="A270" s="94" t="s">
        <v>912</v>
      </c>
      <c r="B270" s="120">
        <v>5</v>
      </c>
    </row>
    <row r="271" spans="1:2" x14ac:dyDescent="0.3">
      <c r="A271" s="94" t="s">
        <v>981</v>
      </c>
      <c r="B271" s="120">
        <v>5</v>
      </c>
    </row>
    <row r="272" spans="1:2" x14ac:dyDescent="0.3">
      <c r="A272" s="94" t="s">
        <v>1024</v>
      </c>
      <c r="B272" s="120">
        <v>5</v>
      </c>
    </row>
    <row r="273" spans="1:2" x14ac:dyDescent="0.3">
      <c r="A273" s="94" t="s">
        <v>931</v>
      </c>
      <c r="B273" s="120">
        <v>5</v>
      </c>
    </row>
    <row r="274" spans="1:2" x14ac:dyDescent="0.3">
      <c r="A274" s="94" t="s">
        <v>1037</v>
      </c>
      <c r="B274" s="120">
        <v>5</v>
      </c>
    </row>
    <row r="275" spans="1:2" x14ac:dyDescent="0.3">
      <c r="A275" s="94" t="s">
        <v>980</v>
      </c>
      <c r="B275" s="120">
        <v>5</v>
      </c>
    </row>
    <row r="276" spans="1:2" x14ac:dyDescent="0.3">
      <c r="A276" s="94" t="s">
        <v>1120</v>
      </c>
      <c r="B276" s="120">
        <v>5</v>
      </c>
    </row>
    <row r="277" spans="1:2" x14ac:dyDescent="0.3">
      <c r="A277" s="94" t="s">
        <v>1138</v>
      </c>
      <c r="B277" s="120">
        <v>5</v>
      </c>
    </row>
    <row r="278" spans="1:2" x14ac:dyDescent="0.3">
      <c r="A278" s="94" t="s">
        <v>1119</v>
      </c>
      <c r="B278" s="120">
        <v>5</v>
      </c>
    </row>
    <row r="279" spans="1:2" x14ac:dyDescent="0.3">
      <c r="A279" s="94" t="s">
        <v>1044</v>
      </c>
      <c r="B279" s="120">
        <v>5</v>
      </c>
    </row>
    <row r="280" spans="1:2" x14ac:dyDescent="0.3">
      <c r="A280" s="94" t="s">
        <v>944</v>
      </c>
      <c r="B280" s="120">
        <v>5</v>
      </c>
    </row>
    <row r="281" spans="1:2" x14ac:dyDescent="0.3">
      <c r="A281" s="94" t="s">
        <v>872</v>
      </c>
      <c r="B281" s="120">
        <v>5</v>
      </c>
    </row>
    <row r="282" spans="1:2" x14ac:dyDescent="0.3">
      <c r="A282" s="94" t="s">
        <v>1045</v>
      </c>
      <c r="B282" s="120">
        <v>5</v>
      </c>
    </row>
    <row r="283" spans="1:2" x14ac:dyDescent="0.3">
      <c r="A283" s="94" t="s">
        <v>1174</v>
      </c>
      <c r="B283" s="120">
        <v>5</v>
      </c>
    </row>
    <row r="284" spans="1:2" x14ac:dyDescent="0.3">
      <c r="A284" s="94" t="s">
        <v>1180</v>
      </c>
      <c r="B284" s="120">
        <v>5</v>
      </c>
    </row>
    <row r="285" spans="1:2" x14ac:dyDescent="0.3">
      <c r="A285" s="94" t="s">
        <v>1173</v>
      </c>
      <c r="B285" s="120">
        <v>5</v>
      </c>
    </row>
    <row r="286" spans="1:2" x14ac:dyDescent="0.3">
      <c r="A286" s="94" t="s">
        <v>1256</v>
      </c>
      <c r="B286" s="120">
        <v>5</v>
      </c>
    </row>
    <row r="287" spans="1:2" x14ac:dyDescent="0.3">
      <c r="A287" s="94" t="s">
        <v>1038</v>
      </c>
      <c r="B287" s="120">
        <v>5</v>
      </c>
    </row>
    <row r="288" spans="1:2" x14ac:dyDescent="0.3">
      <c r="A288" s="94" t="s">
        <v>1198</v>
      </c>
      <c r="B288" s="120">
        <v>5</v>
      </c>
    </row>
    <row r="289" spans="1:2" x14ac:dyDescent="0.3">
      <c r="A289" s="94" t="s">
        <v>1143</v>
      </c>
      <c r="B289" s="120">
        <v>5</v>
      </c>
    </row>
    <row r="290" spans="1:2" x14ac:dyDescent="0.3">
      <c r="A290" s="94" t="s">
        <v>914</v>
      </c>
      <c r="B290" s="120">
        <v>4</v>
      </c>
    </row>
    <row r="291" spans="1:2" x14ac:dyDescent="0.3">
      <c r="A291" s="94" t="s">
        <v>1212</v>
      </c>
      <c r="B291" s="120">
        <v>4</v>
      </c>
    </row>
    <row r="292" spans="1:2" x14ac:dyDescent="0.3">
      <c r="A292" s="94" t="s">
        <v>1196</v>
      </c>
      <c r="B292" s="120">
        <v>4</v>
      </c>
    </row>
    <row r="293" spans="1:2" x14ac:dyDescent="0.3">
      <c r="A293" s="94" t="s">
        <v>1139</v>
      </c>
      <c r="B293" s="120">
        <v>4</v>
      </c>
    </row>
    <row r="294" spans="1:2" x14ac:dyDescent="0.3">
      <c r="A294" s="94" t="s">
        <v>880</v>
      </c>
      <c r="B294" s="120">
        <v>4</v>
      </c>
    </row>
    <row r="295" spans="1:2" x14ac:dyDescent="0.3">
      <c r="A295" s="94" t="s">
        <v>839</v>
      </c>
      <c r="B295" s="120">
        <v>4</v>
      </c>
    </row>
    <row r="296" spans="1:2" x14ac:dyDescent="0.3">
      <c r="A296" s="94" t="s">
        <v>1166</v>
      </c>
      <c r="B296" s="120">
        <v>4</v>
      </c>
    </row>
    <row r="297" spans="1:2" x14ac:dyDescent="0.3">
      <c r="A297" s="94" t="s">
        <v>1016</v>
      </c>
      <c r="B297" s="120">
        <v>4</v>
      </c>
    </row>
    <row r="298" spans="1:2" x14ac:dyDescent="0.3">
      <c r="A298" s="94" t="s">
        <v>1167</v>
      </c>
      <c r="B298" s="120">
        <v>4</v>
      </c>
    </row>
    <row r="299" spans="1:2" x14ac:dyDescent="0.3">
      <c r="A299" s="94" t="s">
        <v>1209</v>
      </c>
      <c r="B299" s="120">
        <v>4</v>
      </c>
    </row>
    <row r="300" spans="1:2" x14ac:dyDescent="0.3">
      <c r="A300" s="94" t="s">
        <v>1187</v>
      </c>
      <c r="B300" s="120">
        <v>4</v>
      </c>
    </row>
    <row r="301" spans="1:2" x14ac:dyDescent="0.3">
      <c r="A301" s="94" t="s">
        <v>899</v>
      </c>
      <c r="B301" s="120">
        <v>4</v>
      </c>
    </row>
    <row r="302" spans="1:2" x14ac:dyDescent="0.3">
      <c r="A302" s="94" t="s">
        <v>717</v>
      </c>
      <c r="B302" s="120">
        <v>4</v>
      </c>
    </row>
    <row r="303" spans="1:2" x14ac:dyDescent="0.3">
      <c r="A303" s="94" t="s">
        <v>1122</v>
      </c>
      <c r="B303" s="120">
        <v>4</v>
      </c>
    </row>
    <row r="304" spans="1:2" x14ac:dyDescent="0.3">
      <c r="A304" s="94" t="s">
        <v>1254</v>
      </c>
      <c r="B304" s="120">
        <v>4</v>
      </c>
    </row>
    <row r="305" spans="1:2" x14ac:dyDescent="0.3">
      <c r="A305" s="94" t="s">
        <v>881</v>
      </c>
      <c r="B305" s="120">
        <v>4</v>
      </c>
    </row>
    <row r="306" spans="1:2" x14ac:dyDescent="0.3">
      <c r="A306" s="94" t="s">
        <v>719</v>
      </c>
      <c r="B306" s="120">
        <v>4</v>
      </c>
    </row>
    <row r="307" spans="1:2" x14ac:dyDescent="0.3">
      <c r="A307" s="94" t="s">
        <v>873</v>
      </c>
      <c r="B307" s="120">
        <v>4</v>
      </c>
    </row>
    <row r="308" spans="1:2" x14ac:dyDescent="0.3">
      <c r="A308" s="94" t="s">
        <v>1113</v>
      </c>
      <c r="B308" s="120">
        <v>4</v>
      </c>
    </row>
    <row r="309" spans="1:2" x14ac:dyDescent="0.3">
      <c r="A309" s="94" t="s">
        <v>1126</v>
      </c>
      <c r="B309" s="120">
        <v>3</v>
      </c>
    </row>
    <row r="310" spans="1:2" x14ac:dyDescent="0.3">
      <c r="A310" s="94" t="s">
        <v>1217</v>
      </c>
      <c r="B310" s="120">
        <v>3</v>
      </c>
    </row>
    <row r="311" spans="1:2" x14ac:dyDescent="0.3">
      <c r="A311" s="94" t="s">
        <v>945</v>
      </c>
      <c r="B311" s="120">
        <v>3</v>
      </c>
    </row>
    <row r="312" spans="1:2" x14ac:dyDescent="0.3">
      <c r="A312" s="94" t="s">
        <v>900</v>
      </c>
      <c r="B312" s="120">
        <v>3</v>
      </c>
    </row>
    <row r="313" spans="1:2" x14ac:dyDescent="0.3">
      <c r="A313" s="94" t="s">
        <v>1193</v>
      </c>
      <c r="B313" s="120">
        <v>3</v>
      </c>
    </row>
    <row r="314" spans="1:2" x14ac:dyDescent="0.3">
      <c r="A314" s="94" t="s">
        <v>1046</v>
      </c>
      <c r="B314" s="120">
        <v>3</v>
      </c>
    </row>
    <row r="315" spans="1:2" x14ac:dyDescent="0.3">
      <c r="A315" s="94" t="s">
        <v>1182</v>
      </c>
      <c r="B315" s="120">
        <v>3</v>
      </c>
    </row>
    <row r="316" spans="1:2" x14ac:dyDescent="0.3">
      <c r="A316" s="94" t="s">
        <v>1245</v>
      </c>
      <c r="B316" s="120">
        <v>3</v>
      </c>
    </row>
    <row r="317" spans="1:2" x14ac:dyDescent="0.3">
      <c r="A317" s="94" t="s">
        <v>998</v>
      </c>
      <c r="B317" s="120">
        <v>3</v>
      </c>
    </row>
    <row r="318" spans="1:2" x14ac:dyDescent="0.3">
      <c r="A318" s="94" t="s">
        <v>1197</v>
      </c>
      <c r="B318" s="120">
        <v>3</v>
      </c>
    </row>
    <row r="319" spans="1:2" x14ac:dyDescent="0.3">
      <c r="A319" s="94" t="s">
        <v>1031</v>
      </c>
      <c r="B319" s="120">
        <v>3</v>
      </c>
    </row>
    <row r="320" spans="1:2" x14ac:dyDescent="0.3">
      <c r="A320" s="94" t="s">
        <v>1168</v>
      </c>
      <c r="B320" s="120">
        <v>3</v>
      </c>
    </row>
    <row r="321" spans="1:2" x14ac:dyDescent="0.3">
      <c r="A321" s="94" t="s">
        <v>1223</v>
      </c>
      <c r="B321" s="120">
        <v>3</v>
      </c>
    </row>
    <row r="322" spans="1:2" x14ac:dyDescent="0.3">
      <c r="A322" s="94" t="s">
        <v>1230</v>
      </c>
      <c r="B322" s="120">
        <v>3</v>
      </c>
    </row>
    <row r="323" spans="1:2" x14ac:dyDescent="0.3">
      <c r="A323" s="94" t="s">
        <v>841</v>
      </c>
      <c r="B323" s="120">
        <v>3</v>
      </c>
    </row>
    <row r="324" spans="1:2" x14ac:dyDescent="0.3">
      <c r="A324" s="94" t="s">
        <v>932</v>
      </c>
      <c r="B324" s="120">
        <v>3</v>
      </c>
    </row>
    <row r="325" spans="1:2" x14ac:dyDescent="0.3">
      <c r="A325" s="94" t="s">
        <v>946</v>
      </c>
      <c r="B325" s="120">
        <v>3</v>
      </c>
    </row>
    <row r="326" spans="1:2" x14ac:dyDescent="0.3">
      <c r="A326" s="94" t="s">
        <v>889</v>
      </c>
      <c r="B326" s="120">
        <v>3</v>
      </c>
    </row>
    <row r="327" spans="1:2" x14ac:dyDescent="0.3">
      <c r="A327" s="94" t="s">
        <v>963</v>
      </c>
      <c r="B327" s="120">
        <v>3</v>
      </c>
    </row>
    <row r="328" spans="1:2" x14ac:dyDescent="0.3">
      <c r="A328" s="94" t="s">
        <v>1106</v>
      </c>
      <c r="B328" s="120">
        <v>3</v>
      </c>
    </row>
    <row r="329" spans="1:2" x14ac:dyDescent="0.3">
      <c r="A329" s="94" t="s">
        <v>1222</v>
      </c>
      <c r="B329" s="120">
        <v>3</v>
      </c>
    </row>
    <row r="330" spans="1:2" x14ac:dyDescent="0.3">
      <c r="A330" s="94" t="s">
        <v>1065</v>
      </c>
      <c r="B330" s="120">
        <v>3</v>
      </c>
    </row>
    <row r="331" spans="1:2" x14ac:dyDescent="0.3">
      <c r="A331" s="94" t="s">
        <v>1210</v>
      </c>
      <c r="B331" s="120">
        <v>3</v>
      </c>
    </row>
    <row r="332" spans="1:2" x14ac:dyDescent="0.3">
      <c r="A332" s="94" t="s">
        <v>1093</v>
      </c>
      <c r="B332" s="120">
        <v>3</v>
      </c>
    </row>
    <row r="333" spans="1:2" x14ac:dyDescent="0.3">
      <c r="A333" s="94" t="s">
        <v>566</v>
      </c>
      <c r="B333" s="120">
        <v>3</v>
      </c>
    </row>
    <row r="334" spans="1:2" x14ac:dyDescent="0.3">
      <c r="A334" s="94" t="s">
        <v>1013</v>
      </c>
      <c r="B334" s="120">
        <v>3</v>
      </c>
    </row>
    <row r="335" spans="1:2" x14ac:dyDescent="0.3">
      <c r="A335" s="94" t="s">
        <v>1052</v>
      </c>
      <c r="B335" s="120">
        <v>3</v>
      </c>
    </row>
    <row r="336" spans="1:2" x14ac:dyDescent="0.3">
      <c r="A336" s="94" t="s">
        <v>1048</v>
      </c>
      <c r="B336" s="120">
        <v>3</v>
      </c>
    </row>
    <row r="337" spans="1:2" x14ac:dyDescent="0.3">
      <c r="A337" s="94" t="s">
        <v>1213</v>
      </c>
      <c r="B337" s="120">
        <v>3</v>
      </c>
    </row>
    <row r="338" spans="1:2" x14ac:dyDescent="0.3">
      <c r="A338" s="94" t="s">
        <v>1014</v>
      </c>
      <c r="B338" s="120">
        <v>3</v>
      </c>
    </row>
    <row r="339" spans="1:2" x14ac:dyDescent="0.3">
      <c r="A339" s="94" t="s">
        <v>1128</v>
      </c>
      <c r="B339" s="120">
        <v>3</v>
      </c>
    </row>
    <row r="340" spans="1:2" x14ac:dyDescent="0.3">
      <c r="A340" s="94" t="s">
        <v>1152</v>
      </c>
      <c r="B340" s="120">
        <v>3</v>
      </c>
    </row>
    <row r="341" spans="1:2" x14ac:dyDescent="0.3">
      <c r="A341" s="94" t="s">
        <v>1161</v>
      </c>
      <c r="B341" s="120">
        <v>3</v>
      </c>
    </row>
    <row r="342" spans="1:2" x14ac:dyDescent="0.3">
      <c r="A342" s="94" t="s">
        <v>1089</v>
      </c>
      <c r="B342" s="120">
        <v>3</v>
      </c>
    </row>
    <row r="343" spans="1:2" x14ac:dyDescent="0.3">
      <c r="A343" s="94" t="s">
        <v>933</v>
      </c>
      <c r="B343" s="120">
        <v>3</v>
      </c>
    </row>
    <row r="344" spans="1:2" x14ac:dyDescent="0.3">
      <c r="A344" s="94" t="s">
        <v>1053</v>
      </c>
      <c r="B344" s="120">
        <v>3</v>
      </c>
    </row>
    <row r="345" spans="1:2" x14ac:dyDescent="0.3">
      <c r="A345" s="94" t="s">
        <v>983</v>
      </c>
      <c r="B345" s="120">
        <v>3</v>
      </c>
    </row>
    <row r="346" spans="1:2" x14ac:dyDescent="0.3">
      <c r="A346" s="94" t="s">
        <v>901</v>
      </c>
      <c r="B346" s="120">
        <v>3</v>
      </c>
    </row>
    <row r="347" spans="1:2" x14ac:dyDescent="0.3">
      <c r="A347" s="94" t="s">
        <v>1015</v>
      </c>
      <c r="B347" s="120">
        <v>3</v>
      </c>
    </row>
    <row r="348" spans="1:2" x14ac:dyDescent="0.3">
      <c r="A348" s="94" t="s">
        <v>1226</v>
      </c>
      <c r="B348" s="120">
        <v>3</v>
      </c>
    </row>
    <row r="349" spans="1:2" x14ac:dyDescent="0.3">
      <c r="A349" s="94" t="s">
        <v>947</v>
      </c>
      <c r="B349" s="120">
        <v>3</v>
      </c>
    </row>
    <row r="350" spans="1:2" x14ac:dyDescent="0.3">
      <c r="A350" s="94" t="s">
        <v>1058</v>
      </c>
      <c r="B350" s="120">
        <v>3</v>
      </c>
    </row>
    <row r="351" spans="1:2" x14ac:dyDescent="0.3">
      <c r="A351" s="94" t="s">
        <v>844</v>
      </c>
      <c r="B351" s="120">
        <v>3</v>
      </c>
    </row>
    <row r="352" spans="1:2" x14ac:dyDescent="0.3">
      <c r="A352" s="94" t="s">
        <v>922</v>
      </c>
      <c r="B352" s="120">
        <v>3</v>
      </c>
    </row>
    <row r="353" spans="1:2" x14ac:dyDescent="0.3">
      <c r="A353" s="94" t="s">
        <v>948</v>
      </c>
      <c r="B353" s="120">
        <v>3</v>
      </c>
    </row>
    <row r="354" spans="1:2" x14ac:dyDescent="0.3">
      <c r="A354" s="94" t="s">
        <v>1059</v>
      </c>
      <c r="B354" s="120">
        <v>3</v>
      </c>
    </row>
    <row r="355" spans="1:2" x14ac:dyDescent="0.3">
      <c r="A355" s="94" t="s">
        <v>874</v>
      </c>
      <c r="B355" s="120">
        <v>3</v>
      </c>
    </row>
    <row r="356" spans="1:2" x14ac:dyDescent="0.3">
      <c r="A356" s="94" t="s">
        <v>1114</v>
      </c>
      <c r="B356" s="120">
        <v>3</v>
      </c>
    </row>
    <row r="357" spans="1:2" x14ac:dyDescent="0.3">
      <c r="A357" s="94" t="s">
        <v>1129</v>
      </c>
      <c r="B357" s="120">
        <v>3</v>
      </c>
    </row>
    <row r="358" spans="1:2" x14ac:dyDescent="0.3">
      <c r="A358" s="94" t="s">
        <v>1191</v>
      </c>
      <c r="B358" s="120">
        <v>3</v>
      </c>
    </row>
    <row r="359" spans="1:2" x14ac:dyDescent="0.3">
      <c r="A359" s="94" t="s">
        <v>1032</v>
      </c>
      <c r="B359" s="120">
        <v>3</v>
      </c>
    </row>
    <row r="360" spans="1:2" x14ac:dyDescent="0.3">
      <c r="A360" s="94" t="s">
        <v>1227</v>
      </c>
      <c r="B360" s="120">
        <v>3</v>
      </c>
    </row>
    <row r="361" spans="1:2" x14ac:dyDescent="0.3">
      <c r="A361" s="94" t="s">
        <v>988</v>
      </c>
      <c r="B361" s="120">
        <v>3</v>
      </c>
    </row>
    <row r="362" spans="1:2" x14ac:dyDescent="0.3">
      <c r="A362" s="94" t="s">
        <v>951</v>
      </c>
      <c r="B362" s="120">
        <v>3</v>
      </c>
    </row>
    <row r="363" spans="1:2" x14ac:dyDescent="0.3">
      <c r="A363" s="94" t="s">
        <v>1192</v>
      </c>
      <c r="B363" s="120">
        <v>3</v>
      </c>
    </row>
    <row r="364" spans="1:2" x14ac:dyDescent="0.3">
      <c r="A364" s="94" t="s">
        <v>1160</v>
      </c>
      <c r="B364" s="120">
        <v>3</v>
      </c>
    </row>
    <row r="365" spans="1:2" x14ac:dyDescent="0.3">
      <c r="A365" s="94" t="s">
        <v>1101</v>
      </c>
      <c r="B365" s="120">
        <v>3</v>
      </c>
    </row>
    <row r="366" spans="1:2" x14ac:dyDescent="0.3">
      <c r="A366" s="94" t="s">
        <v>1003</v>
      </c>
      <c r="B366" s="120">
        <v>3</v>
      </c>
    </row>
    <row r="367" spans="1:2" x14ac:dyDescent="0.3">
      <c r="A367" s="94" t="s">
        <v>1239</v>
      </c>
      <c r="B367" s="120">
        <v>3</v>
      </c>
    </row>
    <row r="368" spans="1:2" x14ac:dyDescent="0.3">
      <c r="A368" s="94" t="s">
        <v>1144</v>
      </c>
      <c r="B368" s="120">
        <v>2</v>
      </c>
    </row>
    <row r="369" spans="1:2" x14ac:dyDescent="0.3">
      <c r="A369" s="94" t="s">
        <v>1145</v>
      </c>
      <c r="B369" s="120">
        <v>2</v>
      </c>
    </row>
    <row r="370" spans="1:2" x14ac:dyDescent="0.3">
      <c r="A370" s="94" t="s">
        <v>1123</v>
      </c>
      <c r="B370" s="120">
        <v>2</v>
      </c>
    </row>
    <row r="371" spans="1:2" x14ac:dyDescent="0.3">
      <c r="A371" s="94" t="s">
        <v>1091</v>
      </c>
      <c r="B371" s="120">
        <v>2</v>
      </c>
    </row>
    <row r="372" spans="1:2" x14ac:dyDescent="0.3">
      <c r="A372" s="94" t="s">
        <v>985</v>
      </c>
      <c r="B372" s="120">
        <v>2</v>
      </c>
    </row>
    <row r="373" spans="1:2" x14ac:dyDescent="0.3">
      <c r="A373" s="94" t="s">
        <v>856</v>
      </c>
      <c r="B373" s="120">
        <v>2</v>
      </c>
    </row>
    <row r="374" spans="1:2" x14ac:dyDescent="0.3">
      <c r="A374" s="94" t="s">
        <v>854</v>
      </c>
      <c r="B374" s="120">
        <v>2</v>
      </c>
    </row>
    <row r="375" spans="1:2" x14ac:dyDescent="0.3">
      <c r="A375" s="94" t="s">
        <v>1163</v>
      </c>
      <c r="B375" s="120">
        <v>2</v>
      </c>
    </row>
    <row r="376" spans="1:2" x14ac:dyDescent="0.3">
      <c r="A376" s="94" t="s">
        <v>934</v>
      </c>
      <c r="B376" s="120">
        <v>2</v>
      </c>
    </row>
    <row r="377" spans="1:2" x14ac:dyDescent="0.3">
      <c r="A377" s="94" t="s">
        <v>990</v>
      </c>
      <c r="B377" s="120">
        <v>2</v>
      </c>
    </row>
    <row r="378" spans="1:2" x14ac:dyDescent="0.3">
      <c r="A378" s="94" t="s">
        <v>989</v>
      </c>
      <c r="B378" s="120">
        <v>2</v>
      </c>
    </row>
    <row r="379" spans="1:2" x14ac:dyDescent="0.3">
      <c r="A379" s="94" t="s">
        <v>1060</v>
      </c>
      <c r="B379" s="120">
        <v>2</v>
      </c>
    </row>
    <row r="380" spans="1:2" x14ac:dyDescent="0.3">
      <c r="A380" s="94" t="s">
        <v>916</v>
      </c>
      <c r="B380" s="120">
        <v>2</v>
      </c>
    </row>
    <row r="381" spans="1:2" x14ac:dyDescent="0.3">
      <c r="A381" s="94" t="s">
        <v>845</v>
      </c>
      <c r="B381" s="120">
        <v>2</v>
      </c>
    </row>
    <row r="382" spans="1:2" x14ac:dyDescent="0.3">
      <c r="A382" s="94" t="s">
        <v>1092</v>
      </c>
      <c r="B382" s="120">
        <v>2</v>
      </c>
    </row>
    <row r="383" spans="1:2" x14ac:dyDescent="0.3">
      <c r="A383" s="94" t="s">
        <v>855</v>
      </c>
      <c r="B383" s="120">
        <v>2</v>
      </c>
    </row>
    <row r="384" spans="1:2" x14ac:dyDescent="0.3">
      <c r="A384" s="94" t="s">
        <v>964</v>
      </c>
      <c r="B384" s="120">
        <v>2</v>
      </c>
    </row>
    <row r="385" spans="1:2" x14ac:dyDescent="0.3">
      <c r="A385" s="94" t="s">
        <v>847</v>
      </c>
      <c r="B385" s="120">
        <v>1</v>
      </c>
    </row>
    <row r="386" spans="1:2" x14ac:dyDescent="0.3">
      <c r="A386" s="94" t="s">
        <v>991</v>
      </c>
      <c r="B386" s="120">
        <v>1</v>
      </c>
    </row>
    <row r="387" spans="1:2" x14ac:dyDescent="0.3">
      <c r="A387" s="94" t="s">
        <v>1075</v>
      </c>
      <c r="B387" s="120">
        <v>1</v>
      </c>
    </row>
    <row r="388" spans="1:2" x14ac:dyDescent="0.3">
      <c r="A388" s="94" t="s">
        <v>1074</v>
      </c>
      <c r="B388" s="120">
        <v>1</v>
      </c>
    </row>
    <row r="389" spans="1:2" x14ac:dyDescent="0.3">
      <c r="A389" s="94" t="s">
        <v>885</v>
      </c>
      <c r="B389" s="120">
        <v>0</v>
      </c>
    </row>
    <row r="390" spans="1:2" x14ac:dyDescent="0.3">
      <c r="A390" s="94" t="s">
        <v>1235</v>
      </c>
      <c r="B390" s="120">
        <v>0</v>
      </c>
    </row>
    <row r="391" spans="1:2" x14ac:dyDescent="0.3">
      <c r="A391" s="94" t="s">
        <v>918</v>
      </c>
      <c r="B391" s="120">
        <v>0</v>
      </c>
    </row>
    <row r="392" spans="1:2" x14ac:dyDescent="0.3">
      <c r="A392" s="94" t="s">
        <v>1162</v>
      </c>
      <c r="B392" s="120">
        <v>0</v>
      </c>
    </row>
    <row r="393" spans="1:2" x14ac:dyDescent="0.3">
      <c r="A393" s="94" t="s">
        <v>968</v>
      </c>
      <c r="B393" s="120">
        <v>0</v>
      </c>
    </row>
    <row r="394" spans="1:2" x14ac:dyDescent="0.3">
      <c r="A394" s="94" t="s">
        <v>887</v>
      </c>
      <c r="B394" s="120">
        <v>0</v>
      </c>
    </row>
    <row r="395" spans="1:2" x14ac:dyDescent="0.3">
      <c r="A395" s="94" t="s">
        <v>954</v>
      </c>
      <c r="B395" s="120">
        <v>0</v>
      </c>
    </row>
    <row r="396" spans="1:2" x14ac:dyDescent="0.3">
      <c r="A396" s="94" t="s">
        <v>1047</v>
      </c>
      <c r="B396" s="120">
        <v>0</v>
      </c>
    </row>
    <row r="397" spans="1:2" x14ac:dyDescent="0.3">
      <c r="A397" s="94" t="s">
        <v>984</v>
      </c>
      <c r="B397" s="120">
        <v>0</v>
      </c>
    </row>
    <row r="398" spans="1:2" x14ac:dyDescent="0.3">
      <c r="A398" s="94" t="s">
        <v>1220</v>
      </c>
      <c r="B398" s="120">
        <v>0</v>
      </c>
    </row>
    <row r="399" spans="1:2" x14ac:dyDescent="0.3">
      <c r="A399" s="94" t="s">
        <v>861</v>
      </c>
      <c r="B399" s="120">
        <v>0</v>
      </c>
    </row>
    <row r="400" spans="1:2" x14ac:dyDescent="0.3">
      <c r="A400" s="94" t="s">
        <v>1017</v>
      </c>
      <c r="B400" s="120">
        <v>0</v>
      </c>
    </row>
    <row r="401" spans="1:2" x14ac:dyDescent="0.3">
      <c r="A401" s="94" t="s">
        <v>846</v>
      </c>
      <c r="B401" s="120">
        <v>0</v>
      </c>
    </row>
    <row r="402" spans="1:2" x14ac:dyDescent="0.3">
      <c r="A402" s="94" t="s">
        <v>890</v>
      </c>
      <c r="B402" s="120">
        <v>0</v>
      </c>
    </row>
    <row r="403" spans="1:2" x14ac:dyDescent="0.3">
      <c r="A403" s="94" t="s">
        <v>1050</v>
      </c>
      <c r="B403" s="120">
        <v>0</v>
      </c>
    </row>
    <row r="404" spans="1:2" x14ac:dyDescent="0.3">
      <c r="A404" s="94" t="s">
        <v>1251</v>
      </c>
      <c r="B404" s="120">
        <v>0</v>
      </c>
    </row>
    <row r="405" spans="1:2" x14ac:dyDescent="0.3">
      <c r="A405" s="94" t="s">
        <v>1183</v>
      </c>
      <c r="B405" s="120">
        <v>0</v>
      </c>
    </row>
    <row r="406" spans="1:2" x14ac:dyDescent="0.3">
      <c r="A406" s="94" t="s">
        <v>966</v>
      </c>
      <c r="B406" s="120">
        <v>0</v>
      </c>
    </row>
    <row r="407" spans="1:2" x14ac:dyDescent="0.3">
      <c r="A407" s="94" t="s">
        <v>1027</v>
      </c>
      <c r="B407" s="120">
        <v>0</v>
      </c>
    </row>
    <row r="408" spans="1:2" x14ac:dyDescent="0.3">
      <c r="A408" s="94" t="s">
        <v>965</v>
      </c>
      <c r="B408" s="120">
        <v>0</v>
      </c>
    </row>
    <row r="409" spans="1:2" x14ac:dyDescent="0.3">
      <c r="A409" s="94" t="s">
        <v>1218</v>
      </c>
      <c r="B409" s="120">
        <v>0</v>
      </c>
    </row>
    <row r="410" spans="1:2" x14ac:dyDescent="0.3">
      <c r="A410" s="94" t="s">
        <v>1199</v>
      </c>
      <c r="B410" s="120">
        <v>0</v>
      </c>
    </row>
    <row r="411" spans="1:2" x14ac:dyDescent="0.3">
      <c r="A411" s="94" t="s">
        <v>1021</v>
      </c>
      <c r="B411" s="120">
        <v>0</v>
      </c>
    </row>
    <row r="412" spans="1:2" x14ac:dyDescent="0.3">
      <c r="A412" s="94" t="s">
        <v>926</v>
      </c>
      <c r="B412" s="120">
        <v>0</v>
      </c>
    </row>
    <row r="413" spans="1:2" x14ac:dyDescent="0.3">
      <c r="A413" s="94" t="s">
        <v>903</v>
      </c>
      <c r="B413" s="120">
        <v>0</v>
      </c>
    </row>
    <row r="414" spans="1:2" x14ac:dyDescent="0.3">
      <c r="A414" s="94" t="s">
        <v>1006</v>
      </c>
      <c r="B414" s="120">
        <v>0</v>
      </c>
    </row>
    <row r="415" spans="1:2" x14ac:dyDescent="0.3">
      <c r="A415" s="94" t="s">
        <v>1169</v>
      </c>
      <c r="B415" s="120">
        <v>0</v>
      </c>
    </row>
    <row r="416" spans="1:2" x14ac:dyDescent="0.3">
      <c r="A416" s="94" t="s">
        <v>935</v>
      </c>
      <c r="B416" s="120">
        <v>0</v>
      </c>
    </row>
    <row r="417" spans="1:2" x14ac:dyDescent="0.3">
      <c r="A417" s="94" t="s">
        <v>1040</v>
      </c>
      <c r="B417" s="120">
        <v>0</v>
      </c>
    </row>
    <row r="418" spans="1:2" x14ac:dyDescent="0.3">
      <c r="A418" s="94" t="s">
        <v>921</v>
      </c>
      <c r="B418" s="120">
        <v>0</v>
      </c>
    </row>
    <row r="419" spans="1:2" x14ac:dyDescent="0.3">
      <c r="A419" s="94" t="s">
        <v>891</v>
      </c>
      <c r="B419" s="120">
        <v>0</v>
      </c>
    </row>
    <row r="420" spans="1:2" x14ac:dyDescent="0.3">
      <c r="A420" s="94" t="s">
        <v>917</v>
      </c>
      <c r="B420" s="120">
        <v>0</v>
      </c>
    </row>
    <row r="421" spans="1:2" x14ac:dyDescent="0.3">
      <c r="A421" s="94" t="s">
        <v>1020</v>
      </c>
      <c r="B421" s="120">
        <v>0</v>
      </c>
    </row>
    <row r="422" spans="1:2" x14ac:dyDescent="0.3">
      <c r="A422" s="94" t="s">
        <v>886</v>
      </c>
      <c r="B422" s="120">
        <v>0</v>
      </c>
    </row>
    <row r="423" spans="1:2" x14ac:dyDescent="0.3">
      <c r="A423" s="94" t="s">
        <v>953</v>
      </c>
      <c r="B423" s="120">
        <v>0</v>
      </c>
    </row>
    <row r="424" spans="1:2" x14ac:dyDescent="0.3">
      <c r="A424" s="94" t="s">
        <v>1229</v>
      </c>
      <c r="B424" s="120">
        <v>0</v>
      </c>
    </row>
    <row r="425" spans="1:2" x14ac:dyDescent="0.3">
      <c r="A425" s="94" t="s">
        <v>1236</v>
      </c>
      <c r="B425" s="120">
        <v>0</v>
      </c>
    </row>
    <row r="426" spans="1:2" x14ac:dyDescent="0.3">
      <c r="A426" s="94" t="s">
        <v>995</v>
      </c>
      <c r="B426" s="120">
        <v>0</v>
      </c>
    </row>
    <row r="427" spans="1:2" x14ac:dyDescent="0.3">
      <c r="A427" s="94" t="s">
        <v>1125</v>
      </c>
      <c r="B427" s="120">
        <v>0</v>
      </c>
    </row>
    <row r="428" spans="1:2" x14ac:dyDescent="0.3">
      <c r="A428" s="94" t="s">
        <v>993</v>
      </c>
      <c r="B428" s="120">
        <v>0</v>
      </c>
    </row>
    <row r="429" spans="1:2" x14ac:dyDescent="0.3">
      <c r="A429" s="94" t="s">
        <v>1005</v>
      </c>
      <c r="B429" s="120">
        <v>0</v>
      </c>
    </row>
    <row r="430" spans="1:2" x14ac:dyDescent="0.3">
      <c r="A430" s="94" t="s">
        <v>1184</v>
      </c>
      <c r="B430" s="120">
        <v>0</v>
      </c>
    </row>
    <row r="431" spans="1:2" x14ac:dyDescent="0.3">
      <c r="A431" s="94" t="s">
        <v>1066</v>
      </c>
      <c r="B431" s="120">
        <v>0</v>
      </c>
    </row>
    <row r="432" spans="1:2" x14ac:dyDescent="0.3">
      <c r="A432" s="94" t="s">
        <v>1095</v>
      </c>
      <c r="B432" s="120">
        <v>0</v>
      </c>
    </row>
    <row r="433" spans="1:2" x14ac:dyDescent="0.3">
      <c r="A433" s="94" t="s">
        <v>1203</v>
      </c>
      <c r="B433" s="120">
        <v>0</v>
      </c>
    </row>
    <row r="434" spans="1:2" x14ac:dyDescent="0.3">
      <c r="A434" s="94" t="s">
        <v>1096</v>
      </c>
      <c r="B434" s="120">
        <v>0</v>
      </c>
    </row>
    <row r="435" spans="1:2" x14ac:dyDescent="0.3">
      <c r="A435" s="94" t="s">
        <v>1107</v>
      </c>
      <c r="B435" s="120">
        <v>0</v>
      </c>
    </row>
    <row r="436" spans="1:2" x14ac:dyDescent="0.3">
      <c r="A436" s="94" t="s">
        <v>1258</v>
      </c>
      <c r="B436" s="120">
        <v>0</v>
      </c>
    </row>
    <row r="437" spans="1:2" x14ac:dyDescent="0.3">
      <c r="A437" s="94" t="s">
        <v>857</v>
      </c>
      <c r="B437" s="120">
        <v>0</v>
      </c>
    </row>
    <row r="438" spans="1:2" x14ac:dyDescent="0.3">
      <c r="A438" s="94" t="s">
        <v>1214</v>
      </c>
      <c r="B438" s="120">
        <v>0</v>
      </c>
    </row>
    <row r="439" spans="1:2" x14ac:dyDescent="0.3">
      <c r="A439" s="94" t="s">
        <v>902</v>
      </c>
      <c r="B439" s="120">
        <v>0</v>
      </c>
    </row>
    <row r="440" spans="1:2" x14ac:dyDescent="0.3">
      <c r="A440" s="94" t="s">
        <v>1147</v>
      </c>
      <c r="B440" s="120">
        <v>0</v>
      </c>
    </row>
    <row r="441" spans="1:2" x14ac:dyDescent="0.3">
      <c r="A441" s="94" t="s">
        <v>1228</v>
      </c>
      <c r="B441" s="120">
        <v>0</v>
      </c>
    </row>
    <row r="442" spans="1:2" x14ac:dyDescent="0.3">
      <c r="A442" s="94" t="s">
        <v>1146</v>
      </c>
      <c r="B442" s="120">
        <v>0</v>
      </c>
    </row>
    <row r="443" spans="1:2" x14ac:dyDescent="0.3">
      <c r="A443" s="94" t="s">
        <v>893</v>
      </c>
      <c r="B443" s="120">
        <v>0</v>
      </c>
    </row>
    <row r="444" spans="1:2" x14ac:dyDescent="0.3">
      <c r="A444" s="94" t="s">
        <v>1078</v>
      </c>
      <c r="B444" s="120">
        <v>0</v>
      </c>
    </row>
    <row r="445" spans="1:2" x14ac:dyDescent="0.3">
      <c r="A445" s="94" t="s">
        <v>892</v>
      </c>
      <c r="B445" s="120">
        <v>0</v>
      </c>
    </row>
    <row r="446" spans="1:2" x14ac:dyDescent="0.3">
      <c r="A446" s="94" t="s">
        <v>969</v>
      </c>
      <c r="B446" s="120">
        <v>0</v>
      </c>
    </row>
    <row r="447" spans="1:2" x14ac:dyDescent="0.3">
      <c r="A447" s="94" t="s">
        <v>876</v>
      </c>
      <c r="B447" s="120">
        <v>0</v>
      </c>
    </row>
    <row r="448" spans="1:2" x14ac:dyDescent="0.3">
      <c r="A448" s="94" t="s">
        <v>967</v>
      </c>
      <c r="B448" s="120">
        <v>0</v>
      </c>
    </row>
    <row r="449" spans="1:2" x14ac:dyDescent="0.3">
      <c r="A449" s="94" t="s">
        <v>860</v>
      </c>
      <c r="B449" s="120">
        <v>0</v>
      </c>
    </row>
    <row r="450" spans="1:2" x14ac:dyDescent="0.3">
      <c r="A450" s="94" t="s">
        <v>1130</v>
      </c>
      <c r="B450" s="120">
        <v>0</v>
      </c>
    </row>
    <row r="451" spans="1:2" x14ac:dyDescent="0.3">
      <c r="A451" s="94" t="s">
        <v>992</v>
      </c>
      <c r="B451" s="120">
        <v>0</v>
      </c>
    </row>
    <row r="452" spans="1:2" x14ac:dyDescent="0.3">
      <c r="A452" s="94" t="s">
        <v>936</v>
      </c>
      <c r="B452" s="120">
        <v>0</v>
      </c>
    </row>
    <row r="453" spans="1:2" x14ac:dyDescent="0.3">
      <c r="A453" s="94" t="s">
        <v>923</v>
      </c>
      <c r="B453" s="120">
        <v>0</v>
      </c>
    </row>
    <row r="454" spans="1:2" x14ac:dyDescent="0.3">
      <c r="A454" s="94" t="s">
        <v>1004</v>
      </c>
      <c r="B454" s="120">
        <v>0</v>
      </c>
    </row>
    <row r="455" spans="1:2" x14ac:dyDescent="0.3">
      <c r="A455" s="94" t="s">
        <v>1007</v>
      </c>
      <c r="B455" s="120">
        <v>0</v>
      </c>
    </row>
    <row r="456" spans="1:2" x14ac:dyDescent="0.3">
      <c r="A456" s="94" t="s">
        <v>1019</v>
      </c>
      <c r="B456" s="120">
        <v>0</v>
      </c>
    </row>
    <row r="457" spans="1:2" x14ac:dyDescent="0.3">
      <c r="A457" s="94" t="s">
        <v>1039</v>
      </c>
      <c r="B457" s="120">
        <v>0</v>
      </c>
    </row>
    <row r="458" spans="1:2" x14ac:dyDescent="0.3">
      <c r="A458" s="94" t="s">
        <v>994</v>
      </c>
      <c r="B458" s="120">
        <v>0</v>
      </c>
    </row>
    <row r="459" spans="1:2" x14ac:dyDescent="0.3">
      <c r="A459" s="94" t="s">
        <v>919</v>
      </c>
      <c r="B459" s="120">
        <v>0</v>
      </c>
    </row>
    <row r="460" spans="1:2" x14ac:dyDescent="0.3">
      <c r="A460" s="94" t="s">
        <v>1077</v>
      </c>
      <c r="B460" s="120">
        <v>0</v>
      </c>
    </row>
    <row r="461" spans="1:2" x14ac:dyDescent="0.3">
      <c r="A461" s="94" t="s">
        <v>905</v>
      </c>
      <c r="B461" s="120">
        <v>0</v>
      </c>
    </row>
    <row r="462" spans="1:2" x14ac:dyDescent="0.3">
      <c r="A462" s="94" t="s">
        <v>1243</v>
      </c>
      <c r="B462" s="120">
        <v>0</v>
      </c>
    </row>
    <row r="463" spans="1:2" x14ac:dyDescent="0.3">
      <c r="A463" s="94" t="s">
        <v>858</v>
      </c>
      <c r="B463" s="120">
        <v>0</v>
      </c>
    </row>
    <row r="464" spans="1:2" x14ac:dyDescent="0.3">
      <c r="A464" s="94" t="s">
        <v>1049</v>
      </c>
      <c r="B464" s="120">
        <v>0</v>
      </c>
    </row>
    <row r="465" spans="1:2" x14ac:dyDescent="0.3">
      <c r="A465" s="94" t="s">
        <v>955</v>
      </c>
      <c r="B465" s="120">
        <v>0</v>
      </c>
    </row>
    <row r="466" spans="1:2" x14ac:dyDescent="0.3">
      <c r="A466" s="94" t="s">
        <v>1054</v>
      </c>
      <c r="B466" s="120">
        <v>0</v>
      </c>
    </row>
    <row r="467" spans="1:2" x14ac:dyDescent="0.3">
      <c r="A467" s="94" t="s">
        <v>1153</v>
      </c>
      <c r="B467" s="120">
        <v>0</v>
      </c>
    </row>
    <row r="468" spans="1:2" x14ac:dyDescent="0.3">
      <c r="A468" s="94" t="s">
        <v>1025</v>
      </c>
      <c r="B468" s="120">
        <v>0</v>
      </c>
    </row>
    <row r="469" spans="1:2" x14ac:dyDescent="0.3">
      <c r="A469" s="94" t="s">
        <v>957</v>
      </c>
      <c r="B469" s="120">
        <v>0</v>
      </c>
    </row>
    <row r="470" spans="1:2" x14ac:dyDescent="0.3">
      <c r="A470" s="94" t="s">
        <v>1148</v>
      </c>
      <c r="B470" s="120">
        <v>0</v>
      </c>
    </row>
    <row r="471" spans="1:2" x14ac:dyDescent="0.3">
      <c r="A471" s="94" t="s">
        <v>1033</v>
      </c>
      <c r="B471" s="120">
        <v>0</v>
      </c>
    </row>
    <row r="472" spans="1:2" x14ac:dyDescent="0.3">
      <c r="A472" s="94" t="s">
        <v>1108</v>
      </c>
      <c r="B472" s="120">
        <v>0</v>
      </c>
    </row>
    <row r="473" spans="1:2" x14ac:dyDescent="0.3">
      <c r="A473" s="94" t="s">
        <v>1076</v>
      </c>
      <c r="B473" s="120">
        <v>0</v>
      </c>
    </row>
    <row r="474" spans="1:2" x14ac:dyDescent="0.3">
      <c r="A474" s="94" t="s">
        <v>888</v>
      </c>
      <c r="B474" s="120">
        <v>0</v>
      </c>
    </row>
    <row r="475" spans="1:2" x14ac:dyDescent="0.3">
      <c r="A475" s="94" t="s">
        <v>1026</v>
      </c>
      <c r="B475" s="120">
        <v>0</v>
      </c>
    </row>
    <row r="476" spans="1:2" x14ac:dyDescent="0.3">
      <c r="A476" s="94" t="s">
        <v>1188</v>
      </c>
      <c r="B476" s="120">
        <v>0</v>
      </c>
    </row>
    <row r="477" spans="1:2" x14ac:dyDescent="0.3">
      <c r="A477" s="94" t="s">
        <v>1155</v>
      </c>
      <c r="B477" s="120">
        <v>0</v>
      </c>
    </row>
    <row r="478" spans="1:2" x14ac:dyDescent="0.3">
      <c r="A478" s="94" t="s">
        <v>1231</v>
      </c>
      <c r="B478" s="120">
        <v>0</v>
      </c>
    </row>
    <row r="479" spans="1:2" x14ac:dyDescent="0.3">
      <c r="A479" s="94" t="s">
        <v>1067</v>
      </c>
      <c r="B479" s="120">
        <v>0</v>
      </c>
    </row>
    <row r="480" spans="1:2" x14ac:dyDescent="0.3">
      <c r="A480" s="94" t="s">
        <v>859</v>
      </c>
      <c r="B480" s="120">
        <v>0</v>
      </c>
    </row>
    <row r="481" spans="1:2" x14ac:dyDescent="0.3">
      <c r="A481" s="94" t="s">
        <v>877</v>
      </c>
      <c r="B481" s="120">
        <v>0</v>
      </c>
    </row>
    <row r="482" spans="1:2" x14ac:dyDescent="0.3">
      <c r="A482" s="94" t="s">
        <v>1175</v>
      </c>
      <c r="B482" s="120">
        <v>0</v>
      </c>
    </row>
    <row r="483" spans="1:2" x14ac:dyDescent="0.3">
      <c r="A483" s="94" t="s">
        <v>1202</v>
      </c>
      <c r="B483" s="120">
        <v>0</v>
      </c>
    </row>
    <row r="484" spans="1:2" x14ac:dyDescent="0.3">
      <c r="A484" s="94" t="s">
        <v>1248</v>
      </c>
      <c r="B484" s="120">
        <v>0</v>
      </c>
    </row>
    <row r="485" spans="1:2" x14ac:dyDescent="0.3">
      <c r="A485" s="94" t="s">
        <v>1255</v>
      </c>
      <c r="B485" s="120">
        <v>0</v>
      </c>
    </row>
    <row r="486" spans="1:2" x14ac:dyDescent="0.3">
      <c r="A486" s="94" t="s">
        <v>1257</v>
      </c>
      <c r="B486" s="120">
        <v>0</v>
      </c>
    </row>
    <row r="487" spans="1:2" x14ac:dyDescent="0.3">
      <c r="A487" s="94" t="s">
        <v>1219</v>
      </c>
      <c r="B487" s="120">
        <v>0</v>
      </c>
    </row>
    <row r="488" spans="1:2" x14ac:dyDescent="0.3">
      <c r="A488" s="94" t="s">
        <v>1208</v>
      </c>
      <c r="B488" s="120">
        <v>0</v>
      </c>
    </row>
    <row r="489" spans="1:2" x14ac:dyDescent="0.3">
      <c r="A489" s="94" t="s">
        <v>1247</v>
      </c>
      <c r="B489" s="120">
        <v>0</v>
      </c>
    </row>
    <row r="490" spans="1:2" x14ac:dyDescent="0.3">
      <c r="A490" s="94" t="s">
        <v>904</v>
      </c>
      <c r="B490" s="120">
        <v>0</v>
      </c>
    </row>
    <row r="491" spans="1:2" x14ac:dyDescent="0.3">
      <c r="A491" s="94" t="s">
        <v>924</v>
      </c>
      <c r="B491" s="120">
        <v>0</v>
      </c>
    </row>
    <row r="492" spans="1:2" x14ac:dyDescent="0.3">
      <c r="A492" s="94" t="s">
        <v>862</v>
      </c>
      <c r="B492" s="120">
        <v>0</v>
      </c>
    </row>
    <row r="493" spans="1:2" x14ac:dyDescent="0.3">
      <c r="A493" s="94" t="s">
        <v>1068</v>
      </c>
      <c r="B493" s="120">
        <v>0</v>
      </c>
    </row>
    <row r="494" spans="1:2" x14ac:dyDescent="0.3">
      <c r="A494" s="94" t="s">
        <v>864</v>
      </c>
      <c r="B494" s="120">
        <v>0</v>
      </c>
    </row>
    <row r="495" spans="1:2" x14ac:dyDescent="0.3">
      <c r="A495" s="94" t="s">
        <v>950</v>
      </c>
      <c r="B495" s="120">
        <v>0</v>
      </c>
    </row>
    <row r="496" spans="1:2" x14ac:dyDescent="0.3">
      <c r="A496" s="94" t="s">
        <v>952</v>
      </c>
      <c r="B496" s="120">
        <v>0</v>
      </c>
    </row>
    <row r="497" spans="1:2" x14ac:dyDescent="0.3">
      <c r="A497" s="94" t="s">
        <v>865</v>
      </c>
      <c r="B497" s="120">
        <v>0</v>
      </c>
    </row>
    <row r="498" spans="1:2" x14ac:dyDescent="0.3">
      <c r="A498" s="2" t="s">
        <v>637</v>
      </c>
      <c r="B498" s="120">
        <v>518.00000002000002</v>
      </c>
    </row>
    <row r="499" spans="1:2" x14ac:dyDescent="0.3">
      <c r="A499" s="3" t="s">
        <v>644</v>
      </c>
      <c r="B499" s="120">
        <v>71.000000020000002</v>
      </c>
    </row>
    <row r="500" spans="1:2" x14ac:dyDescent="0.3">
      <c r="A500" s="94" t="s">
        <v>708</v>
      </c>
      <c r="B500" s="120">
        <v>18.000000010000001</v>
      </c>
    </row>
    <row r="501" spans="1:2" x14ac:dyDescent="0.3">
      <c r="A501" s="94" t="s">
        <v>761</v>
      </c>
      <c r="B501" s="120">
        <v>16.000000010000001</v>
      </c>
    </row>
    <row r="502" spans="1:2" x14ac:dyDescent="0.3">
      <c r="A502" s="94" t="s">
        <v>760</v>
      </c>
      <c r="B502" s="120">
        <v>9</v>
      </c>
    </row>
    <row r="503" spans="1:2" x14ac:dyDescent="0.3">
      <c r="A503" s="94" t="s">
        <v>763</v>
      </c>
      <c r="B503" s="120">
        <v>6</v>
      </c>
    </row>
    <row r="504" spans="1:2" x14ac:dyDescent="0.3">
      <c r="A504" s="94" t="s">
        <v>766</v>
      </c>
      <c r="B504" s="120">
        <v>6</v>
      </c>
    </row>
    <row r="505" spans="1:2" x14ac:dyDescent="0.3">
      <c r="A505" s="94" t="s">
        <v>706</v>
      </c>
      <c r="B505" s="120">
        <v>5</v>
      </c>
    </row>
    <row r="506" spans="1:2" x14ac:dyDescent="0.3">
      <c r="A506" s="94" t="s">
        <v>767</v>
      </c>
      <c r="B506" s="120">
        <v>4</v>
      </c>
    </row>
    <row r="507" spans="1:2" x14ac:dyDescent="0.3">
      <c r="A507" s="94" t="s">
        <v>709</v>
      </c>
      <c r="B507" s="120">
        <v>4</v>
      </c>
    </row>
    <row r="508" spans="1:2" x14ac:dyDescent="0.3">
      <c r="A508" s="94" t="s">
        <v>764</v>
      </c>
      <c r="B508" s="120">
        <v>3</v>
      </c>
    </row>
    <row r="509" spans="1:2" x14ac:dyDescent="0.3">
      <c r="A509" s="94" t="s">
        <v>762</v>
      </c>
      <c r="B509" s="120">
        <v>0</v>
      </c>
    </row>
    <row r="510" spans="1:2" x14ac:dyDescent="0.3">
      <c r="A510" s="94" t="s">
        <v>710</v>
      </c>
      <c r="B510" s="120">
        <v>0</v>
      </c>
    </row>
    <row r="511" spans="1:2" x14ac:dyDescent="0.3">
      <c r="A511" s="94" t="s">
        <v>765</v>
      </c>
      <c r="B511" s="120">
        <v>0</v>
      </c>
    </row>
    <row r="512" spans="1:2" x14ac:dyDescent="0.3">
      <c r="A512" s="94" t="s">
        <v>768</v>
      </c>
      <c r="B512" s="120">
        <v>0</v>
      </c>
    </row>
    <row r="513" spans="1:2" x14ac:dyDescent="0.3">
      <c r="A513" s="94" t="s">
        <v>720</v>
      </c>
      <c r="B513" s="120">
        <v>0</v>
      </c>
    </row>
    <row r="514" spans="1:2" x14ac:dyDescent="0.3">
      <c r="A514" s="3" t="s">
        <v>645</v>
      </c>
      <c r="B514" s="120">
        <v>447</v>
      </c>
    </row>
    <row r="515" spans="1:2" x14ac:dyDescent="0.3">
      <c r="A515" s="94" t="s">
        <v>1259</v>
      </c>
      <c r="B515" s="120">
        <v>27</v>
      </c>
    </row>
    <row r="516" spans="1:2" x14ac:dyDescent="0.3">
      <c r="A516" s="94" t="s">
        <v>1270</v>
      </c>
      <c r="B516" s="120">
        <v>26</v>
      </c>
    </row>
    <row r="517" spans="1:2" x14ac:dyDescent="0.3">
      <c r="A517" s="94" t="s">
        <v>1260</v>
      </c>
      <c r="B517" s="120">
        <v>25</v>
      </c>
    </row>
    <row r="518" spans="1:2" x14ac:dyDescent="0.3">
      <c r="A518" s="94" t="s">
        <v>1268</v>
      </c>
      <c r="B518" s="120">
        <v>20</v>
      </c>
    </row>
    <row r="519" spans="1:2" x14ac:dyDescent="0.3">
      <c r="A519" s="94" t="s">
        <v>1272</v>
      </c>
      <c r="B519" s="120">
        <v>19</v>
      </c>
    </row>
    <row r="520" spans="1:2" x14ac:dyDescent="0.3">
      <c r="A520" s="94" t="s">
        <v>1275</v>
      </c>
      <c r="B520" s="120">
        <v>19</v>
      </c>
    </row>
    <row r="521" spans="1:2" x14ac:dyDescent="0.3">
      <c r="A521" s="94" t="s">
        <v>1273</v>
      </c>
      <c r="B521" s="120">
        <v>16</v>
      </c>
    </row>
    <row r="522" spans="1:2" x14ac:dyDescent="0.3">
      <c r="A522" s="94" t="s">
        <v>1269</v>
      </c>
      <c r="B522" s="120">
        <v>16</v>
      </c>
    </row>
    <row r="523" spans="1:2" x14ac:dyDescent="0.3">
      <c r="A523" s="94" t="s">
        <v>1281</v>
      </c>
      <c r="B523" s="120">
        <v>15</v>
      </c>
    </row>
    <row r="524" spans="1:2" x14ac:dyDescent="0.3">
      <c r="A524" s="94" t="s">
        <v>1264</v>
      </c>
      <c r="B524" s="120">
        <v>15</v>
      </c>
    </row>
    <row r="525" spans="1:2" x14ac:dyDescent="0.3">
      <c r="A525" s="94" t="s">
        <v>1278</v>
      </c>
      <c r="B525" s="120">
        <v>13</v>
      </c>
    </row>
    <row r="526" spans="1:2" x14ac:dyDescent="0.3">
      <c r="A526" s="94" t="s">
        <v>1285</v>
      </c>
      <c r="B526" s="120">
        <v>13</v>
      </c>
    </row>
    <row r="527" spans="1:2" x14ac:dyDescent="0.3">
      <c r="A527" s="94" t="s">
        <v>1286</v>
      </c>
      <c r="B527" s="120">
        <v>12</v>
      </c>
    </row>
    <row r="528" spans="1:2" x14ac:dyDescent="0.3">
      <c r="A528" s="94" t="s">
        <v>1296</v>
      </c>
      <c r="B528" s="120">
        <v>12</v>
      </c>
    </row>
    <row r="529" spans="1:2" x14ac:dyDescent="0.3">
      <c r="A529" s="94" t="s">
        <v>1276</v>
      </c>
      <c r="B529" s="120">
        <v>11</v>
      </c>
    </row>
    <row r="530" spans="1:2" x14ac:dyDescent="0.3">
      <c r="A530" s="94" t="s">
        <v>1302</v>
      </c>
      <c r="B530" s="120">
        <v>11</v>
      </c>
    </row>
    <row r="531" spans="1:2" x14ac:dyDescent="0.3">
      <c r="A531" s="94" t="s">
        <v>1265</v>
      </c>
      <c r="B531" s="120">
        <v>11</v>
      </c>
    </row>
    <row r="532" spans="1:2" x14ac:dyDescent="0.3">
      <c r="A532" s="94" t="s">
        <v>1292</v>
      </c>
      <c r="B532" s="120">
        <v>10</v>
      </c>
    </row>
    <row r="533" spans="1:2" x14ac:dyDescent="0.3">
      <c r="A533" s="94" t="s">
        <v>1297</v>
      </c>
      <c r="B533" s="120">
        <v>9</v>
      </c>
    </row>
    <row r="534" spans="1:2" x14ac:dyDescent="0.3">
      <c r="A534" s="94" t="s">
        <v>1261</v>
      </c>
      <c r="B534" s="120">
        <v>9</v>
      </c>
    </row>
    <row r="535" spans="1:2" x14ac:dyDescent="0.3">
      <c r="A535" s="94" t="s">
        <v>1289</v>
      </c>
      <c r="B535" s="120">
        <v>9</v>
      </c>
    </row>
    <row r="536" spans="1:2" x14ac:dyDescent="0.3">
      <c r="A536" s="94" t="s">
        <v>1298</v>
      </c>
      <c r="B536" s="120">
        <v>8</v>
      </c>
    </row>
    <row r="537" spans="1:2" x14ac:dyDescent="0.3">
      <c r="A537" s="94" t="s">
        <v>1282</v>
      </c>
      <c r="B537" s="120">
        <v>7</v>
      </c>
    </row>
    <row r="538" spans="1:2" x14ac:dyDescent="0.3">
      <c r="A538" s="94" t="s">
        <v>1293</v>
      </c>
      <c r="B538" s="120">
        <v>7</v>
      </c>
    </row>
    <row r="539" spans="1:2" x14ac:dyDescent="0.3">
      <c r="A539" s="94" t="s">
        <v>1299</v>
      </c>
      <c r="B539" s="120">
        <v>7</v>
      </c>
    </row>
    <row r="540" spans="1:2" x14ac:dyDescent="0.3">
      <c r="A540" s="94" t="s">
        <v>1283</v>
      </c>
      <c r="B540" s="120">
        <v>6</v>
      </c>
    </row>
    <row r="541" spans="1:2" x14ac:dyDescent="0.3">
      <c r="A541" s="94" t="s">
        <v>1312</v>
      </c>
      <c r="B541" s="120">
        <v>6</v>
      </c>
    </row>
    <row r="542" spans="1:2" x14ac:dyDescent="0.3">
      <c r="A542" s="94" t="s">
        <v>1287</v>
      </c>
      <c r="B542" s="120">
        <v>6</v>
      </c>
    </row>
    <row r="543" spans="1:2" x14ac:dyDescent="0.3">
      <c r="A543" s="94" t="s">
        <v>1277</v>
      </c>
      <c r="B543" s="120">
        <v>6</v>
      </c>
    </row>
    <row r="544" spans="1:2" x14ac:dyDescent="0.3">
      <c r="A544" s="94" t="s">
        <v>1267</v>
      </c>
      <c r="B544" s="120">
        <v>6</v>
      </c>
    </row>
    <row r="545" spans="1:2" x14ac:dyDescent="0.3">
      <c r="A545" s="94" t="s">
        <v>1262</v>
      </c>
      <c r="B545" s="120">
        <v>6</v>
      </c>
    </row>
    <row r="546" spans="1:2" x14ac:dyDescent="0.3">
      <c r="A546" s="94" t="s">
        <v>1304</v>
      </c>
      <c r="B546" s="120">
        <v>6</v>
      </c>
    </row>
    <row r="547" spans="1:2" x14ac:dyDescent="0.3">
      <c r="A547" s="94" t="s">
        <v>1266</v>
      </c>
      <c r="B547" s="120">
        <v>6</v>
      </c>
    </row>
    <row r="548" spans="1:2" x14ac:dyDescent="0.3">
      <c r="A548" s="94" t="s">
        <v>1300</v>
      </c>
      <c r="B548" s="120">
        <v>5</v>
      </c>
    </row>
    <row r="549" spans="1:2" x14ac:dyDescent="0.3">
      <c r="A549" s="94" t="s">
        <v>1307</v>
      </c>
      <c r="B549" s="120">
        <v>4</v>
      </c>
    </row>
    <row r="550" spans="1:2" x14ac:dyDescent="0.3">
      <c r="A550" s="94" t="s">
        <v>1274</v>
      </c>
      <c r="B550" s="120">
        <v>4</v>
      </c>
    </row>
    <row r="551" spans="1:2" x14ac:dyDescent="0.3">
      <c r="A551" s="94" t="s">
        <v>1306</v>
      </c>
      <c r="B551" s="120">
        <v>4</v>
      </c>
    </row>
    <row r="552" spans="1:2" x14ac:dyDescent="0.3">
      <c r="A552" s="94" t="s">
        <v>1311</v>
      </c>
      <c r="B552" s="120">
        <v>4</v>
      </c>
    </row>
    <row r="553" spans="1:2" x14ac:dyDescent="0.3">
      <c r="A553" s="94" t="s">
        <v>1271</v>
      </c>
      <c r="B553" s="120">
        <v>3</v>
      </c>
    </row>
    <row r="554" spans="1:2" x14ac:dyDescent="0.3">
      <c r="A554" s="94" t="s">
        <v>1316</v>
      </c>
      <c r="B554" s="120">
        <v>3</v>
      </c>
    </row>
    <row r="555" spans="1:2" x14ac:dyDescent="0.3">
      <c r="A555" s="94" t="s">
        <v>1305</v>
      </c>
      <c r="B555" s="120">
        <v>3</v>
      </c>
    </row>
    <row r="556" spans="1:2" x14ac:dyDescent="0.3">
      <c r="A556" s="94" t="s">
        <v>1263</v>
      </c>
      <c r="B556" s="120">
        <v>3</v>
      </c>
    </row>
    <row r="557" spans="1:2" x14ac:dyDescent="0.3">
      <c r="A557" s="94" t="s">
        <v>1314</v>
      </c>
      <c r="B557" s="120">
        <v>3</v>
      </c>
    </row>
    <row r="558" spans="1:2" x14ac:dyDescent="0.3">
      <c r="A558" s="94" t="s">
        <v>1294</v>
      </c>
      <c r="B558" s="120">
        <v>3</v>
      </c>
    </row>
    <row r="559" spans="1:2" x14ac:dyDescent="0.3">
      <c r="A559" s="94" t="s">
        <v>1279</v>
      </c>
      <c r="B559" s="120">
        <v>3</v>
      </c>
    </row>
    <row r="560" spans="1:2" x14ac:dyDescent="0.3">
      <c r="A560" s="94" t="s">
        <v>1288</v>
      </c>
      <c r="B560" s="120">
        <v>3</v>
      </c>
    </row>
    <row r="561" spans="1:2" x14ac:dyDescent="0.3">
      <c r="A561" s="94" t="s">
        <v>1313</v>
      </c>
      <c r="B561" s="120">
        <v>3</v>
      </c>
    </row>
    <row r="562" spans="1:2" x14ac:dyDescent="0.3">
      <c r="A562" s="94" t="s">
        <v>1301</v>
      </c>
      <c r="B562" s="120">
        <v>2</v>
      </c>
    </row>
    <row r="563" spans="1:2" x14ac:dyDescent="0.3">
      <c r="A563" s="94" t="s">
        <v>1308</v>
      </c>
      <c r="B563" s="120">
        <v>2</v>
      </c>
    </row>
    <row r="564" spans="1:2" x14ac:dyDescent="0.3">
      <c r="A564" s="94" t="s">
        <v>1284</v>
      </c>
      <c r="B564" s="120">
        <v>0</v>
      </c>
    </row>
    <row r="565" spans="1:2" x14ac:dyDescent="0.3">
      <c r="A565" s="94" t="s">
        <v>1295</v>
      </c>
      <c r="B565" s="120">
        <v>0</v>
      </c>
    </row>
    <row r="566" spans="1:2" x14ac:dyDescent="0.3">
      <c r="A566" s="94" t="s">
        <v>1310</v>
      </c>
      <c r="B566" s="120">
        <v>0</v>
      </c>
    </row>
    <row r="567" spans="1:2" x14ac:dyDescent="0.3">
      <c r="A567" s="94" t="s">
        <v>1317</v>
      </c>
      <c r="B567" s="120">
        <v>0</v>
      </c>
    </row>
    <row r="568" spans="1:2" x14ac:dyDescent="0.3">
      <c r="A568" s="94" t="s">
        <v>1318</v>
      </c>
      <c r="B568" s="120">
        <v>0</v>
      </c>
    </row>
    <row r="569" spans="1:2" x14ac:dyDescent="0.3">
      <c r="A569" s="94" t="s">
        <v>1280</v>
      </c>
      <c r="B569" s="120">
        <v>0</v>
      </c>
    </row>
    <row r="570" spans="1:2" x14ac:dyDescent="0.3">
      <c r="A570" s="94" t="s">
        <v>1320</v>
      </c>
      <c r="B570" s="120">
        <v>0</v>
      </c>
    </row>
    <row r="571" spans="1:2" x14ac:dyDescent="0.3">
      <c r="A571" s="94" t="s">
        <v>1291</v>
      </c>
      <c r="B571" s="120">
        <v>0</v>
      </c>
    </row>
    <row r="572" spans="1:2" x14ac:dyDescent="0.3">
      <c r="A572" s="94" t="s">
        <v>1319</v>
      </c>
      <c r="B572" s="120">
        <v>0</v>
      </c>
    </row>
    <row r="573" spans="1:2" x14ac:dyDescent="0.3">
      <c r="A573" s="94" t="s">
        <v>768</v>
      </c>
      <c r="B573" s="120">
        <v>0</v>
      </c>
    </row>
    <row r="574" spans="1:2" x14ac:dyDescent="0.3">
      <c r="A574" s="94" t="s">
        <v>1303</v>
      </c>
      <c r="B574" s="120">
        <v>0</v>
      </c>
    </row>
    <row r="575" spans="1:2" x14ac:dyDescent="0.3">
      <c r="A575" s="94" t="s">
        <v>1290</v>
      </c>
      <c r="B575" s="120">
        <v>0</v>
      </c>
    </row>
    <row r="576" spans="1:2" x14ac:dyDescent="0.3">
      <c r="A576" s="94" t="s">
        <v>1309</v>
      </c>
      <c r="B576" s="120">
        <v>0</v>
      </c>
    </row>
    <row r="577" spans="1:2" x14ac:dyDescent="0.3">
      <c r="A577" s="94" t="s">
        <v>1315</v>
      </c>
      <c r="B577" s="120">
        <v>0</v>
      </c>
    </row>
    <row r="578" spans="1:2" x14ac:dyDescent="0.3">
      <c r="A578" s="2" t="s">
        <v>164</v>
      </c>
      <c r="B578" s="120">
        <v>4100.9000000799997</v>
      </c>
    </row>
    <row r="579" spans="1:2" x14ac:dyDescent="0.3">
      <c r="B579"/>
    </row>
    <row r="580" spans="1:2" x14ac:dyDescent="0.3">
      <c r="B580"/>
    </row>
    <row r="581" spans="1:2" x14ac:dyDescent="0.3">
      <c r="B581"/>
    </row>
    <row r="582" spans="1:2" x14ac:dyDescent="0.3">
      <c r="B582"/>
    </row>
    <row r="583" spans="1:2" x14ac:dyDescent="0.3">
      <c r="B583"/>
    </row>
    <row r="584" spans="1:2" x14ac:dyDescent="0.3">
      <c r="B584"/>
    </row>
    <row r="585" spans="1:2" x14ac:dyDescent="0.3">
      <c r="B585"/>
    </row>
    <row r="586" spans="1:2" x14ac:dyDescent="0.3">
      <c r="B586"/>
    </row>
    <row r="587" spans="1:2" x14ac:dyDescent="0.3">
      <c r="B587"/>
    </row>
    <row r="588" spans="1:2" x14ac:dyDescent="0.3">
      <c r="B588"/>
    </row>
    <row r="589" spans="1:2" x14ac:dyDescent="0.3">
      <c r="B589"/>
    </row>
    <row r="590" spans="1:2" x14ac:dyDescent="0.3">
      <c r="B590"/>
    </row>
    <row r="591" spans="1:2" x14ac:dyDescent="0.3">
      <c r="B591"/>
    </row>
    <row r="592" spans="1:2" x14ac:dyDescent="0.3">
      <c r="B592"/>
    </row>
    <row r="593" spans="2:2" x14ac:dyDescent="0.3">
      <c r="B593"/>
    </row>
    <row r="594" spans="2:2" x14ac:dyDescent="0.3">
      <c r="B594"/>
    </row>
    <row r="595" spans="2:2" x14ac:dyDescent="0.3">
      <c r="B595"/>
    </row>
    <row r="596" spans="2:2" x14ac:dyDescent="0.3">
      <c r="B596"/>
    </row>
    <row r="597" spans="2:2" x14ac:dyDescent="0.3">
      <c r="B597"/>
    </row>
    <row r="598" spans="2:2" x14ac:dyDescent="0.3">
      <c r="B598"/>
    </row>
    <row r="599" spans="2:2" x14ac:dyDescent="0.3">
      <c r="B599"/>
    </row>
    <row r="600" spans="2:2" x14ac:dyDescent="0.3">
      <c r="B600"/>
    </row>
    <row r="601" spans="2:2" x14ac:dyDescent="0.3">
      <c r="B601"/>
    </row>
    <row r="602" spans="2:2" x14ac:dyDescent="0.3">
      <c r="B602"/>
    </row>
    <row r="603" spans="2:2" x14ac:dyDescent="0.3">
      <c r="B603"/>
    </row>
    <row r="604" spans="2:2" x14ac:dyDescent="0.3">
      <c r="B604"/>
    </row>
    <row r="605" spans="2:2" x14ac:dyDescent="0.3">
      <c r="B605"/>
    </row>
    <row r="606" spans="2:2" x14ac:dyDescent="0.3">
      <c r="B606"/>
    </row>
    <row r="607" spans="2:2" x14ac:dyDescent="0.3">
      <c r="B607"/>
    </row>
    <row r="608" spans="2:2" x14ac:dyDescent="0.3">
      <c r="B608"/>
    </row>
    <row r="609" spans="2:2" x14ac:dyDescent="0.3">
      <c r="B609"/>
    </row>
    <row r="610" spans="2:2" x14ac:dyDescent="0.3">
      <c r="B610"/>
    </row>
    <row r="611" spans="2:2" x14ac:dyDescent="0.3">
      <c r="B611"/>
    </row>
    <row r="612" spans="2:2" x14ac:dyDescent="0.3">
      <c r="B612"/>
    </row>
    <row r="613" spans="2:2" x14ac:dyDescent="0.3">
      <c r="B613"/>
    </row>
    <row r="614" spans="2:2" x14ac:dyDescent="0.3">
      <c r="B614"/>
    </row>
    <row r="615" spans="2:2" x14ac:dyDescent="0.3">
      <c r="B615"/>
    </row>
    <row r="616" spans="2:2" x14ac:dyDescent="0.3">
      <c r="B616"/>
    </row>
    <row r="617" spans="2:2" x14ac:dyDescent="0.3">
      <c r="B617"/>
    </row>
    <row r="618" spans="2:2" x14ac:dyDescent="0.3">
      <c r="B618"/>
    </row>
    <row r="619" spans="2:2" x14ac:dyDescent="0.3">
      <c r="B619"/>
    </row>
    <row r="620" spans="2:2" x14ac:dyDescent="0.3">
      <c r="B620"/>
    </row>
    <row r="621" spans="2:2" x14ac:dyDescent="0.3">
      <c r="B621"/>
    </row>
    <row r="622" spans="2:2" x14ac:dyDescent="0.3">
      <c r="B622"/>
    </row>
    <row r="623" spans="2:2" x14ac:dyDescent="0.3">
      <c r="B623"/>
    </row>
    <row r="624" spans="2:2" x14ac:dyDescent="0.3">
      <c r="B624"/>
    </row>
    <row r="625" spans="2:2" x14ac:dyDescent="0.3">
      <c r="B625"/>
    </row>
    <row r="626" spans="2:2" x14ac:dyDescent="0.3">
      <c r="B626"/>
    </row>
    <row r="627" spans="2:2" x14ac:dyDescent="0.3">
      <c r="B627"/>
    </row>
    <row r="628" spans="2:2" x14ac:dyDescent="0.3">
      <c r="B628"/>
    </row>
    <row r="629" spans="2:2" x14ac:dyDescent="0.3">
      <c r="B629"/>
    </row>
    <row r="630" spans="2:2" x14ac:dyDescent="0.3">
      <c r="B630"/>
    </row>
    <row r="631" spans="2:2" x14ac:dyDescent="0.3">
      <c r="B631"/>
    </row>
    <row r="632" spans="2:2" x14ac:dyDescent="0.3">
      <c r="B632"/>
    </row>
    <row r="633" spans="2:2" x14ac:dyDescent="0.3">
      <c r="B633"/>
    </row>
    <row r="634" spans="2:2" x14ac:dyDescent="0.3">
      <c r="B634"/>
    </row>
    <row r="635" spans="2:2" x14ac:dyDescent="0.3">
      <c r="B635"/>
    </row>
    <row r="636" spans="2:2" x14ac:dyDescent="0.3">
      <c r="B636"/>
    </row>
    <row r="637" spans="2:2" x14ac:dyDescent="0.3">
      <c r="B637"/>
    </row>
    <row r="638" spans="2:2" x14ac:dyDescent="0.3">
      <c r="B638"/>
    </row>
    <row r="639" spans="2:2" x14ac:dyDescent="0.3">
      <c r="B639"/>
    </row>
    <row r="640" spans="2:2" x14ac:dyDescent="0.3">
      <c r="B640"/>
    </row>
    <row r="641" spans="2:2" x14ac:dyDescent="0.3">
      <c r="B641"/>
    </row>
    <row r="642" spans="2:2" x14ac:dyDescent="0.3">
      <c r="B642"/>
    </row>
    <row r="643" spans="2:2" x14ac:dyDescent="0.3">
      <c r="B643"/>
    </row>
    <row r="644" spans="2:2" x14ac:dyDescent="0.3">
      <c r="B644"/>
    </row>
  </sheetData>
  <mergeCells count="1">
    <mergeCell ref="A1:B1"/>
  </mergeCells>
  <pageMargins left="0.7" right="0.7" top="0.75" bottom="0.75" header="0.3" footer="0.3"/>
  <pageSetup paperSize="9" orientation="portrait" verticalDpi="0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N85"/>
  <sheetViews>
    <sheetView zoomScaleNormal="100" workbookViewId="0">
      <selection activeCell="R20" sqref="R20"/>
    </sheetView>
  </sheetViews>
  <sheetFormatPr defaultRowHeight="14.4" x14ac:dyDescent="0.3"/>
  <cols>
    <col min="1" max="1" width="6" customWidth="1"/>
    <col min="2" max="2" width="15.44140625" customWidth="1"/>
    <col min="3" max="14" width="7.77734375" customWidth="1"/>
  </cols>
  <sheetData>
    <row r="1" spans="1:14" ht="21" x14ac:dyDescent="0.3">
      <c r="A1" s="210" t="s">
        <v>173</v>
      </c>
      <c r="B1" s="210"/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</row>
    <row r="2" spans="1:14" ht="20.55" x14ac:dyDescent="0.3">
      <c r="A2" s="4"/>
      <c r="B2" s="4"/>
      <c r="E2" s="5"/>
      <c r="F2" s="4"/>
      <c r="G2" s="4"/>
      <c r="H2" s="4"/>
      <c r="I2" s="4"/>
      <c r="J2" s="4"/>
    </row>
    <row r="3" spans="1:14" x14ac:dyDescent="0.3">
      <c r="A3" s="211" t="s">
        <v>174</v>
      </c>
      <c r="B3" s="212"/>
      <c r="C3" s="212"/>
      <c r="D3" s="212"/>
      <c r="E3" s="212"/>
      <c r="F3" s="212"/>
      <c r="G3" s="212"/>
      <c r="H3" s="212"/>
      <c r="I3" s="212"/>
      <c r="J3" s="212"/>
    </row>
    <row r="4" spans="1:14" ht="14.85" x14ac:dyDescent="0.3">
      <c r="A4" s="6"/>
      <c r="B4" s="7"/>
      <c r="C4" s="7"/>
      <c r="D4" s="7"/>
      <c r="E4" s="7"/>
      <c r="F4" s="7"/>
      <c r="G4" s="7"/>
      <c r="H4" s="7"/>
      <c r="I4" s="7"/>
      <c r="J4" s="7"/>
    </row>
    <row r="5" spans="1:14" x14ac:dyDescent="0.3">
      <c r="A5" s="8" t="s">
        <v>175</v>
      </c>
      <c r="B5" s="7"/>
      <c r="C5" s="9"/>
      <c r="D5" s="7"/>
      <c r="E5" s="7"/>
      <c r="F5" s="7"/>
      <c r="G5" s="7"/>
      <c r="H5" s="7"/>
      <c r="I5" s="7"/>
      <c r="J5" s="7"/>
    </row>
    <row r="6" spans="1:14" x14ac:dyDescent="0.3">
      <c r="A6" s="8" t="s">
        <v>176</v>
      </c>
      <c r="B6" s="7"/>
      <c r="C6" s="9"/>
      <c r="D6" s="7"/>
      <c r="E6" s="7"/>
      <c r="F6" s="7"/>
      <c r="G6" s="7"/>
      <c r="H6" s="7"/>
      <c r="I6" s="7"/>
      <c r="J6" s="7"/>
    </row>
    <row r="7" spans="1:14" x14ac:dyDescent="0.3">
      <c r="A7" s="8" t="s">
        <v>177</v>
      </c>
      <c r="B7" s="7"/>
      <c r="C7" s="9"/>
      <c r="D7" s="7"/>
      <c r="E7" s="7"/>
      <c r="F7" s="7"/>
      <c r="G7" s="7"/>
      <c r="H7" s="7"/>
      <c r="I7" s="7"/>
      <c r="J7" s="7"/>
    </row>
    <row r="8" spans="1:14" x14ac:dyDescent="0.3">
      <c r="A8" s="8" t="s">
        <v>178</v>
      </c>
      <c r="B8" s="7"/>
      <c r="C8" s="9"/>
      <c r="D8" s="7"/>
      <c r="E8" s="7"/>
      <c r="F8" s="7"/>
      <c r="G8" s="7"/>
      <c r="H8" s="7"/>
      <c r="I8" s="7"/>
      <c r="J8" s="7"/>
    </row>
    <row r="9" spans="1:14" x14ac:dyDescent="0.3">
      <c r="A9" s="8" t="s">
        <v>179</v>
      </c>
      <c r="B9" s="10"/>
      <c r="C9" s="9"/>
      <c r="D9" s="7"/>
      <c r="E9" s="7"/>
      <c r="F9" s="7"/>
      <c r="G9" s="7"/>
      <c r="H9" s="7"/>
      <c r="I9" s="7"/>
      <c r="J9" s="7"/>
    </row>
    <row r="10" spans="1:14" ht="14.85" x14ac:dyDescent="0.3">
      <c r="A10" s="8"/>
      <c r="B10" s="10" t="s">
        <v>180</v>
      </c>
      <c r="C10" s="10"/>
      <c r="D10" s="9"/>
      <c r="E10" s="9"/>
      <c r="F10" s="9"/>
      <c r="G10" s="9"/>
      <c r="H10" s="9"/>
      <c r="I10" s="9"/>
      <c r="J10" s="9"/>
    </row>
    <row r="11" spans="1:14" ht="15" thickBot="1" x14ac:dyDescent="0.35">
      <c r="A11" s="11" t="s">
        <v>181</v>
      </c>
    </row>
    <row r="12" spans="1:14" ht="15" thickBot="1" x14ac:dyDescent="0.35">
      <c r="A12" s="213" t="s">
        <v>3</v>
      </c>
      <c r="B12" s="214"/>
      <c r="C12" s="191" t="s">
        <v>182</v>
      </c>
      <c r="D12" s="215"/>
      <c r="E12" s="191" t="s">
        <v>183</v>
      </c>
      <c r="F12" s="192"/>
      <c r="G12" s="215" t="s">
        <v>184</v>
      </c>
      <c r="H12" s="215"/>
      <c r="I12" s="216" t="s">
        <v>185</v>
      </c>
      <c r="J12" s="217"/>
      <c r="K12" s="215" t="s">
        <v>186</v>
      </c>
      <c r="L12" s="215"/>
      <c r="M12" s="12" t="s">
        <v>187</v>
      </c>
      <c r="N12" s="13" t="s">
        <v>188</v>
      </c>
    </row>
    <row r="13" spans="1:14" ht="14.85" hidden="1" x14ac:dyDescent="0.3">
      <c r="A13" s="206" t="s">
        <v>189</v>
      </c>
      <c r="B13" s="14"/>
      <c r="C13" s="15"/>
      <c r="D13" s="16"/>
      <c r="E13" s="15"/>
      <c r="F13" s="17"/>
      <c r="G13" s="18"/>
      <c r="H13" s="19"/>
      <c r="I13" s="20"/>
      <c r="J13" s="21"/>
      <c r="K13" s="18"/>
      <c r="L13" s="16"/>
      <c r="M13" s="22"/>
      <c r="N13" s="23"/>
    </row>
    <row r="14" spans="1:14" ht="14.85" hidden="1" x14ac:dyDescent="0.3">
      <c r="A14" s="207"/>
      <c r="B14" s="24" t="s">
        <v>190</v>
      </c>
      <c r="C14" s="25">
        <v>100</v>
      </c>
      <c r="D14" s="26"/>
      <c r="E14" s="25">
        <v>85</v>
      </c>
      <c r="F14" s="27"/>
      <c r="G14" s="28">
        <v>70</v>
      </c>
      <c r="H14" s="26"/>
      <c r="I14" s="29">
        <v>50</v>
      </c>
      <c r="J14" s="30"/>
      <c r="K14" s="28">
        <v>35</v>
      </c>
      <c r="L14" s="26"/>
      <c r="M14" s="31">
        <v>30</v>
      </c>
      <c r="N14" s="32">
        <v>10</v>
      </c>
    </row>
    <row r="15" spans="1:14" ht="14.85" hidden="1" x14ac:dyDescent="0.3">
      <c r="A15" s="207"/>
      <c r="B15" s="24" t="s">
        <v>191</v>
      </c>
      <c r="C15" s="25">
        <v>80</v>
      </c>
      <c r="D15" s="26"/>
      <c r="E15" s="25">
        <v>65</v>
      </c>
      <c r="F15" s="27"/>
      <c r="G15" s="28">
        <v>50</v>
      </c>
      <c r="H15" s="26"/>
      <c r="I15" s="29">
        <v>40</v>
      </c>
      <c r="J15" s="30"/>
      <c r="K15" s="28">
        <v>25</v>
      </c>
      <c r="L15" s="26"/>
      <c r="M15" s="31">
        <v>15</v>
      </c>
      <c r="N15" s="32" t="s">
        <v>192</v>
      </c>
    </row>
    <row r="16" spans="1:14" x14ac:dyDescent="0.3">
      <c r="A16" s="207"/>
      <c r="B16" s="24" t="s">
        <v>193</v>
      </c>
      <c r="C16" s="36">
        <v>60</v>
      </c>
      <c r="D16" s="37">
        <v>40</v>
      </c>
      <c r="E16" s="38">
        <v>45</v>
      </c>
      <c r="F16" s="39">
        <v>30</v>
      </c>
      <c r="G16" s="36">
        <v>30</v>
      </c>
      <c r="H16" s="37">
        <v>20</v>
      </c>
      <c r="I16" s="29">
        <v>25</v>
      </c>
      <c r="J16" s="30">
        <v>15</v>
      </c>
      <c r="K16" s="36">
        <v>15</v>
      </c>
      <c r="L16" s="37">
        <v>10</v>
      </c>
      <c r="M16" s="34" t="s">
        <v>192</v>
      </c>
      <c r="N16" s="35" t="s">
        <v>192</v>
      </c>
    </row>
    <row r="17" spans="1:14" x14ac:dyDescent="0.3">
      <c r="A17" s="208"/>
      <c r="B17" s="24" t="s">
        <v>194</v>
      </c>
      <c r="C17" s="28">
        <v>35</v>
      </c>
      <c r="D17" s="26">
        <v>25</v>
      </c>
      <c r="E17" s="25">
        <v>25</v>
      </c>
      <c r="F17" s="27">
        <v>15</v>
      </c>
      <c r="G17" s="28">
        <v>15</v>
      </c>
      <c r="H17" s="26">
        <v>10</v>
      </c>
      <c r="I17" s="25">
        <v>10</v>
      </c>
      <c r="J17" s="27">
        <v>8</v>
      </c>
      <c r="K17" s="28">
        <v>8</v>
      </c>
      <c r="L17" s="26">
        <v>6</v>
      </c>
      <c r="M17" s="34" t="s">
        <v>192</v>
      </c>
      <c r="N17" s="24" t="s">
        <v>192</v>
      </c>
    </row>
    <row r="18" spans="1:14" x14ac:dyDescent="0.3">
      <c r="A18" s="208"/>
      <c r="B18" s="24" t="s">
        <v>195</v>
      </c>
      <c r="C18" s="28">
        <v>30</v>
      </c>
      <c r="D18" s="26">
        <v>20</v>
      </c>
      <c r="E18" s="25">
        <v>20</v>
      </c>
      <c r="F18" s="27">
        <v>12</v>
      </c>
      <c r="G18" s="28">
        <v>12</v>
      </c>
      <c r="H18" s="26">
        <v>9</v>
      </c>
      <c r="I18" s="25">
        <v>9</v>
      </c>
      <c r="J18" s="27">
        <v>7</v>
      </c>
      <c r="K18" s="28">
        <v>6</v>
      </c>
      <c r="L18" s="26">
        <v>5</v>
      </c>
      <c r="M18" s="34" t="s">
        <v>192</v>
      </c>
      <c r="N18" s="138"/>
    </row>
    <row r="19" spans="1:14" x14ac:dyDescent="0.3">
      <c r="A19" s="208"/>
      <c r="B19" s="24" t="s">
        <v>196</v>
      </c>
      <c r="C19" s="28">
        <v>35</v>
      </c>
      <c r="D19" s="26">
        <v>25</v>
      </c>
      <c r="E19" s="25">
        <v>25</v>
      </c>
      <c r="F19" s="27">
        <v>15</v>
      </c>
      <c r="G19" s="28">
        <v>15</v>
      </c>
      <c r="H19" s="26">
        <v>10</v>
      </c>
      <c r="I19" s="29">
        <v>10</v>
      </c>
      <c r="J19" s="30">
        <v>8</v>
      </c>
      <c r="K19" s="28">
        <v>8</v>
      </c>
      <c r="L19" s="26">
        <v>6</v>
      </c>
      <c r="M19" s="34" t="s">
        <v>192</v>
      </c>
      <c r="N19" s="35" t="s">
        <v>192</v>
      </c>
    </row>
    <row r="20" spans="1:14" ht="15" thickBot="1" x14ac:dyDescent="0.35">
      <c r="A20" s="209"/>
      <c r="B20" s="40" t="s">
        <v>197</v>
      </c>
      <c r="C20" s="41">
        <v>21</v>
      </c>
      <c r="D20" s="42">
        <v>15</v>
      </c>
      <c r="E20" s="43">
        <v>16</v>
      </c>
      <c r="F20" s="44">
        <v>12</v>
      </c>
      <c r="G20" s="41">
        <v>12</v>
      </c>
      <c r="H20" s="42">
        <v>9</v>
      </c>
      <c r="I20" s="45">
        <v>9</v>
      </c>
      <c r="J20" s="46">
        <v>7</v>
      </c>
      <c r="K20" s="41">
        <v>6</v>
      </c>
      <c r="L20" s="42">
        <v>5</v>
      </c>
      <c r="M20" s="47" t="s">
        <v>192</v>
      </c>
      <c r="N20" s="48" t="s">
        <v>192</v>
      </c>
    </row>
    <row r="21" spans="1:14" x14ac:dyDescent="0.3">
      <c r="A21" t="s">
        <v>198</v>
      </c>
    </row>
    <row r="22" spans="1:14" x14ac:dyDescent="0.3">
      <c r="A22" s="11"/>
      <c r="B22" s="49" t="s">
        <v>199</v>
      </c>
      <c r="C22" s="6"/>
      <c r="D22" s="6"/>
      <c r="E22" s="6"/>
      <c r="F22" s="6"/>
      <c r="G22" s="6"/>
      <c r="H22" s="7"/>
      <c r="I22" s="7"/>
      <c r="J22" s="7"/>
    </row>
    <row r="23" spans="1:14" x14ac:dyDescent="0.3">
      <c r="A23" s="11"/>
      <c r="B23" s="49" t="s">
        <v>200</v>
      </c>
      <c r="C23" s="6"/>
      <c r="D23" s="6"/>
      <c r="E23" s="6"/>
      <c r="F23" s="6"/>
      <c r="G23" s="6"/>
      <c r="H23" s="7"/>
      <c r="I23" s="7"/>
      <c r="J23" s="7"/>
      <c r="K23" s="50"/>
    </row>
    <row r="24" spans="1:14" ht="14.85" x14ac:dyDescent="0.3">
      <c r="A24" s="11"/>
      <c r="B24" s="49"/>
      <c r="C24" s="6"/>
      <c r="D24" s="6"/>
      <c r="E24" s="6"/>
      <c r="F24" s="6"/>
      <c r="G24" s="6"/>
      <c r="H24" s="7"/>
      <c r="I24" s="7"/>
      <c r="J24" s="7"/>
    </row>
    <row r="25" spans="1:14" x14ac:dyDescent="0.3">
      <c r="A25" s="11" t="s">
        <v>201</v>
      </c>
      <c r="B25" s="6"/>
      <c r="C25" s="6"/>
      <c r="D25" s="6"/>
      <c r="E25" s="6"/>
      <c r="F25" s="6"/>
      <c r="G25" s="6"/>
    </row>
    <row r="26" spans="1:14" ht="15" thickBot="1" x14ac:dyDescent="0.35">
      <c r="A26" s="11" t="s">
        <v>202</v>
      </c>
      <c r="B26" s="6"/>
      <c r="C26" s="6"/>
      <c r="D26" s="6"/>
      <c r="E26" s="6"/>
      <c r="F26" s="6"/>
      <c r="G26" s="6"/>
    </row>
    <row r="27" spans="1:14" ht="15" thickBot="1" x14ac:dyDescent="0.35">
      <c r="A27" s="193" t="s">
        <v>3</v>
      </c>
      <c r="B27" s="194"/>
      <c r="C27" s="203" t="s">
        <v>203</v>
      </c>
      <c r="D27" s="204"/>
      <c r="E27" s="204"/>
      <c r="F27" s="204"/>
      <c r="G27" s="204"/>
      <c r="H27" s="204"/>
      <c r="I27" s="204"/>
      <c r="J27" s="204"/>
      <c r="K27" s="204"/>
      <c r="L27" s="204"/>
      <c r="M27" s="204"/>
      <c r="N27" s="205"/>
    </row>
    <row r="28" spans="1:14" ht="15" thickBot="1" x14ac:dyDescent="0.35">
      <c r="A28" s="189"/>
      <c r="B28" s="190"/>
      <c r="C28" s="191">
        <v>6</v>
      </c>
      <c r="D28" s="192"/>
      <c r="E28" s="191">
        <v>5</v>
      </c>
      <c r="F28" s="192"/>
      <c r="G28" s="191">
        <v>4</v>
      </c>
      <c r="H28" s="192"/>
      <c r="I28" s="191">
        <v>3</v>
      </c>
      <c r="J28" s="192"/>
      <c r="K28" s="191">
        <v>2</v>
      </c>
      <c r="L28" s="192"/>
      <c r="M28" s="191">
        <v>1</v>
      </c>
      <c r="N28" s="192"/>
    </row>
    <row r="29" spans="1:14" x14ac:dyDescent="0.3">
      <c r="A29" s="183" t="s">
        <v>204</v>
      </c>
      <c r="B29" s="184"/>
      <c r="C29" s="51">
        <v>12</v>
      </c>
      <c r="D29" s="52">
        <v>10</v>
      </c>
      <c r="E29" s="51">
        <v>10</v>
      </c>
      <c r="F29" s="52">
        <v>8</v>
      </c>
      <c r="G29" s="51">
        <v>8</v>
      </c>
      <c r="H29" s="52">
        <v>6</v>
      </c>
      <c r="I29" s="51">
        <v>6</v>
      </c>
      <c r="J29" s="52">
        <v>5</v>
      </c>
      <c r="K29" s="51">
        <v>4</v>
      </c>
      <c r="L29" s="52">
        <v>3</v>
      </c>
      <c r="M29" s="51">
        <v>3</v>
      </c>
      <c r="N29" s="53" t="s">
        <v>192</v>
      </c>
    </row>
    <row r="30" spans="1:14" x14ac:dyDescent="0.3">
      <c r="A30" s="185" t="s">
        <v>205</v>
      </c>
      <c r="B30" s="186"/>
      <c r="C30" s="25">
        <v>9</v>
      </c>
      <c r="D30" s="27">
        <v>8</v>
      </c>
      <c r="E30" s="25">
        <v>7</v>
      </c>
      <c r="F30" s="27">
        <v>6</v>
      </c>
      <c r="G30" s="25">
        <v>6</v>
      </c>
      <c r="H30" s="27">
        <v>5</v>
      </c>
      <c r="I30" s="25">
        <v>5</v>
      </c>
      <c r="J30" s="27">
        <v>4</v>
      </c>
      <c r="K30" s="38">
        <v>3</v>
      </c>
      <c r="L30" s="54">
        <v>2</v>
      </c>
      <c r="M30" s="55" t="s">
        <v>192</v>
      </c>
      <c r="N30" s="53" t="s">
        <v>192</v>
      </c>
    </row>
    <row r="31" spans="1:14" x14ac:dyDescent="0.3">
      <c r="A31" s="185" t="s">
        <v>206</v>
      </c>
      <c r="B31" s="186"/>
      <c r="C31" s="25">
        <v>7</v>
      </c>
      <c r="D31" s="27">
        <v>6</v>
      </c>
      <c r="E31" s="25">
        <v>5</v>
      </c>
      <c r="F31" s="27">
        <v>4</v>
      </c>
      <c r="G31" s="25">
        <v>4</v>
      </c>
      <c r="H31" s="27">
        <v>3</v>
      </c>
      <c r="I31" s="25">
        <v>3</v>
      </c>
      <c r="J31" s="27">
        <v>2</v>
      </c>
      <c r="K31" s="56" t="s">
        <v>207</v>
      </c>
      <c r="L31" s="57" t="s">
        <v>208</v>
      </c>
      <c r="M31" s="55" t="s">
        <v>192</v>
      </c>
      <c r="N31" s="53" t="s">
        <v>192</v>
      </c>
    </row>
    <row r="32" spans="1:14" x14ac:dyDescent="0.3">
      <c r="A32" s="187" t="s">
        <v>209</v>
      </c>
      <c r="B32" s="188"/>
      <c r="C32" s="55">
        <v>5</v>
      </c>
      <c r="D32" s="58">
        <v>4</v>
      </c>
      <c r="E32" s="55">
        <v>4</v>
      </c>
      <c r="F32" s="58">
        <v>3</v>
      </c>
      <c r="G32" s="55">
        <v>3</v>
      </c>
      <c r="H32" s="58">
        <v>2</v>
      </c>
      <c r="I32" s="55">
        <v>2</v>
      </c>
      <c r="J32" s="58">
        <v>1</v>
      </c>
      <c r="K32" s="55" t="s">
        <v>192</v>
      </c>
      <c r="L32" s="53" t="s">
        <v>192</v>
      </c>
      <c r="M32" s="55" t="s">
        <v>192</v>
      </c>
      <c r="N32" s="53" t="s">
        <v>192</v>
      </c>
    </row>
    <row r="33" spans="1:14" ht="15" thickBot="1" x14ac:dyDescent="0.35">
      <c r="A33" s="189" t="s">
        <v>210</v>
      </c>
      <c r="B33" s="190"/>
      <c r="C33" s="43">
        <v>4</v>
      </c>
      <c r="D33" s="44">
        <v>3</v>
      </c>
      <c r="E33" s="43">
        <v>3</v>
      </c>
      <c r="F33" s="44">
        <v>2</v>
      </c>
      <c r="G33" s="43">
        <v>2</v>
      </c>
      <c r="H33" s="59">
        <v>1</v>
      </c>
      <c r="I33" s="60" t="s">
        <v>192</v>
      </c>
      <c r="J33" s="59"/>
      <c r="K33" s="60" t="s">
        <v>192</v>
      </c>
      <c r="L33" s="61" t="s">
        <v>192</v>
      </c>
      <c r="M33" s="60" t="s">
        <v>192</v>
      </c>
      <c r="N33" s="61" t="s">
        <v>192</v>
      </c>
    </row>
    <row r="34" spans="1:14" x14ac:dyDescent="0.3">
      <c r="I34" s="7"/>
      <c r="J34" s="7"/>
    </row>
    <row r="35" spans="1:14" s="111" customFormat="1" x14ac:dyDescent="0.3">
      <c r="A35" s="160" t="s">
        <v>211</v>
      </c>
      <c r="B35" s="161"/>
      <c r="C35" s="161"/>
      <c r="D35" s="161"/>
      <c r="E35" s="161"/>
      <c r="F35" s="161"/>
      <c r="G35" s="161"/>
    </row>
    <row r="36" spans="1:14" ht="15" thickBot="1" x14ac:dyDescent="0.35">
      <c r="A36" s="11" t="s">
        <v>212</v>
      </c>
      <c r="B36" s="6"/>
      <c r="C36" s="6"/>
      <c r="D36" s="6"/>
      <c r="E36" s="6"/>
      <c r="F36" s="6"/>
      <c r="G36" s="6"/>
    </row>
    <row r="37" spans="1:14" ht="15" thickBot="1" x14ac:dyDescent="0.35">
      <c r="A37" s="199" t="s">
        <v>3</v>
      </c>
      <c r="B37" s="200"/>
      <c r="C37" s="203" t="s">
        <v>203</v>
      </c>
      <c r="D37" s="204"/>
      <c r="E37" s="204"/>
      <c r="F37" s="204"/>
      <c r="G37" s="204"/>
      <c r="H37" s="204"/>
      <c r="I37" s="204"/>
      <c r="J37" s="204"/>
      <c r="K37" s="204"/>
      <c r="L37" s="204"/>
      <c r="M37" s="204"/>
      <c r="N37" s="205"/>
    </row>
    <row r="38" spans="1:14" ht="15" thickBot="1" x14ac:dyDescent="0.35">
      <c r="A38" s="201"/>
      <c r="B38" s="202"/>
      <c r="C38" s="191">
        <v>6</v>
      </c>
      <c r="D38" s="192"/>
      <c r="E38" s="191">
        <v>5</v>
      </c>
      <c r="F38" s="192"/>
      <c r="G38" s="191">
        <v>4</v>
      </c>
      <c r="H38" s="192"/>
      <c r="I38" s="191">
        <v>3</v>
      </c>
      <c r="J38" s="192"/>
      <c r="K38" s="191">
        <v>2</v>
      </c>
      <c r="L38" s="192"/>
      <c r="M38" s="191">
        <v>1</v>
      </c>
      <c r="N38" s="192"/>
    </row>
    <row r="39" spans="1:14" x14ac:dyDescent="0.3">
      <c r="A39" s="195" t="s">
        <v>204</v>
      </c>
      <c r="B39" s="196"/>
      <c r="C39" s="51">
        <v>15</v>
      </c>
      <c r="D39" s="52">
        <v>12</v>
      </c>
      <c r="E39" s="51">
        <v>13</v>
      </c>
      <c r="F39" s="52">
        <v>10</v>
      </c>
      <c r="G39" s="51">
        <v>10</v>
      </c>
      <c r="H39" s="52">
        <v>8</v>
      </c>
      <c r="I39" s="51">
        <v>8</v>
      </c>
      <c r="J39" s="52">
        <v>6</v>
      </c>
      <c r="K39" s="51">
        <v>6</v>
      </c>
      <c r="L39" s="52">
        <v>4</v>
      </c>
      <c r="M39" s="51">
        <v>4</v>
      </c>
      <c r="N39" s="53" t="s">
        <v>192</v>
      </c>
    </row>
    <row r="40" spans="1:14" x14ac:dyDescent="0.3">
      <c r="A40" s="172" t="s">
        <v>205</v>
      </c>
      <c r="B40" s="173"/>
      <c r="C40" s="25">
        <v>12</v>
      </c>
      <c r="D40" s="27">
        <v>9</v>
      </c>
      <c r="E40" s="25">
        <v>10</v>
      </c>
      <c r="F40" s="27">
        <v>7</v>
      </c>
      <c r="G40" s="25">
        <v>8</v>
      </c>
      <c r="H40" s="27">
        <v>6</v>
      </c>
      <c r="I40" s="25">
        <v>6</v>
      </c>
      <c r="J40" s="27">
        <v>5</v>
      </c>
      <c r="K40" s="38">
        <v>4</v>
      </c>
      <c r="L40" s="54">
        <v>3</v>
      </c>
      <c r="M40" s="55" t="s">
        <v>192</v>
      </c>
      <c r="N40" s="53" t="s">
        <v>192</v>
      </c>
    </row>
    <row r="41" spans="1:14" x14ac:dyDescent="0.3">
      <c r="A41" s="172" t="s">
        <v>206</v>
      </c>
      <c r="B41" s="173"/>
      <c r="C41" s="25">
        <v>9</v>
      </c>
      <c r="D41" s="27">
        <v>7</v>
      </c>
      <c r="E41" s="25">
        <v>7</v>
      </c>
      <c r="F41" s="27">
        <v>5</v>
      </c>
      <c r="G41" s="25">
        <v>6</v>
      </c>
      <c r="H41" s="27">
        <v>4</v>
      </c>
      <c r="I41" s="25">
        <v>4</v>
      </c>
      <c r="J41" s="27">
        <v>3</v>
      </c>
      <c r="K41" s="56" t="s">
        <v>213</v>
      </c>
      <c r="L41" s="57" t="s">
        <v>207</v>
      </c>
      <c r="M41" s="55" t="s">
        <v>192</v>
      </c>
      <c r="N41" s="53" t="s">
        <v>192</v>
      </c>
    </row>
    <row r="42" spans="1:14" x14ac:dyDescent="0.3">
      <c r="A42" s="187" t="s">
        <v>209</v>
      </c>
      <c r="B42" s="188"/>
      <c r="C42" s="55">
        <v>7</v>
      </c>
      <c r="D42" s="58">
        <v>5</v>
      </c>
      <c r="E42" s="55">
        <v>5</v>
      </c>
      <c r="F42" s="58">
        <v>4</v>
      </c>
      <c r="G42" s="55">
        <v>4</v>
      </c>
      <c r="H42" s="58">
        <v>3</v>
      </c>
      <c r="I42" s="55">
        <v>3</v>
      </c>
      <c r="J42" s="58">
        <v>2</v>
      </c>
      <c r="K42" s="55" t="s">
        <v>192</v>
      </c>
      <c r="L42" s="53" t="s">
        <v>192</v>
      </c>
      <c r="M42" s="55" t="s">
        <v>192</v>
      </c>
      <c r="N42" s="53" t="s">
        <v>192</v>
      </c>
    </row>
    <row r="43" spans="1:14" ht="15" thickBot="1" x14ac:dyDescent="0.35">
      <c r="A43" s="197" t="s">
        <v>210</v>
      </c>
      <c r="B43" s="198"/>
      <c r="C43" s="43">
        <v>5</v>
      </c>
      <c r="D43" s="44">
        <v>4</v>
      </c>
      <c r="E43" s="43">
        <v>4</v>
      </c>
      <c r="F43" s="44">
        <v>3</v>
      </c>
      <c r="G43" s="43">
        <v>3</v>
      </c>
      <c r="H43" s="59">
        <v>2</v>
      </c>
      <c r="I43" s="60" t="s">
        <v>192</v>
      </c>
      <c r="J43" s="59" t="s">
        <v>192</v>
      </c>
      <c r="K43" s="60" t="s">
        <v>192</v>
      </c>
      <c r="L43" s="61" t="s">
        <v>192</v>
      </c>
      <c r="M43" s="60" t="s">
        <v>192</v>
      </c>
      <c r="N43" s="61" t="s">
        <v>192</v>
      </c>
    </row>
    <row r="45" spans="1:14" x14ac:dyDescent="0.3">
      <c r="A45" s="11" t="s">
        <v>214</v>
      </c>
    </row>
    <row r="46" spans="1:14" ht="15" thickBot="1" x14ac:dyDescent="0.35">
      <c r="A46" s="11" t="s">
        <v>215</v>
      </c>
      <c r="B46" s="6"/>
      <c r="C46" s="6"/>
      <c r="D46" s="6"/>
      <c r="E46" s="6"/>
      <c r="F46" s="6"/>
      <c r="G46" s="6"/>
    </row>
    <row r="47" spans="1:14" ht="15" thickBot="1" x14ac:dyDescent="0.35">
      <c r="A47" s="199" t="s">
        <v>3</v>
      </c>
      <c r="B47" s="200"/>
      <c r="C47" s="203" t="s">
        <v>203</v>
      </c>
      <c r="D47" s="204"/>
      <c r="E47" s="204"/>
      <c r="F47" s="204"/>
      <c r="G47" s="204"/>
      <c r="H47" s="204"/>
      <c r="I47" s="204"/>
      <c r="J47" s="204"/>
      <c r="K47" s="204"/>
      <c r="L47" s="204"/>
      <c r="M47" s="204"/>
      <c r="N47" s="205"/>
    </row>
    <row r="48" spans="1:14" ht="15" thickBot="1" x14ac:dyDescent="0.35">
      <c r="A48" s="201"/>
      <c r="B48" s="202"/>
      <c r="C48" s="191">
        <v>6</v>
      </c>
      <c r="D48" s="192"/>
      <c r="E48" s="191">
        <v>5</v>
      </c>
      <c r="F48" s="192"/>
      <c r="G48" s="191">
        <v>4</v>
      </c>
      <c r="H48" s="192"/>
      <c r="I48" s="191">
        <v>3</v>
      </c>
      <c r="J48" s="192"/>
      <c r="K48" s="191">
        <v>2</v>
      </c>
      <c r="L48" s="192"/>
      <c r="M48" s="191">
        <v>1</v>
      </c>
      <c r="N48" s="192"/>
    </row>
    <row r="49" spans="1:14" x14ac:dyDescent="0.3">
      <c r="A49" s="195" t="s">
        <v>204</v>
      </c>
      <c r="B49" s="196"/>
      <c r="C49" s="51">
        <v>21</v>
      </c>
      <c r="D49" s="52">
        <v>15</v>
      </c>
      <c r="E49" s="51">
        <v>17</v>
      </c>
      <c r="F49" s="52">
        <v>13</v>
      </c>
      <c r="G49" s="51">
        <v>14</v>
      </c>
      <c r="H49" s="52">
        <v>10</v>
      </c>
      <c r="I49" s="51">
        <v>12</v>
      </c>
      <c r="J49" s="52">
        <v>8</v>
      </c>
      <c r="K49" s="51">
        <v>10</v>
      </c>
      <c r="L49" s="52">
        <v>6</v>
      </c>
      <c r="M49" s="51">
        <v>6</v>
      </c>
      <c r="N49" s="53" t="s">
        <v>192</v>
      </c>
    </row>
    <row r="50" spans="1:14" x14ac:dyDescent="0.3">
      <c r="A50" s="172" t="s">
        <v>205</v>
      </c>
      <c r="B50" s="173"/>
      <c r="C50" s="25">
        <v>16</v>
      </c>
      <c r="D50" s="27">
        <v>12</v>
      </c>
      <c r="E50" s="25">
        <v>13</v>
      </c>
      <c r="F50" s="27">
        <v>10</v>
      </c>
      <c r="G50" s="25">
        <v>11</v>
      </c>
      <c r="H50" s="27">
        <v>8</v>
      </c>
      <c r="I50" s="25">
        <v>9</v>
      </c>
      <c r="J50" s="27">
        <v>6</v>
      </c>
      <c r="K50" s="38">
        <v>6</v>
      </c>
      <c r="L50" s="54">
        <v>4</v>
      </c>
      <c r="M50" s="55" t="s">
        <v>192</v>
      </c>
      <c r="N50" s="53" t="s">
        <v>192</v>
      </c>
    </row>
    <row r="51" spans="1:14" x14ac:dyDescent="0.3">
      <c r="A51" s="172" t="s">
        <v>206</v>
      </c>
      <c r="B51" s="173"/>
      <c r="C51" s="25">
        <v>12</v>
      </c>
      <c r="D51" s="27">
        <v>9</v>
      </c>
      <c r="E51" s="25">
        <v>9</v>
      </c>
      <c r="F51" s="27">
        <v>7</v>
      </c>
      <c r="G51" s="25">
        <v>8</v>
      </c>
      <c r="H51" s="27">
        <v>6</v>
      </c>
      <c r="I51" s="25">
        <v>6</v>
      </c>
      <c r="J51" s="27">
        <v>4</v>
      </c>
      <c r="K51" s="56" t="s">
        <v>216</v>
      </c>
      <c r="L51" s="57" t="s">
        <v>213</v>
      </c>
      <c r="M51" s="55" t="s">
        <v>192</v>
      </c>
      <c r="N51" s="53" t="s">
        <v>192</v>
      </c>
    </row>
    <row r="52" spans="1:14" x14ac:dyDescent="0.3">
      <c r="A52" s="187" t="s">
        <v>209</v>
      </c>
      <c r="B52" s="188"/>
      <c r="C52" s="55">
        <v>9</v>
      </c>
      <c r="D52" s="58">
        <v>7</v>
      </c>
      <c r="E52" s="55">
        <v>7</v>
      </c>
      <c r="F52" s="58">
        <v>5</v>
      </c>
      <c r="G52" s="55">
        <v>6</v>
      </c>
      <c r="H52" s="58">
        <v>4</v>
      </c>
      <c r="I52" s="55">
        <v>5</v>
      </c>
      <c r="J52" s="58">
        <v>3</v>
      </c>
      <c r="K52" s="55" t="s">
        <v>192</v>
      </c>
      <c r="L52" s="53" t="s">
        <v>192</v>
      </c>
      <c r="M52" s="55" t="s">
        <v>192</v>
      </c>
      <c r="N52" s="53" t="s">
        <v>192</v>
      </c>
    </row>
    <row r="53" spans="1:14" ht="15" thickBot="1" x14ac:dyDescent="0.35">
      <c r="A53" s="197" t="s">
        <v>210</v>
      </c>
      <c r="B53" s="198"/>
      <c r="C53" s="43">
        <v>6</v>
      </c>
      <c r="D53" s="44">
        <v>5</v>
      </c>
      <c r="E53" s="43">
        <v>5</v>
      </c>
      <c r="F53" s="44">
        <v>4</v>
      </c>
      <c r="G53" s="43">
        <v>4</v>
      </c>
      <c r="H53" s="59">
        <v>3</v>
      </c>
      <c r="I53" s="60" t="s">
        <v>192</v>
      </c>
      <c r="J53" s="59"/>
      <c r="K53" s="60" t="s">
        <v>192</v>
      </c>
      <c r="L53" s="61" t="s">
        <v>192</v>
      </c>
      <c r="M53" s="60" t="s">
        <v>192</v>
      </c>
      <c r="N53" s="61" t="s">
        <v>192</v>
      </c>
    </row>
    <row r="54" spans="1:14" x14ac:dyDescent="0.3">
      <c r="A54" s="11"/>
      <c r="B54" s="6"/>
      <c r="C54" s="6"/>
      <c r="D54" s="6"/>
      <c r="E54" s="6"/>
      <c r="F54" s="6"/>
      <c r="G54" s="6"/>
    </row>
    <row r="55" spans="1:14" x14ac:dyDescent="0.3">
      <c r="A55" s="11" t="s">
        <v>217</v>
      </c>
      <c r="B55" s="6"/>
      <c r="C55" s="6"/>
      <c r="D55" s="6"/>
      <c r="E55" s="6"/>
      <c r="F55" s="6"/>
      <c r="G55" s="6"/>
      <c r="I55" s="63" t="s">
        <v>218</v>
      </c>
    </row>
    <row r="56" spans="1:14" ht="15" thickBot="1" x14ac:dyDescent="0.35">
      <c r="A56" s="11" t="s">
        <v>219</v>
      </c>
      <c r="B56" s="6"/>
      <c r="C56" s="6"/>
      <c r="D56" s="6"/>
      <c r="E56" s="6"/>
      <c r="F56" s="6"/>
      <c r="G56" s="6"/>
    </row>
    <row r="57" spans="1:14" ht="15" thickBot="1" x14ac:dyDescent="0.35">
      <c r="A57" s="193" t="s">
        <v>3</v>
      </c>
      <c r="B57" s="194"/>
      <c r="C57" s="64" t="s">
        <v>203</v>
      </c>
      <c r="D57" s="65"/>
      <c r="E57" s="65"/>
      <c r="F57" s="65"/>
      <c r="G57" s="65"/>
      <c r="H57" s="65"/>
      <c r="I57" s="65"/>
      <c r="J57" s="65"/>
      <c r="K57" s="65"/>
      <c r="L57" s="65"/>
      <c r="M57" s="65"/>
      <c r="N57" s="66"/>
    </row>
    <row r="58" spans="1:14" ht="15" thickBot="1" x14ac:dyDescent="0.35">
      <c r="A58" s="189"/>
      <c r="B58" s="190"/>
      <c r="C58" s="191">
        <v>6</v>
      </c>
      <c r="D58" s="192"/>
      <c r="E58" s="191">
        <v>5</v>
      </c>
      <c r="F58" s="192"/>
      <c r="G58" s="191">
        <v>4</v>
      </c>
      <c r="H58" s="192"/>
      <c r="I58" s="191">
        <v>3</v>
      </c>
      <c r="J58" s="192"/>
      <c r="K58" s="191">
        <v>2</v>
      </c>
      <c r="L58" s="192"/>
      <c r="M58" s="191">
        <v>1</v>
      </c>
      <c r="N58" s="192"/>
    </row>
    <row r="59" spans="1:14" x14ac:dyDescent="0.3">
      <c r="A59" s="183" t="s">
        <v>204</v>
      </c>
      <c r="B59" s="184"/>
      <c r="C59" s="51">
        <v>10</v>
      </c>
      <c r="D59" s="52">
        <v>6</v>
      </c>
      <c r="E59" s="51">
        <v>8</v>
      </c>
      <c r="F59" s="52">
        <v>5</v>
      </c>
      <c r="G59" s="51">
        <v>6</v>
      </c>
      <c r="H59" s="52">
        <v>4</v>
      </c>
      <c r="I59" s="51">
        <v>5</v>
      </c>
      <c r="J59" s="52">
        <v>3</v>
      </c>
      <c r="K59" s="51">
        <v>3</v>
      </c>
      <c r="L59" s="52">
        <v>2</v>
      </c>
      <c r="M59" s="51">
        <v>2</v>
      </c>
      <c r="N59" s="53" t="s">
        <v>192</v>
      </c>
    </row>
    <row r="60" spans="1:14" x14ac:dyDescent="0.3">
      <c r="A60" s="185" t="s">
        <v>205</v>
      </c>
      <c r="B60" s="186"/>
      <c r="C60" s="25">
        <v>8</v>
      </c>
      <c r="D60" s="27">
        <v>5</v>
      </c>
      <c r="E60" s="25">
        <v>6</v>
      </c>
      <c r="F60" s="27">
        <v>4</v>
      </c>
      <c r="G60" s="25">
        <v>5</v>
      </c>
      <c r="H60" s="27">
        <v>3</v>
      </c>
      <c r="I60" s="25">
        <v>4</v>
      </c>
      <c r="J60" s="27">
        <v>2</v>
      </c>
      <c r="K60" s="38">
        <v>2</v>
      </c>
      <c r="L60" s="54">
        <v>1</v>
      </c>
      <c r="M60" s="55" t="s">
        <v>192</v>
      </c>
      <c r="N60" s="53" t="s">
        <v>192</v>
      </c>
    </row>
    <row r="61" spans="1:14" x14ac:dyDescent="0.3">
      <c r="A61" s="185" t="s">
        <v>206</v>
      </c>
      <c r="B61" s="186"/>
      <c r="C61" s="25">
        <v>6</v>
      </c>
      <c r="D61" s="27">
        <v>4</v>
      </c>
      <c r="E61" s="25">
        <v>4</v>
      </c>
      <c r="F61" s="27">
        <v>3</v>
      </c>
      <c r="G61" s="25">
        <v>3</v>
      </c>
      <c r="H61" s="27">
        <v>2</v>
      </c>
      <c r="I61" s="25">
        <v>2</v>
      </c>
      <c r="J61" s="27">
        <v>1</v>
      </c>
      <c r="K61" s="56" t="s">
        <v>208</v>
      </c>
      <c r="L61" s="57" t="s">
        <v>192</v>
      </c>
      <c r="M61" s="55" t="s">
        <v>192</v>
      </c>
      <c r="N61" s="53" t="s">
        <v>192</v>
      </c>
    </row>
    <row r="62" spans="1:14" x14ac:dyDescent="0.3">
      <c r="A62" s="187" t="s">
        <v>209</v>
      </c>
      <c r="B62" s="188"/>
      <c r="C62" s="55">
        <v>4</v>
      </c>
      <c r="D62" s="58">
        <v>3</v>
      </c>
      <c r="E62" s="55">
        <v>3</v>
      </c>
      <c r="F62" s="58">
        <v>2</v>
      </c>
      <c r="G62" s="55">
        <v>2</v>
      </c>
      <c r="H62" s="58">
        <v>1</v>
      </c>
      <c r="I62" s="55">
        <v>1</v>
      </c>
      <c r="J62" s="58" t="s">
        <v>192</v>
      </c>
      <c r="K62" s="55" t="s">
        <v>192</v>
      </c>
      <c r="L62" s="53" t="s">
        <v>192</v>
      </c>
      <c r="M62" s="55" t="s">
        <v>192</v>
      </c>
      <c r="N62" s="53" t="s">
        <v>192</v>
      </c>
    </row>
    <row r="63" spans="1:14" ht="15" thickBot="1" x14ac:dyDescent="0.35">
      <c r="A63" s="189" t="s">
        <v>210</v>
      </c>
      <c r="B63" s="190"/>
      <c r="C63" s="43">
        <v>3</v>
      </c>
      <c r="D63" s="44">
        <v>2</v>
      </c>
      <c r="E63" s="43">
        <v>2</v>
      </c>
      <c r="F63" s="44">
        <v>1</v>
      </c>
      <c r="G63" s="43">
        <v>1</v>
      </c>
      <c r="H63" s="59" t="s">
        <v>192</v>
      </c>
      <c r="I63" s="60" t="s">
        <v>192</v>
      </c>
      <c r="J63" s="59" t="s">
        <v>192</v>
      </c>
      <c r="K63" s="60" t="s">
        <v>192</v>
      </c>
      <c r="L63" s="61" t="s">
        <v>192</v>
      </c>
      <c r="M63" s="60" t="s">
        <v>192</v>
      </c>
      <c r="N63" s="61" t="s">
        <v>192</v>
      </c>
    </row>
    <row r="64" spans="1:14" x14ac:dyDescent="0.3">
      <c r="A64" s="7"/>
      <c r="B64" s="7"/>
      <c r="C64" s="50"/>
      <c r="D64" s="50"/>
      <c r="E64" s="50"/>
      <c r="F64" s="50"/>
      <c r="G64" s="67"/>
    </row>
    <row r="65" spans="1:14" x14ac:dyDescent="0.3">
      <c r="A65" s="11" t="s">
        <v>220</v>
      </c>
      <c r="I65" s="63" t="s">
        <v>221</v>
      </c>
    </row>
    <row r="66" spans="1:14" ht="15" thickBot="1" x14ac:dyDescent="0.35">
      <c r="A66" s="11" t="s">
        <v>222</v>
      </c>
      <c r="B66" s="6"/>
      <c r="C66" s="6"/>
      <c r="D66" s="6"/>
      <c r="E66" s="6"/>
      <c r="F66" s="6"/>
      <c r="G66" s="6"/>
    </row>
    <row r="67" spans="1:14" ht="15" thickBot="1" x14ac:dyDescent="0.35">
      <c r="A67" s="193" t="s">
        <v>3</v>
      </c>
      <c r="B67" s="194"/>
      <c r="C67" s="64" t="s">
        <v>203</v>
      </c>
      <c r="D67" s="65"/>
      <c r="E67" s="65"/>
      <c r="F67" s="65"/>
      <c r="G67" s="65"/>
      <c r="H67" s="65"/>
      <c r="I67" s="65"/>
      <c r="J67" s="65"/>
      <c r="K67" s="65"/>
      <c r="L67" s="65"/>
      <c r="M67" s="65"/>
      <c r="N67" s="66"/>
    </row>
    <row r="68" spans="1:14" ht="15" thickBot="1" x14ac:dyDescent="0.35">
      <c r="A68" s="189"/>
      <c r="B68" s="190"/>
      <c r="C68" s="191">
        <v>6</v>
      </c>
      <c r="D68" s="192"/>
      <c r="E68" s="191">
        <v>5</v>
      </c>
      <c r="F68" s="192"/>
      <c r="G68" s="191">
        <v>4</v>
      </c>
      <c r="H68" s="192"/>
      <c r="I68" s="191">
        <v>3</v>
      </c>
      <c r="J68" s="192"/>
      <c r="K68" s="191">
        <v>2</v>
      </c>
      <c r="L68" s="192"/>
      <c r="M68" s="191">
        <v>1</v>
      </c>
      <c r="N68" s="192"/>
    </row>
    <row r="69" spans="1:14" x14ac:dyDescent="0.3">
      <c r="A69" s="183" t="s">
        <v>204</v>
      </c>
      <c r="B69" s="184"/>
      <c r="C69" s="51">
        <v>6</v>
      </c>
      <c r="D69" s="52">
        <v>5</v>
      </c>
      <c r="E69" s="51">
        <v>5</v>
      </c>
      <c r="F69" s="52">
        <v>4</v>
      </c>
      <c r="G69" s="51">
        <v>4</v>
      </c>
      <c r="H69" s="52">
        <v>3</v>
      </c>
      <c r="I69" s="51">
        <v>3</v>
      </c>
      <c r="J69" s="52">
        <v>2</v>
      </c>
      <c r="K69" s="51">
        <v>2</v>
      </c>
      <c r="L69" s="52">
        <v>1</v>
      </c>
      <c r="M69" s="51">
        <v>1</v>
      </c>
      <c r="N69" s="53" t="s">
        <v>192</v>
      </c>
    </row>
    <row r="70" spans="1:14" x14ac:dyDescent="0.3">
      <c r="A70" s="185" t="s">
        <v>205</v>
      </c>
      <c r="B70" s="186"/>
      <c r="C70" s="25">
        <v>5</v>
      </c>
      <c r="D70" s="27">
        <v>4</v>
      </c>
      <c r="E70" s="25">
        <v>4</v>
      </c>
      <c r="F70" s="27">
        <v>3</v>
      </c>
      <c r="G70" s="25">
        <v>3</v>
      </c>
      <c r="H70" s="27">
        <v>2</v>
      </c>
      <c r="I70" s="25">
        <v>2</v>
      </c>
      <c r="J70" s="27">
        <v>1</v>
      </c>
      <c r="K70" s="38">
        <v>1</v>
      </c>
      <c r="L70" s="33" t="s">
        <v>192</v>
      </c>
      <c r="M70" s="55" t="s">
        <v>192</v>
      </c>
      <c r="N70" s="53" t="s">
        <v>192</v>
      </c>
    </row>
    <row r="71" spans="1:14" x14ac:dyDescent="0.3">
      <c r="A71" s="185" t="s">
        <v>206</v>
      </c>
      <c r="B71" s="186"/>
      <c r="C71" s="25">
        <v>4</v>
      </c>
      <c r="D71" s="27">
        <v>3</v>
      </c>
      <c r="E71" s="25">
        <v>3</v>
      </c>
      <c r="F71" s="27">
        <v>2</v>
      </c>
      <c r="G71" s="25">
        <v>2</v>
      </c>
      <c r="H71" s="27">
        <v>1</v>
      </c>
      <c r="I71" s="25">
        <v>1</v>
      </c>
      <c r="J71" s="27" t="s">
        <v>192</v>
      </c>
      <c r="K71" s="25" t="s">
        <v>192</v>
      </c>
      <c r="L71" s="33" t="s">
        <v>192</v>
      </c>
      <c r="M71" s="55" t="s">
        <v>192</v>
      </c>
      <c r="N71" s="53" t="s">
        <v>192</v>
      </c>
    </row>
    <row r="72" spans="1:14" x14ac:dyDescent="0.3">
      <c r="A72" s="187" t="s">
        <v>209</v>
      </c>
      <c r="B72" s="188"/>
      <c r="C72" s="55">
        <v>3</v>
      </c>
      <c r="D72" s="58">
        <v>2</v>
      </c>
      <c r="E72" s="55">
        <v>2</v>
      </c>
      <c r="F72" s="58">
        <v>1</v>
      </c>
      <c r="G72" s="55">
        <v>1</v>
      </c>
      <c r="H72" s="58" t="s">
        <v>192</v>
      </c>
      <c r="I72" s="55" t="s">
        <v>192</v>
      </c>
      <c r="J72" s="58" t="s">
        <v>192</v>
      </c>
      <c r="K72" s="55" t="s">
        <v>192</v>
      </c>
      <c r="L72" s="53" t="s">
        <v>192</v>
      </c>
      <c r="M72" s="55" t="s">
        <v>192</v>
      </c>
      <c r="N72" s="53" t="s">
        <v>192</v>
      </c>
    </row>
    <row r="73" spans="1:14" ht="15" thickBot="1" x14ac:dyDescent="0.35">
      <c r="A73" s="189" t="s">
        <v>210</v>
      </c>
      <c r="B73" s="190"/>
      <c r="C73" s="43">
        <v>2</v>
      </c>
      <c r="D73" s="44">
        <v>1</v>
      </c>
      <c r="E73" s="43">
        <v>1</v>
      </c>
      <c r="F73" s="44" t="s">
        <v>192</v>
      </c>
      <c r="G73" s="43" t="s">
        <v>192</v>
      </c>
      <c r="H73" s="59"/>
      <c r="I73" s="60" t="s">
        <v>192</v>
      </c>
      <c r="J73" s="59" t="s">
        <v>192</v>
      </c>
      <c r="K73" s="60" t="s">
        <v>192</v>
      </c>
      <c r="L73" s="61" t="s">
        <v>192</v>
      </c>
      <c r="M73" s="60" t="s">
        <v>192</v>
      </c>
      <c r="N73" s="61" t="s">
        <v>192</v>
      </c>
    </row>
    <row r="75" spans="1:14" ht="15" thickBot="1" x14ac:dyDescent="0.35">
      <c r="A75" s="11" t="s">
        <v>223</v>
      </c>
      <c r="B75" s="11"/>
      <c r="C75" s="11"/>
      <c r="D75" s="11"/>
      <c r="E75" s="11"/>
      <c r="F75" s="11"/>
      <c r="G75" s="11"/>
      <c r="H75" s="11"/>
    </row>
    <row r="76" spans="1:14" ht="15" thickBot="1" x14ac:dyDescent="0.35">
      <c r="A76" s="181" t="s">
        <v>224</v>
      </c>
      <c r="B76" s="182"/>
      <c r="C76" s="68" t="s">
        <v>225</v>
      </c>
      <c r="D76" s="176" t="s">
        <v>226</v>
      </c>
      <c r="E76" s="177"/>
      <c r="F76" s="178"/>
      <c r="G76" s="50"/>
      <c r="H76" s="50"/>
    </row>
    <row r="77" spans="1:14" ht="15" thickTop="1" x14ac:dyDescent="0.3">
      <c r="A77" s="179" t="s">
        <v>227</v>
      </c>
      <c r="B77" s="180"/>
      <c r="C77" s="70" t="s">
        <v>228</v>
      </c>
      <c r="D77" s="71"/>
      <c r="E77" s="71">
        <v>6</v>
      </c>
      <c r="F77" s="69"/>
      <c r="G77" s="7"/>
      <c r="H77" s="7"/>
    </row>
    <row r="78" spans="1:14" x14ac:dyDescent="0.3">
      <c r="A78" s="172" t="s">
        <v>229</v>
      </c>
      <c r="B78" s="173"/>
      <c r="C78" s="70" t="s">
        <v>228</v>
      </c>
      <c r="D78" s="72"/>
      <c r="E78" s="72">
        <v>5</v>
      </c>
      <c r="F78" s="62"/>
      <c r="G78" s="7"/>
      <c r="H78" s="7"/>
    </row>
    <row r="79" spans="1:14" x14ac:dyDescent="0.3">
      <c r="A79" s="172" t="s">
        <v>230</v>
      </c>
      <c r="B79" s="173"/>
      <c r="C79" s="70" t="s">
        <v>228</v>
      </c>
      <c r="D79" s="72"/>
      <c r="E79" s="72">
        <v>4</v>
      </c>
      <c r="F79" s="62"/>
      <c r="G79" s="7"/>
      <c r="H79" s="7"/>
    </row>
    <row r="80" spans="1:14" x14ac:dyDescent="0.3">
      <c r="A80" s="172" t="s">
        <v>231</v>
      </c>
      <c r="B80" s="173"/>
      <c r="C80" s="70" t="s">
        <v>228</v>
      </c>
      <c r="D80" s="72"/>
      <c r="E80" s="72">
        <v>3</v>
      </c>
      <c r="F80" s="62"/>
      <c r="G80" s="7"/>
      <c r="H80" s="7"/>
    </row>
    <row r="81" spans="1:8" x14ac:dyDescent="0.3">
      <c r="A81" s="172" t="s">
        <v>232</v>
      </c>
      <c r="B81" s="173"/>
      <c r="C81" s="73" t="s">
        <v>233</v>
      </c>
      <c r="D81" s="72"/>
      <c r="E81" s="72">
        <v>3</v>
      </c>
      <c r="F81" s="62"/>
      <c r="G81" s="7"/>
      <c r="H81" s="7"/>
    </row>
    <row r="82" spans="1:8" x14ac:dyDescent="0.3">
      <c r="A82" s="172" t="s">
        <v>234</v>
      </c>
      <c r="B82" s="173"/>
      <c r="C82" s="70" t="s">
        <v>235</v>
      </c>
      <c r="D82" s="72"/>
      <c r="E82" s="72">
        <v>4</v>
      </c>
      <c r="F82" s="62"/>
      <c r="G82" s="7"/>
      <c r="H82" s="7"/>
    </row>
    <row r="83" spans="1:8" x14ac:dyDescent="0.3">
      <c r="A83" s="172" t="s">
        <v>236</v>
      </c>
      <c r="B83" s="173"/>
      <c r="C83" s="74" t="s">
        <v>235</v>
      </c>
      <c r="D83" s="72"/>
      <c r="E83" s="72">
        <v>3</v>
      </c>
      <c r="F83" s="62"/>
      <c r="G83" s="7"/>
      <c r="H83" s="7"/>
    </row>
    <row r="84" spans="1:8" ht="15" thickBot="1" x14ac:dyDescent="0.35">
      <c r="A84" s="174" t="s">
        <v>237</v>
      </c>
      <c r="B84" s="175"/>
      <c r="C84" s="76" t="s">
        <v>235</v>
      </c>
      <c r="D84" s="77"/>
      <c r="E84" s="77">
        <v>2</v>
      </c>
      <c r="F84" s="75"/>
      <c r="G84" s="50"/>
      <c r="H84" s="50"/>
    </row>
    <row r="85" spans="1:8" x14ac:dyDescent="0.3">
      <c r="A85" s="49" t="s">
        <v>238</v>
      </c>
      <c r="B85" s="50"/>
      <c r="C85" s="11"/>
      <c r="D85" s="50"/>
      <c r="E85" s="50"/>
      <c r="F85" s="50"/>
      <c r="G85" s="50"/>
      <c r="H85" s="50"/>
    </row>
  </sheetData>
  <mergeCells count="82">
    <mergeCell ref="A1:N1"/>
    <mergeCell ref="A3:J3"/>
    <mergeCell ref="A12:B12"/>
    <mergeCell ref="C12:D12"/>
    <mergeCell ref="E12:F12"/>
    <mergeCell ref="G12:H12"/>
    <mergeCell ref="I12:J12"/>
    <mergeCell ref="K12:L12"/>
    <mergeCell ref="A13:A20"/>
    <mergeCell ref="A27:B28"/>
    <mergeCell ref="C27:N27"/>
    <mergeCell ref="C28:D28"/>
    <mergeCell ref="E28:F28"/>
    <mergeCell ref="G28:H28"/>
    <mergeCell ref="I28:J28"/>
    <mergeCell ref="K28:L28"/>
    <mergeCell ref="M28:N28"/>
    <mergeCell ref="A29:B29"/>
    <mergeCell ref="A30:B30"/>
    <mergeCell ref="A31:B31"/>
    <mergeCell ref="A32:B32"/>
    <mergeCell ref="A33:B33"/>
    <mergeCell ref="A47:B48"/>
    <mergeCell ref="C37:N37"/>
    <mergeCell ref="C38:D38"/>
    <mergeCell ref="E38:F38"/>
    <mergeCell ref="G38:H38"/>
    <mergeCell ref="I38:J38"/>
    <mergeCell ref="K38:L38"/>
    <mergeCell ref="M38:N38"/>
    <mergeCell ref="A37:B38"/>
    <mergeCell ref="A39:B39"/>
    <mergeCell ref="A40:B40"/>
    <mergeCell ref="A41:B41"/>
    <mergeCell ref="A42:B42"/>
    <mergeCell ref="A43:B43"/>
    <mergeCell ref="C47:N47"/>
    <mergeCell ref="C48:D48"/>
    <mergeCell ref="E48:F48"/>
    <mergeCell ref="G48:H48"/>
    <mergeCell ref="I48:J48"/>
    <mergeCell ref="K48:L48"/>
    <mergeCell ref="M48:N48"/>
    <mergeCell ref="M58:N58"/>
    <mergeCell ref="A49:B49"/>
    <mergeCell ref="A50:B50"/>
    <mergeCell ref="A51:B51"/>
    <mergeCell ref="A52:B52"/>
    <mergeCell ref="A53:B53"/>
    <mergeCell ref="A57:B58"/>
    <mergeCell ref="C58:D58"/>
    <mergeCell ref="E58:F58"/>
    <mergeCell ref="G58:H58"/>
    <mergeCell ref="I58:J58"/>
    <mergeCell ref="K58:L58"/>
    <mergeCell ref="M68:N68"/>
    <mergeCell ref="A59:B59"/>
    <mergeCell ref="A60:B60"/>
    <mergeCell ref="A61:B61"/>
    <mergeCell ref="A62:B62"/>
    <mergeCell ref="A63:B63"/>
    <mergeCell ref="A67:B68"/>
    <mergeCell ref="C68:D68"/>
    <mergeCell ref="E68:F68"/>
    <mergeCell ref="G68:H68"/>
    <mergeCell ref="I68:J68"/>
    <mergeCell ref="K68:L68"/>
    <mergeCell ref="A69:B69"/>
    <mergeCell ref="A70:B70"/>
    <mergeCell ref="A71:B71"/>
    <mergeCell ref="A72:B72"/>
    <mergeCell ref="A73:B73"/>
    <mergeCell ref="A82:B82"/>
    <mergeCell ref="A83:B83"/>
    <mergeCell ref="A84:B84"/>
    <mergeCell ref="D76:F76"/>
    <mergeCell ref="A77:B77"/>
    <mergeCell ref="A78:B78"/>
    <mergeCell ref="A79:B79"/>
    <mergeCell ref="A80:B80"/>
    <mergeCell ref="A81:B81"/>
    <mergeCell ref="A76:B76"/>
  </mergeCells>
  <pageMargins left="0.37" right="0.2" top="0.28000000000000003" bottom="0.39" header="0.2" footer="0.17"/>
  <pageSetup paperSize="9" scale="76" fitToHeight="3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12</vt:i4>
      </vt:variant>
    </vt:vector>
  </HeadingPairs>
  <TitlesOfParts>
    <vt:vector size="12" baseType="lpstr">
      <vt:lpstr>database_2024</vt:lpstr>
      <vt:lpstr>database_versenyek2026</vt:lpstr>
      <vt:lpstr>klubok rangsora</vt:lpstr>
      <vt:lpstr>klubok_kata_kumite</vt:lpstr>
      <vt:lpstr>klubok versenyenként</vt:lpstr>
      <vt:lpstr>klubok_utánpótlás_felnőtt</vt:lpstr>
      <vt:lpstr>Egyéni sorrend kategóriánként</vt:lpstr>
      <vt:lpstr>egyéni felnőtt_u.p.</vt:lpstr>
      <vt:lpstr>segéd</vt:lpstr>
      <vt:lpstr>kategóriák</vt:lpstr>
      <vt:lpstr>szabályzat</vt:lpstr>
      <vt:lpstr>how to do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Mátó Katalin</dc:creator>
  <cp:lastModifiedBy>Lenovo</cp:lastModifiedBy>
  <cp:lastPrinted>2025-10-06T12:35:55Z</cp:lastPrinted>
  <dcterms:created xsi:type="dcterms:W3CDTF">2024-04-04T20:14:09Z</dcterms:created>
  <dcterms:modified xsi:type="dcterms:W3CDTF">2026-06-22T15:21:34Z</dcterms:modified>
</cp:coreProperties>
</file>